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widl/Downloads/"/>
    </mc:Choice>
  </mc:AlternateContent>
  <xr:revisionPtr revIDLastSave="0" documentId="13_ncr:1_{4714EF45-3AD1-8841-AD27-0794452A1349}" xr6:coauthVersionLast="47" xr6:coauthVersionMax="47" xr10:uidLastSave="{00000000-0000-0000-0000-000000000000}"/>
  <bookViews>
    <workbookView xWindow="0" yWindow="780" windowWidth="34200" windowHeight="21460" xr2:uid="{DADC2D59-1894-424A-8D0D-406FDEA5C5F0}"/>
  </bookViews>
  <sheets>
    <sheet name="WPISZ ZAŁOŻENIA" sheetId="6" r:id="rId1"/>
    <sheet name="OBLIGACJE" sheetId="5" r:id="rId2"/>
    <sheet name="IKE OBLIGACJE" sheetId="4" r:id="rId3"/>
  </sheets>
  <definedNames>
    <definedName name="IKE_oplata_rok">'WPISZ ZAŁOŻENIA'!$A$43:$A$54</definedName>
    <definedName name="IKE_oplata_wskaznik">'WPISZ ZAŁOŻENIA'!$B$43:$B$54</definedName>
    <definedName name="IKE_wyniki_COI_I">'IKE OBLIGACJE'!$CQ$16:$CQ$162</definedName>
    <definedName name="IKE_wyniki_COI_preferencje">'IKE OBLIGACJE'!$CN$16:$CN$162</definedName>
    <definedName name="IKE_wyniki_EDO_I">'IKE OBLIGACJE'!$DH$16:$DH$162</definedName>
    <definedName name="IKE_wyniki_EDO_preferencje">'IKE OBLIGACJE'!$DE$16:$DE$162</definedName>
    <definedName name="IKE_wyniki_mc">'IKE OBLIGACJE'!$W$16:$W$162</definedName>
    <definedName name="IKE_wyniki_skumulowana_inflacja">'IKE OBLIGACJE'!$X$16:$X$162</definedName>
    <definedName name="IKE_wyniki_TOS_I">'IKE OBLIGACJE'!$BG$16:$BG$162</definedName>
    <definedName name="IKE_wyniki_TOS_preferencje">'IKE OBLIGACJE'!$BD$16:$BD$162</definedName>
    <definedName name="IKE_zakup_domyslny_mc">'IKE OBLIGACJE'!$C$17</definedName>
    <definedName name="kapitalizacja_odsetek_mc_EDO">'WPISZ ZAŁOŻENIA'!$H$34</definedName>
    <definedName name="kapitalizacja_odsetek_mc_ROD">'WPISZ ZAŁOŻENIA'!$H$36</definedName>
    <definedName name="kapitalizacja_odsetek_mc_ROS">'WPISZ ZAŁOŻENIA'!$H$35</definedName>
    <definedName name="kapitalizacja_odsetek_mc_TOS">'WPISZ ZAŁOŻENIA'!$H$32</definedName>
    <definedName name="koszt_wczesniejszy_wykup_COI">'WPISZ ZAŁOŻENIA'!$J$33</definedName>
    <definedName name="koszt_wczesniejszy_wykup_DOR">'WPISZ ZAŁOŻENIA'!$J$31</definedName>
    <definedName name="koszt_wczesniejszy_wykup_EDO">'WPISZ ZAŁOŻENIA'!$J$34</definedName>
    <definedName name="koszt_wczesniejszy_wykup_ochrona_COI">'WPISZ ZAŁOŻENIA'!$K$33</definedName>
    <definedName name="koszt_wczesniejszy_wykup_ochrona_DOR">'WPISZ ZAŁOŻENIA'!$K$31</definedName>
    <definedName name="koszt_wczesniejszy_wykup_ochrona_ROR">'WPISZ ZAŁOŻENIA'!$K$30</definedName>
    <definedName name="koszt_wczesniejszy_wykup_ochrona_TOS">'WPISZ ZAŁOŻENIA'!$K$32</definedName>
    <definedName name="koszt_wczesniejszy_wykup_ROD">'WPISZ ZAŁOŻENIA'!$J$36</definedName>
    <definedName name="koszt_wczesniejszy_wykup_ROR">'WPISZ ZAŁOŻENIA'!$J$30</definedName>
    <definedName name="koszt_wczesniejszy_wykup_ROS">'WPISZ ZAŁOŻENIA'!$J$35</definedName>
    <definedName name="koszt_wczesniejszy_wykup_TOS">'WPISZ ZAŁOŻENIA'!$J$32</definedName>
    <definedName name="marza_COI">'WPISZ ZAŁOŻENIA'!$F$33</definedName>
    <definedName name="marza_DOR">'WPISZ ZAŁOŻENIA'!$F$31</definedName>
    <definedName name="marza_EDO">'WPISZ ZAŁOŻENIA'!$F$34</definedName>
    <definedName name="marza_ROD">'WPISZ ZAŁOŻENIA'!$F$36</definedName>
    <definedName name="marza_ROR">'WPISZ ZAŁOŻENIA'!$F$30</definedName>
    <definedName name="marza_ROS">'WPISZ ZAŁOŻENIA'!$F$35</definedName>
    <definedName name="marza_TOS">'WPISZ ZAŁOŻENIA'!$F$32</definedName>
    <definedName name="podatek_Belki">'WPISZ ZAŁOŻENIA'!$B$8</definedName>
    <definedName name="proc_I_okres_COI">'WPISZ ZAŁOŻENIA'!$C$33</definedName>
    <definedName name="proc_I_okres_DOR">'WPISZ ZAŁOŻENIA'!$C$31</definedName>
    <definedName name="proc_I_okres_EDO">'WPISZ ZAŁOŻENIA'!$C$34</definedName>
    <definedName name="proc_I_okres_ROD">'WPISZ ZAŁOŻENIA'!$C$36</definedName>
    <definedName name="proc_I_okres_ROR">'WPISZ ZAŁOŻENIA'!$C$30</definedName>
    <definedName name="proc_I_okres_ROS">'WPISZ ZAŁOŻENIA'!$C$35</definedName>
    <definedName name="proc_I_okres_TOS">'WPISZ ZAŁOŻENIA'!$C$32</definedName>
    <definedName name="scenariusz_I_inflacja">OBLIGACJE!$EF$28:$EF$39</definedName>
    <definedName name="scenariusz_I_inflacja_skumulowana">OBLIGACJE!$EG$28:$EG$39</definedName>
    <definedName name="scenariusz_I_konto">OBLIGACJE!$EJ$28:$EJ$39</definedName>
    <definedName name="scenariusz_I_rok">OBLIGACJE!$EE$28:$EE$39</definedName>
    <definedName name="scenariusz_I_stopa_NBP">OBLIGACJE!$EH$28:$EH$39</definedName>
    <definedName name="scenariusz_I_WIBOR6M">OBLIGACJE!$EI$28:$EI$39</definedName>
    <definedName name="test">OBLIGACJE!#REF!</definedName>
    <definedName name="trigger_inflacja">'WPISZ ZAŁOŻENIA'!$A$11</definedName>
    <definedName name="wyniki_COI_I" localSheetId="2">'IKE OBLIGACJE'!$CD$20:$CD$165</definedName>
    <definedName name="wyniki_COI_obl" localSheetId="1">OBLIGACJE!$CL$42:$CL$187</definedName>
    <definedName name="wyniki_DOR_obl" localSheetId="1">OBLIGACJE!$BG$42:$BG$187</definedName>
    <definedName name="wyniki_EDO_I" localSheetId="2">'IKE OBLIGACJE'!$CR$20:$CR$165</definedName>
    <definedName name="wyniki_EDO_obl" localSheetId="1">OBLIGACJE!$CZ$42:$CZ$187</definedName>
    <definedName name="wyniki_mc" localSheetId="2">'IKE OBLIGACJE'!$BO$20:$BO$165</definedName>
    <definedName name="wyniki_mc" localSheetId="1">OBLIGACJE!$AA$42:$AA$187</definedName>
    <definedName name="wyniki_ROD_I" localSheetId="2">'IKE OBLIGACJE'!$DT$20:$DT$165</definedName>
    <definedName name="wyniki_ROD_obl" localSheetId="1">OBLIGACJE!$EB$42:$EB$187</definedName>
    <definedName name="wyniki_ROR_obl" localSheetId="1">OBLIGACJE!$AQ$42:$AQ$187</definedName>
    <definedName name="wyniki_ROS_I" localSheetId="2">'IKE OBLIGACJE'!$DF$20:$DF$165</definedName>
    <definedName name="wyniki_ROS_obl" localSheetId="1">OBLIGACJE!$DN$42:$DN$187</definedName>
    <definedName name="wyniki_skumulowana_inflacja" localSheetId="2">'IKE OBLIGACJE'!$BQ$20:$BQ$165</definedName>
    <definedName name="wyniki_skumulowana_inflacja" localSheetId="1">OBLIGACJE!$AB$42:$AB$187</definedName>
    <definedName name="wyniki_TOS_obl" localSheetId="1">OBLIGACJE!$BW$42:$BW$187</definedName>
    <definedName name="wyplata_odsetek_COI">'WPISZ ZAŁOŻENIA'!$G$33</definedName>
    <definedName name="wyplata_odsetek_DOR">'WPISZ ZAŁOŻENIA'!$G$31</definedName>
    <definedName name="wyplata_odsetek_ROR">'WPISZ ZAŁOŻENIA'!$G$30</definedName>
    <definedName name="wyplata_odsetek_TOS">'WPISZ ZAŁOŻENIA'!$G$32</definedName>
    <definedName name="zakup_domyslny_ilosc">'WPISZ ZAŁOŻENIA'!$B$6</definedName>
    <definedName name="zakup_domyslny_mc">OBLIGACJE!$B$4</definedName>
    <definedName name="zakup_domyslny_wartosc">'WPISZ ZAŁOŻENIA'!$B$7</definedName>
    <definedName name="zamiana_COI">'WPISZ ZAŁOŻENIA'!$I$33</definedName>
    <definedName name="zamiana_DOR">'WPISZ ZAŁOŻENIA'!$I$31</definedName>
    <definedName name="zamiana_EDO">'WPISZ ZAŁOŻENIA'!$I$34</definedName>
    <definedName name="zamiana_ROR">'WPISZ ZAŁOŻENIA'!$I$30</definedName>
    <definedName name="zamiana_TOS">'WPISZ ZAŁOŻENIA'!$I$32</definedName>
    <definedName name="zapadalnosc_COI">'WPISZ ZAŁOŻENIA'!$B$33</definedName>
    <definedName name="zapadalnosc_DOR">'WPISZ ZAŁOŻENIA'!$B$31</definedName>
    <definedName name="zapadalnosc_EDO">'WPISZ ZAŁOŻENIA'!$B$34</definedName>
    <definedName name="zapadalnosc_ROD">'WPISZ ZAŁOŻENIA'!$B$36</definedName>
    <definedName name="zapadalnosc_ROR">'WPISZ ZAŁOŻENIA'!$B$30</definedName>
    <definedName name="zapadalnosc_ROS">'WPISZ ZAŁOŻENIA'!$B$35</definedName>
    <definedName name="zapadalnosc_TOS">'WPISZ ZAŁOŻENIA'!$B$32</definedName>
    <definedName name="zmiana_oprocentowania_co_ile_mc_COI">'WPISZ ZAŁOŻENIA'!$D$33</definedName>
    <definedName name="zmiana_oprocentowania_co_ile_mc_DOR">'WPISZ ZAŁOŻENIA'!$D$31</definedName>
    <definedName name="zmiana_oprocentowania_co_ile_mc_EDO">'WPISZ ZAŁOŻENIA'!$D$34</definedName>
    <definedName name="zmiana_oprocentowania_co_ile_mc_ROD">'WPISZ ZAŁOŻENIA'!$D$36</definedName>
    <definedName name="zmiana_oprocentowania_co_ile_mc_ROR">'WPISZ ZAŁOŻENIA'!$D$30</definedName>
    <definedName name="zmiana_oprocentowania_co_ile_mc_ROS">'WPISZ ZAŁOŻENIA'!$D$35</definedName>
    <definedName name="zmiana_oprocentowania_co_ile_mc_TOS">'WPISZ ZAŁOŻENIA'!$D$32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44" i="5" l="1"/>
  <c r="CI44" i="5" s="1"/>
  <c r="CD44" i="5"/>
  <c r="BZ44" i="5"/>
  <c r="BA44" i="5"/>
  <c r="AY44" i="5"/>
  <c r="AU44" i="5"/>
  <c r="AS45" i="5"/>
  <c r="BI45" i="5"/>
  <c r="BI46" i="5" s="1"/>
  <c r="BI47" i="5" s="1"/>
  <c r="BI48" i="5" s="1"/>
  <c r="BI49" i="5" s="1"/>
  <c r="BI50" i="5" s="1"/>
  <c r="BI51" i="5" s="1"/>
  <c r="BI52" i="5" s="1"/>
  <c r="BI53" i="5" s="1"/>
  <c r="BI54" i="5" s="1"/>
  <c r="BI55" i="5" s="1"/>
  <c r="BI56" i="5" s="1"/>
  <c r="BI57" i="5" s="1"/>
  <c r="BI58" i="5" s="1"/>
  <c r="BI59" i="5" s="1"/>
  <c r="BI60" i="5" s="1"/>
  <c r="BI61" i="5" s="1"/>
  <c r="BI62" i="5" s="1"/>
  <c r="BI63" i="5" s="1"/>
  <c r="BI64" i="5" s="1"/>
  <c r="BI65" i="5" s="1"/>
  <c r="BI66" i="5" s="1"/>
  <c r="BI67" i="5" s="1"/>
  <c r="BI68" i="5" s="1"/>
  <c r="BI69" i="5" s="1"/>
  <c r="BI70" i="5" s="1"/>
  <c r="BI71" i="5" s="1"/>
  <c r="BI72" i="5" s="1"/>
  <c r="BI73" i="5" s="1"/>
  <c r="BI74" i="5" s="1"/>
  <c r="BI75" i="5" s="1"/>
  <c r="BI76" i="5" s="1"/>
  <c r="BI77" i="5" s="1"/>
  <c r="BI78" i="5" s="1"/>
  <c r="BI79" i="5" s="1"/>
  <c r="BI80" i="5" s="1"/>
  <c r="BI81" i="5" s="1"/>
  <c r="BI82" i="5" s="1"/>
  <c r="BI83" i="5" s="1"/>
  <c r="BI84" i="5" s="1"/>
  <c r="BI85" i="5" s="1"/>
  <c r="BI86" i="5" s="1"/>
  <c r="BI87" i="5" s="1"/>
  <c r="BI88" i="5" s="1"/>
  <c r="BI89" i="5" s="1"/>
  <c r="BI90" i="5" s="1"/>
  <c r="BI91" i="5" s="1"/>
  <c r="BI92" i="5" s="1"/>
  <c r="BI93" i="5" s="1"/>
  <c r="BI94" i="5" s="1"/>
  <c r="BI95" i="5" s="1"/>
  <c r="BI96" i="5" s="1"/>
  <c r="BI97" i="5" s="1"/>
  <c r="BI98" i="5" s="1"/>
  <c r="BI99" i="5" s="1"/>
  <c r="BI100" i="5" s="1"/>
  <c r="BI101" i="5" s="1"/>
  <c r="BI102" i="5" s="1"/>
  <c r="BI103" i="5" s="1"/>
  <c r="BI104" i="5" s="1"/>
  <c r="BI105" i="5" s="1"/>
  <c r="BI106" i="5" s="1"/>
  <c r="BI107" i="5" s="1"/>
  <c r="BI108" i="5" s="1"/>
  <c r="BI109" i="5" s="1"/>
  <c r="BI110" i="5" s="1"/>
  <c r="BI111" i="5" s="1"/>
  <c r="BI112" i="5" s="1"/>
  <c r="BI113" i="5" s="1"/>
  <c r="BI114" i="5" s="1"/>
  <c r="BI115" i="5" s="1"/>
  <c r="BI116" i="5" s="1"/>
  <c r="BI117" i="5" s="1"/>
  <c r="BI118" i="5" s="1"/>
  <c r="BI119" i="5" s="1"/>
  <c r="BI120" i="5" s="1"/>
  <c r="BI121" i="5" s="1"/>
  <c r="BI122" i="5" s="1"/>
  <c r="BI123" i="5" s="1"/>
  <c r="BI124" i="5" s="1"/>
  <c r="BI125" i="5" s="1"/>
  <c r="BI126" i="5" s="1"/>
  <c r="BI127" i="5" s="1"/>
  <c r="BI128" i="5" s="1"/>
  <c r="BI129" i="5" s="1"/>
  <c r="BI130" i="5" s="1"/>
  <c r="BI131" i="5" s="1"/>
  <c r="BI132" i="5" s="1"/>
  <c r="BI133" i="5" s="1"/>
  <c r="BI134" i="5" s="1"/>
  <c r="BI135" i="5" s="1"/>
  <c r="BI136" i="5" s="1"/>
  <c r="BI137" i="5" s="1"/>
  <c r="BI138" i="5" s="1"/>
  <c r="BI139" i="5" s="1"/>
  <c r="BI140" i="5" s="1"/>
  <c r="BI141" i="5" s="1"/>
  <c r="BI142" i="5" s="1"/>
  <c r="BI143" i="5" s="1"/>
  <c r="BI144" i="5" s="1"/>
  <c r="BI145" i="5" s="1"/>
  <c r="BI146" i="5" s="1"/>
  <c r="BI147" i="5" s="1"/>
  <c r="BI148" i="5" s="1"/>
  <c r="BI149" i="5" s="1"/>
  <c r="BI150" i="5" s="1"/>
  <c r="BI151" i="5" s="1"/>
  <c r="BI152" i="5" s="1"/>
  <c r="BI153" i="5" s="1"/>
  <c r="BI154" i="5" s="1"/>
  <c r="BI155" i="5" s="1"/>
  <c r="BI156" i="5" s="1"/>
  <c r="BI157" i="5" s="1"/>
  <c r="BI158" i="5" s="1"/>
  <c r="BI159" i="5" s="1"/>
  <c r="BI160" i="5" s="1"/>
  <c r="BI161" i="5" s="1"/>
  <c r="BI162" i="5" s="1"/>
  <c r="BI163" i="5" s="1"/>
  <c r="BI164" i="5" s="1"/>
  <c r="BI165" i="5" s="1"/>
  <c r="BI166" i="5" s="1"/>
  <c r="BI167" i="5" s="1"/>
  <c r="BI168" i="5" s="1"/>
  <c r="BI169" i="5" s="1"/>
  <c r="BI170" i="5" s="1"/>
  <c r="BI171" i="5" s="1"/>
  <c r="BI172" i="5" s="1"/>
  <c r="BI173" i="5" s="1"/>
  <c r="BI174" i="5" s="1"/>
  <c r="BI175" i="5" s="1"/>
  <c r="BI176" i="5" s="1"/>
  <c r="BI177" i="5" s="1"/>
  <c r="BI178" i="5" s="1"/>
  <c r="BI179" i="5" s="1"/>
  <c r="BI180" i="5" s="1"/>
  <c r="BI181" i="5" s="1"/>
  <c r="BI182" i="5" s="1"/>
  <c r="BI183" i="5" s="1"/>
  <c r="BI184" i="5" s="1"/>
  <c r="BI185" i="5" s="1"/>
  <c r="BI186" i="5" s="1"/>
  <c r="BI187" i="5" s="1"/>
  <c r="BZ45" i="5" l="1"/>
  <c r="AU45" i="5"/>
  <c r="AS46" i="5"/>
  <c r="AS47" i="5" l="1"/>
  <c r="AS48" i="5" l="1"/>
  <c r="AS49" i="5" l="1"/>
  <c r="AS50" i="5" l="1"/>
  <c r="AS51" i="5" l="1"/>
  <c r="AS52" i="5" l="1"/>
  <c r="AS53" i="5" l="1"/>
  <c r="AS54" i="5" l="1"/>
  <c r="AS55" i="5" l="1"/>
  <c r="AS56" i="5" l="1"/>
  <c r="AS57" i="5" l="1"/>
  <c r="AS58" i="5" l="1"/>
  <c r="AS59" i="5" l="1"/>
  <c r="AS60" i="5" l="1"/>
  <c r="AS61" i="5" l="1"/>
  <c r="AS62" i="5" l="1"/>
  <c r="AS63" i="5" l="1"/>
  <c r="AS64" i="5" l="1"/>
  <c r="AS65" i="5" l="1"/>
  <c r="AS66" i="5" l="1"/>
  <c r="AS67" i="5" l="1"/>
  <c r="AS68" i="5" l="1"/>
  <c r="AS69" i="5" l="1"/>
  <c r="AS70" i="5" l="1"/>
  <c r="AS71" i="5" l="1"/>
  <c r="AS72" i="5" l="1"/>
  <c r="AS73" i="5" l="1"/>
  <c r="AS74" i="5" l="1"/>
  <c r="AS75" i="5" l="1"/>
  <c r="AS76" i="5" l="1"/>
  <c r="AS77" i="5" l="1"/>
  <c r="AS78" i="5" l="1"/>
  <c r="AS79" i="5" l="1"/>
  <c r="AS80" i="5" l="1"/>
  <c r="AS81" i="5" l="1"/>
  <c r="AS82" i="5" l="1"/>
  <c r="AS83" i="5" l="1"/>
  <c r="AS84" i="5" l="1"/>
  <c r="AS85" i="5" l="1"/>
  <c r="AS86" i="5" l="1"/>
  <c r="AS87" i="5" l="1"/>
  <c r="AS88" i="5" l="1"/>
  <c r="AS89" i="5" l="1"/>
  <c r="AS90" i="5" l="1"/>
  <c r="AS91" i="5" l="1"/>
  <c r="AS92" i="5" l="1"/>
  <c r="AS93" i="5" l="1"/>
  <c r="AS94" i="5" l="1"/>
  <c r="AS95" i="5" l="1"/>
  <c r="AS96" i="5" l="1"/>
  <c r="AS97" i="5" l="1"/>
  <c r="AS98" i="5" l="1"/>
  <c r="AS99" i="5" l="1"/>
  <c r="AS100" i="5" l="1"/>
  <c r="AS101" i="5" l="1"/>
  <c r="AS102" i="5" l="1"/>
  <c r="AS103" i="5" l="1"/>
  <c r="AS104" i="5" l="1"/>
  <c r="AS105" i="5" l="1"/>
  <c r="AS106" i="5" l="1"/>
  <c r="AS107" i="5" l="1"/>
  <c r="AS108" i="5" l="1"/>
  <c r="AS109" i="5" l="1"/>
  <c r="AS110" i="5" l="1"/>
  <c r="AS111" i="5" l="1"/>
  <c r="AS112" i="5" l="1"/>
  <c r="AS113" i="5" l="1"/>
  <c r="AS114" i="5" l="1"/>
  <c r="AS115" i="5" l="1"/>
  <c r="AS116" i="5" l="1"/>
  <c r="AS117" i="5" l="1"/>
  <c r="AS118" i="5" l="1"/>
  <c r="AS119" i="5" l="1"/>
  <c r="AS120" i="5" l="1"/>
  <c r="AS121" i="5" l="1"/>
  <c r="AS122" i="5" l="1"/>
  <c r="AS123" i="5" l="1"/>
  <c r="AS124" i="5" l="1"/>
  <c r="AS125" i="5" l="1"/>
  <c r="AS126" i="5" l="1"/>
  <c r="AS127" i="5" l="1"/>
  <c r="AS128" i="5" l="1"/>
  <c r="AS129" i="5" l="1"/>
  <c r="AS130" i="5" l="1"/>
  <c r="AS131" i="5" l="1"/>
  <c r="AS132" i="5" l="1"/>
  <c r="AS133" i="5" l="1"/>
  <c r="AS134" i="5" l="1"/>
  <c r="AS135" i="5" l="1"/>
  <c r="AS136" i="5" l="1"/>
  <c r="AS137" i="5" l="1"/>
  <c r="AS138" i="5" l="1"/>
  <c r="AS139" i="5" l="1"/>
  <c r="AS140" i="5" l="1"/>
  <c r="AS141" i="5" l="1"/>
  <c r="AS142" i="5" l="1"/>
  <c r="AS143" i="5" l="1"/>
  <c r="AS144" i="5" l="1"/>
  <c r="AS145" i="5" l="1"/>
  <c r="AS146" i="5" l="1"/>
  <c r="AS147" i="5" l="1"/>
  <c r="AS148" i="5" l="1"/>
  <c r="AS149" i="5" l="1"/>
  <c r="AS150" i="5" l="1"/>
  <c r="AS151" i="5" l="1"/>
  <c r="AS152" i="5" l="1"/>
  <c r="AS153" i="5" l="1"/>
  <c r="AS154" i="5" l="1"/>
  <c r="AS155" i="5" l="1"/>
  <c r="AS156" i="5" l="1"/>
  <c r="AS157" i="5" l="1"/>
  <c r="AS158" i="5" l="1"/>
  <c r="AS159" i="5" l="1"/>
  <c r="AS160" i="5" l="1"/>
  <c r="AS161" i="5" l="1"/>
  <c r="AS162" i="5" l="1"/>
  <c r="AS163" i="5" l="1"/>
  <c r="AS164" i="5" l="1"/>
  <c r="AS165" i="5" l="1"/>
  <c r="AS166" i="5" l="1"/>
  <c r="AS167" i="5" l="1"/>
  <c r="AS168" i="5" l="1"/>
  <c r="AS169" i="5" l="1"/>
  <c r="AS170" i="5" l="1"/>
  <c r="AS171" i="5" l="1"/>
  <c r="AS172" i="5" l="1"/>
  <c r="AS173" i="5" l="1"/>
  <c r="AS174" i="5" l="1"/>
  <c r="AS175" i="5" l="1"/>
  <c r="AS176" i="5" l="1"/>
  <c r="AS177" i="5" l="1"/>
  <c r="AS178" i="5" l="1"/>
  <c r="AS179" i="5" l="1"/>
  <c r="AS180" i="5" l="1"/>
  <c r="AS181" i="5" l="1"/>
  <c r="AS182" i="5" l="1"/>
  <c r="AS183" i="5" l="1"/>
  <c r="AS184" i="5" l="1"/>
  <c r="AS185" i="5" l="1"/>
  <c r="AS186" i="5" l="1"/>
  <c r="AS187" i="5" l="1"/>
  <c r="AE44" i="5" l="1"/>
  <c r="EJ39" i="5"/>
  <c r="EI39" i="5"/>
  <c r="EH39" i="5"/>
  <c r="EF39" i="5"/>
  <c r="EJ38" i="5"/>
  <c r="EI38" i="5"/>
  <c r="EH38" i="5"/>
  <c r="EF38" i="5"/>
  <c r="EJ37" i="5"/>
  <c r="EI37" i="5"/>
  <c r="EH37" i="5"/>
  <c r="EF37" i="5"/>
  <c r="EJ36" i="5"/>
  <c r="EI36" i="5"/>
  <c r="EH36" i="5"/>
  <c r="EF36" i="5"/>
  <c r="EJ35" i="5"/>
  <c r="EI35" i="5"/>
  <c r="EH35" i="5"/>
  <c r="EF35" i="5"/>
  <c r="EJ34" i="5"/>
  <c r="EI34" i="5"/>
  <c r="EH34" i="5"/>
  <c r="EF34" i="5"/>
  <c r="EJ33" i="5"/>
  <c r="EI33" i="5"/>
  <c r="EH33" i="5"/>
  <c r="EF33" i="5"/>
  <c r="EJ32" i="5"/>
  <c r="EI32" i="5"/>
  <c r="EH32" i="5"/>
  <c r="EF32" i="5"/>
  <c r="EJ31" i="5"/>
  <c r="EI31" i="5"/>
  <c r="EH31" i="5"/>
  <c r="EF31" i="5"/>
  <c r="EJ30" i="5"/>
  <c r="EI30" i="5"/>
  <c r="EH30" i="5"/>
  <c r="EF30" i="5"/>
  <c r="EJ29" i="5"/>
  <c r="EI29" i="5"/>
  <c r="EH29" i="5"/>
  <c r="EF29" i="5"/>
  <c r="EJ28" i="5"/>
  <c r="EI28" i="5"/>
  <c r="EH28" i="5"/>
  <c r="EF28" i="5"/>
  <c r="EG28" i="5" s="1"/>
  <c r="AT68" i="5" l="1"/>
  <c r="AT69" i="5"/>
  <c r="AT70" i="5"/>
  <c r="AT71" i="5"/>
  <c r="AT72" i="5"/>
  <c r="AT73" i="5"/>
  <c r="AT74" i="5"/>
  <c r="AT75" i="5"/>
  <c r="AT76" i="5"/>
  <c r="AT77" i="5"/>
  <c r="AT78" i="5"/>
  <c r="AT79" i="5"/>
  <c r="AT92" i="5"/>
  <c r="AT93" i="5"/>
  <c r="AT94" i="5"/>
  <c r="AT95" i="5"/>
  <c r="AT96" i="5"/>
  <c r="AT97" i="5"/>
  <c r="AT98" i="5"/>
  <c r="AT99" i="5"/>
  <c r="AT100" i="5"/>
  <c r="AT101" i="5"/>
  <c r="AT102" i="5"/>
  <c r="AT103" i="5"/>
  <c r="AT116" i="5"/>
  <c r="AT117" i="5"/>
  <c r="AT118" i="5"/>
  <c r="AT119" i="5"/>
  <c r="AT120" i="5"/>
  <c r="AT121" i="5"/>
  <c r="AT122" i="5"/>
  <c r="AT123" i="5"/>
  <c r="AT124" i="5"/>
  <c r="AT125" i="5"/>
  <c r="AT126" i="5"/>
  <c r="AT127" i="5"/>
  <c r="AT140" i="5"/>
  <c r="AT141" i="5"/>
  <c r="AT142" i="5"/>
  <c r="AT143" i="5"/>
  <c r="AT144" i="5"/>
  <c r="AT145" i="5"/>
  <c r="AT146" i="5"/>
  <c r="AT147" i="5"/>
  <c r="AT148" i="5"/>
  <c r="AT149" i="5"/>
  <c r="AT150" i="5"/>
  <c r="AT151" i="5"/>
  <c r="AT164" i="5"/>
  <c r="AT165" i="5"/>
  <c r="AT166" i="5"/>
  <c r="AT167" i="5"/>
  <c r="AT168" i="5"/>
  <c r="AT169" i="5"/>
  <c r="AT170" i="5"/>
  <c r="AT171" i="5"/>
  <c r="AT172" i="5"/>
  <c r="AT173" i="5"/>
  <c r="AT174" i="5"/>
  <c r="AT175" i="5"/>
  <c r="AT45" i="5"/>
  <c r="AT46" i="5"/>
  <c r="AT47" i="5"/>
  <c r="AT48" i="5"/>
  <c r="AT49" i="5"/>
  <c r="AT50" i="5"/>
  <c r="AT51" i="5"/>
  <c r="AT52" i="5"/>
  <c r="AT53" i="5"/>
  <c r="AT54" i="5"/>
  <c r="AT55" i="5"/>
  <c r="CJ44" i="5"/>
  <c r="CK44" i="5" s="1"/>
  <c r="BE44" i="5"/>
  <c r="AT56" i="5"/>
  <c r="AT57" i="5"/>
  <c r="AT58" i="5"/>
  <c r="AT59" i="5"/>
  <c r="AT60" i="5"/>
  <c r="AT61" i="5"/>
  <c r="AT62" i="5"/>
  <c r="AT63" i="5"/>
  <c r="AT64" i="5"/>
  <c r="AT65" i="5"/>
  <c r="AT66" i="5"/>
  <c r="AT67" i="5"/>
  <c r="AT80" i="5"/>
  <c r="AT81" i="5"/>
  <c r="AT82" i="5"/>
  <c r="AT83" i="5"/>
  <c r="AT84" i="5"/>
  <c r="AT85" i="5"/>
  <c r="AT86" i="5"/>
  <c r="AT87" i="5"/>
  <c r="AT88" i="5"/>
  <c r="AT89" i="5"/>
  <c r="AT90" i="5"/>
  <c r="AT91" i="5"/>
  <c r="AT104" i="5"/>
  <c r="AT105" i="5"/>
  <c r="AT106" i="5"/>
  <c r="AT107" i="5"/>
  <c r="AT108" i="5"/>
  <c r="AT109" i="5"/>
  <c r="AT110" i="5"/>
  <c r="AT111" i="5"/>
  <c r="AT112" i="5"/>
  <c r="AT113" i="5"/>
  <c r="AT114" i="5"/>
  <c r="AT115" i="5"/>
  <c r="AT128" i="5"/>
  <c r="AT129" i="5"/>
  <c r="AT130" i="5"/>
  <c r="AT131" i="5"/>
  <c r="AT132" i="5"/>
  <c r="AT133" i="5"/>
  <c r="AT134" i="5"/>
  <c r="AT135" i="5"/>
  <c r="AT136" i="5"/>
  <c r="AT137" i="5"/>
  <c r="AT138" i="5"/>
  <c r="AT139" i="5"/>
  <c r="AT152" i="5"/>
  <c r="AT153" i="5"/>
  <c r="AT154" i="5"/>
  <c r="AT155" i="5"/>
  <c r="AT156" i="5"/>
  <c r="AT157" i="5"/>
  <c r="AT158" i="5"/>
  <c r="AT159" i="5"/>
  <c r="AT160" i="5"/>
  <c r="AT161" i="5"/>
  <c r="AT162" i="5"/>
  <c r="AT163" i="5"/>
  <c r="AT176" i="5"/>
  <c r="AT177" i="5"/>
  <c r="AT178" i="5"/>
  <c r="AT179" i="5"/>
  <c r="AT180" i="5"/>
  <c r="AT181" i="5"/>
  <c r="AT182" i="5"/>
  <c r="AT183" i="5"/>
  <c r="AT184" i="5"/>
  <c r="AT185" i="5"/>
  <c r="AT186" i="5"/>
  <c r="AT187" i="5"/>
  <c r="EG29" i="5"/>
  <c r="EG30" i="5" s="1"/>
  <c r="EG31" i="5" s="1"/>
  <c r="EG32" i="5" s="1"/>
  <c r="EG33" i="5" s="1"/>
  <c r="EG34" i="5" s="1"/>
  <c r="EG35" i="5" s="1"/>
  <c r="EG36" i="5" s="1"/>
  <c r="EG37" i="5" s="1"/>
  <c r="EG38" i="5" s="1"/>
  <c r="EG39" i="5" s="1"/>
  <c r="BO44" i="5" l="1"/>
  <c r="BQ44" i="5"/>
  <c r="AD19" i="4"/>
  <c r="AI44" i="5"/>
  <c r="AW162" i="4"/>
  <c r="AX162" i="4" s="1"/>
  <c r="AM162" i="4"/>
  <c r="AM161" i="4"/>
  <c r="AM160" i="4"/>
  <c r="AM159" i="4"/>
  <c r="AM158" i="4"/>
  <c r="AM157" i="4"/>
  <c r="AM156" i="4"/>
  <c r="AM155" i="4"/>
  <c r="AM154" i="4"/>
  <c r="AM153" i="4"/>
  <c r="AM152" i="4"/>
  <c r="AM151" i="4"/>
  <c r="AM150" i="4"/>
  <c r="AM149" i="4"/>
  <c r="AM148" i="4"/>
  <c r="AM147" i="4"/>
  <c r="AM146" i="4"/>
  <c r="AM145" i="4"/>
  <c r="AM144" i="4"/>
  <c r="AM143" i="4"/>
  <c r="AM142" i="4"/>
  <c r="AM141" i="4"/>
  <c r="AM140" i="4"/>
  <c r="AM139" i="4"/>
  <c r="AM138" i="4"/>
  <c r="AM137" i="4"/>
  <c r="AM136" i="4"/>
  <c r="AM135" i="4"/>
  <c r="AM134" i="4"/>
  <c r="AM133" i="4"/>
  <c r="AM132" i="4"/>
  <c r="AM131" i="4"/>
  <c r="AM130" i="4"/>
  <c r="AM129" i="4"/>
  <c r="AM128" i="4"/>
  <c r="AM127" i="4"/>
  <c r="AM126" i="4"/>
  <c r="AM125" i="4"/>
  <c r="AM124" i="4"/>
  <c r="AM123" i="4"/>
  <c r="AM122" i="4"/>
  <c r="AM121" i="4"/>
  <c r="AM120" i="4"/>
  <c r="AM119" i="4"/>
  <c r="AM118" i="4"/>
  <c r="AM117" i="4"/>
  <c r="AM116" i="4"/>
  <c r="AM115" i="4"/>
  <c r="AM114" i="4"/>
  <c r="AM113" i="4"/>
  <c r="AM112" i="4"/>
  <c r="AM111" i="4"/>
  <c r="AM110" i="4"/>
  <c r="AM109" i="4"/>
  <c r="AM108" i="4"/>
  <c r="AM107" i="4"/>
  <c r="AM106" i="4"/>
  <c r="AM105" i="4"/>
  <c r="AM104" i="4"/>
  <c r="AM103" i="4"/>
  <c r="AM102" i="4"/>
  <c r="AM101" i="4"/>
  <c r="AM100" i="4"/>
  <c r="AM99" i="4"/>
  <c r="AM98" i="4"/>
  <c r="AM97" i="4"/>
  <c r="AM96" i="4"/>
  <c r="AM95" i="4"/>
  <c r="AM94" i="4"/>
  <c r="AM93" i="4"/>
  <c r="AM92" i="4"/>
  <c r="AM91" i="4"/>
  <c r="AM90" i="4"/>
  <c r="AM89" i="4"/>
  <c r="AM88" i="4"/>
  <c r="AM87" i="4"/>
  <c r="AM86" i="4"/>
  <c r="AM85" i="4"/>
  <c r="AM84" i="4"/>
  <c r="AM83" i="4"/>
  <c r="AM82" i="4"/>
  <c r="AM81" i="4"/>
  <c r="AM80" i="4"/>
  <c r="AM79" i="4"/>
  <c r="AM78" i="4"/>
  <c r="AM77" i="4"/>
  <c r="AM76" i="4"/>
  <c r="AM75" i="4"/>
  <c r="AM74" i="4"/>
  <c r="AM73" i="4"/>
  <c r="AM72" i="4"/>
  <c r="AM71" i="4"/>
  <c r="AM70" i="4"/>
  <c r="AM69" i="4"/>
  <c r="AM68" i="4"/>
  <c r="AM67" i="4"/>
  <c r="AM66" i="4"/>
  <c r="AM65" i="4"/>
  <c r="AM64" i="4"/>
  <c r="AM63" i="4"/>
  <c r="AM62" i="4"/>
  <c r="AM61" i="4"/>
  <c r="AM60" i="4"/>
  <c r="AM59" i="4"/>
  <c r="AM58" i="4"/>
  <c r="AM57" i="4"/>
  <c r="AM56" i="4"/>
  <c r="AM55" i="4"/>
  <c r="AM54" i="4"/>
  <c r="AM53" i="4"/>
  <c r="AM52" i="4"/>
  <c r="AM51" i="4"/>
  <c r="AM50" i="4"/>
  <c r="AM49" i="4"/>
  <c r="AM48" i="4"/>
  <c r="AM47" i="4"/>
  <c r="AM46" i="4"/>
  <c r="AM45" i="4"/>
  <c r="AM44" i="4"/>
  <c r="AM43" i="4"/>
  <c r="AM42" i="4"/>
  <c r="AM41" i="4"/>
  <c r="AM40" i="4"/>
  <c r="AM39" i="4"/>
  <c r="AM38" i="4"/>
  <c r="AM37" i="4"/>
  <c r="AM36" i="4"/>
  <c r="AM35" i="4"/>
  <c r="AM34" i="4"/>
  <c r="AM33" i="4"/>
  <c r="AM32" i="4"/>
  <c r="AM31" i="4"/>
  <c r="AF19" i="4"/>
  <c r="Z19" i="4"/>
  <c r="Z20" i="4" l="1"/>
  <c r="AY162" i="4"/>
  <c r="AZ162" i="4" s="1"/>
  <c r="BN19" i="4" l="1"/>
  <c r="BU44" i="5" l="1"/>
  <c r="BK44" i="5"/>
  <c r="BK45" i="5" s="1"/>
  <c r="AK44" i="5"/>
  <c r="AO44" i="5"/>
  <c r="AC45" i="5"/>
  <c r="AE45" i="5" l="1"/>
  <c r="AC46" i="5"/>
  <c r="AD45" i="5" l="1"/>
  <c r="AC47" i="5"/>
  <c r="AD46" i="5"/>
  <c r="U20" i="4"/>
  <c r="M34" i="4"/>
  <c r="B45" i="5"/>
  <c r="N45" i="5" s="1"/>
  <c r="AC48" i="5" l="1"/>
  <c r="AD47" i="5"/>
  <c r="DZ44" i="5"/>
  <c r="DL44" i="5"/>
  <c r="CX44" i="5"/>
  <c r="B7" i="6"/>
  <c r="AC19" i="4" l="1"/>
  <c r="CB44" i="5"/>
  <c r="CA44" i="5"/>
  <c r="CA45" i="5" s="1"/>
  <c r="AW44" i="5"/>
  <c r="AV44" i="5"/>
  <c r="AV45" i="5" s="1"/>
  <c r="AF44" i="5"/>
  <c r="AF45" i="5" s="1"/>
  <c r="E37" i="4"/>
  <c r="D37" i="4"/>
  <c r="E21" i="4"/>
  <c r="O21" i="4" s="1"/>
  <c r="D21" i="4"/>
  <c r="N21" i="4" s="1"/>
  <c r="AA19" i="4"/>
  <c r="AA20" i="4" s="1"/>
  <c r="AB19" i="4"/>
  <c r="E8" i="5"/>
  <c r="E24" i="5" s="1"/>
  <c r="C8" i="5"/>
  <c r="C24" i="5" s="1"/>
  <c r="E44" i="5"/>
  <c r="Q44" i="5" s="1"/>
  <c r="C44" i="5"/>
  <c r="O44" i="5" s="1"/>
  <c r="D8" i="5"/>
  <c r="D24" i="5" s="1"/>
  <c r="D44" i="5"/>
  <c r="P44" i="5" s="1"/>
  <c r="BM44" i="5"/>
  <c r="BL44" i="5"/>
  <c r="AG44" i="5"/>
  <c r="AD48" i="5"/>
  <c r="AC49" i="5"/>
  <c r="H37" i="4"/>
  <c r="I8" i="5"/>
  <c r="I24" i="5" s="1"/>
  <c r="K44" i="5"/>
  <c r="W44" i="5" s="1"/>
  <c r="G37" i="4"/>
  <c r="F21" i="4"/>
  <c r="P21" i="4" s="1"/>
  <c r="F37" i="4"/>
  <c r="G8" i="5"/>
  <c r="G24" i="5" s="1"/>
  <c r="J37" i="4"/>
  <c r="I21" i="4"/>
  <c r="S21" i="4" s="1"/>
  <c r="H44" i="5"/>
  <c r="T44" i="5" s="1"/>
  <c r="K8" i="5"/>
  <c r="K24" i="5" s="1"/>
  <c r="K37" i="4"/>
  <c r="K21" i="4"/>
  <c r="U21" i="4" s="1"/>
  <c r="I44" i="5"/>
  <c r="U44" i="5" s="1"/>
  <c r="I37" i="4"/>
  <c r="H21" i="4"/>
  <c r="R21" i="4" s="1"/>
  <c r="G44" i="5"/>
  <c r="S44" i="5" s="1"/>
  <c r="J8" i="5"/>
  <c r="G21" i="4"/>
  <c r="Q21" i="4" s="1"/>
  <c r="F44" i="5"/>
  <c r="R44" i="5" s="1"/>
  <c r="H8" i="5"/>
  <c r="H24" i="5" s="1"/>
  <c r="F8" i="5"/>
  <c r="F24" i="5" s="1"/>
  <c r="J21" i="4"/>
  <c r="J44" i="5"/>
  <c r="CY19" i="4"/>
  <c r="CW19" i="4"/>
  <c r="BP19" i="4"/>
  <c r="CG162" i="4"/>
  <c r="CH162" i="4" s="1"/>
  <c r="BW162" i="4"/>
  <c r="BW161" i="4"/>
  <c r="BW160" i="4"/>
  <c r="BW159" i="4"/>
  <c r="BW158" i="4"/>
  <c r="BW157" i="4"/>
  <c r="BW156" i="4"/>
  <c r="BW155" i="4"/>
  <c r="BW154" i="4"/>
  <c r="BW153" i="4"/>
  <c r="BW152" i="4"/>
  <c r="BW151" i="4"/>
  <c r="BW150" i="4"/>
  <c r="BW149" i="4"/>
  <c r="BW148" i="4"/>
  <c r="BW147" i="4"/>
  <c r="BW146" i="4"/>
  <c r="BW145" i="4"/>
  <c r="BW144" i="4"/>
  <c r="BW143" i="4"/>
  <c r="BW142" i="4"/>
  <c r="BW141" i="4"/>
  <c r="BW140" i="4"/>
  <c r="BW139" i="4"/>
  <c r="BW138" i="4"/>
  <c r="BW137" i="4"/>
  <c r="BW136" i="4"/>
  <c r="BW135" i="4"/>
  <c r="BW134" i="4"/>
  <c r="BW133" i="4"/>
  <c r="BW132" i="4"/>
  <c r="BW131" i="4"/>
  <c r="BW130" i="4"/>
  <c r="BW129" i="4"/>
  <c r="BW128" i="4"/>
  <c r="BW127" i="4"/>
  <c r="BW126" i="4"/>
  <c r="BW125" i="4"/>
  <c r="BW124" i="4"/>
  <c r="BW123" i="4"/>
  <c r="BW122" i="4"/>
  <c r="BW121" i="4"/>
  <c r="BW120" i="4"/>
  <c r="BW119" i="4"/>
  <c r="BW118" i="4"/>
  <c r="BW117" i="4"/>
  <c r="BW116" i="4"/>
  <c r="BW115" i="4"/>
  <c r="BW114" i="4"/>
  <c r="BW113" i="4"/>
  <c r="BW112" i="4"/>
  <c r="BW111" i="4"/>
  <c r="BW110" i="4"/>
  <c r="BW109" i="4"/>
  <c r="BW108" i="4"/>
  <c r="BW107" i="4"/>
  <c r="BW106" i="4"/>
  <c r="BW105" i="4"/>
  <c r="BW104" i="4"/>
  <c r="BW103" i="4"/>
  <c r="BW102" i="4"/>
  <c r="BW101" i="4"/>
  <c r="BW100" i="4"/>
  <c r="BW99" i="4"/>
  <c r="BW98" i="4"/>
  <c r="BW97" i="4"/>
  <c r="BW96" i="4"/>
  <c r="BW95" i="4"/>
  <c r="BW94" i="4"/>
  <c r="BW93" i="4"/>
  <c r="BW92" i="4"/>
  <c r="BW91" i="4"/>
  <c r="BW90" i="4"/>
  <c r="BW89" i="4"/>
  <c r="BW88" i="4"/>
  <c r="BW87" i="4"/>
  <c r="BW86" i="4"/>
  <c r="BW85" i="4"/>
  <c r="BW84" i="4"/>
  <c r="BW83" i="4"/>
  <c r="BW82" i="4"/>
  <c r="BW81" i="4"/>
  <c r="BW80" i="4"/>
  <c r="BW79" i="4"/>
  <c r="BW78" i="4"/>
  <c r="BW77" i="4"/>
  <c r="BW76" i="4"/>
  <c r="BW75" i="4"/>
  <c r="BW74" i="4"/>
  <c r="BW73" i="4"/>
  <c r="BW72" i="4"/>
  <c r="BW71" i="4"/>
  <c r="BW70" i="4"/>
  <c r="BW69" i="4"/>
  <c r="BW68" i="4"/>
  <c r="BW67" i="4"/>
  <c r="BW66" i="4"/>
  <c r="BW65" i="4"/>
  <c r="BW64" i="4"/>
  <c r="BW63" i="4"/>
  <c r="BW62" i="4"/>
  <c r="BW61" i="4"/>
  <c r="BW60" i="4"/>
  <c r="BW59" i="4"/>
  <c r="BW58" i="4"/>
  <c r="BW57" i="4"/>
  <c r="BW56" i="4"/>
  <c r="BW55" i="4"/>
  <c r="BW54" i="4"/>
  <c r="BW53" i="4"/>
  <c r="BW52" i="4"/>
  <c r="BW51" i="4"/>
  <c r="BW50" i="4"/>
  <c r="BW49" i="4"/>
  <c r="BW48" i="4"/>
  <c r="BW47" i="4"/>
  <c r="BW46" i="4"/>
  <c r="BW45" i="4"/>
  <c r="BW44" i="4"/>
  <c r="BW43" i="4"/>
  <c r="BW42" i="4"/>
  <c r="BW41" i="4"/>
  <c r="BW40" i="4"/>
  <c r="BW39" i="4"/>
  <c r="BW38" i="4"/>
  <c r="BW37" i="4"/>
  <c r="BW36" i="4"/>
  <c r="BW35" i="4"/>
  <c r="BW34" i="4"/>
  <c r="BW33" i="4"/>
  <c r="BW32" i="4"/>
  <c r="BW31" i="4"/>
  <c r="CS19" i="4"/>
  <c r="BJ19" i="4"/>
  <c r="CV19" i="4"/>
  <c r="CU19" i="4"/>
  <c r="CT19" i="4"/>
  <c r="BL19" i="4"/>
  <c r="BK19" i="4"/>
  <c r="AA45" i="5"/>
  <c r="DV44" i="5"/>
  <c r="DT44" i="5"/>
  <c r="DP44" i="5"/>
  <c r="DH44" i="5"/>
  <c r="DF44" i="5"/>
  <c r="DB44" i="5"/>
  <c r="CT44" i="5"/>
  <c r="CR44" i="5"/>
  <c r="CN44" i="5"/>
  <c r="W20" i="4"/>
  <c r="C38" i="4"/>
  <c r="AX44" i="5" l="1"/>
  <c r="AZ44" i="5" s="1"/>
  <c r="AW45" i="5"/>
  <c r="AX45" i="5" s="1"/>
  <c r="CF45" i="5"/>
  <c r="CI45" i="5" s="1"/>
  <c r="CD45" i="5"/>
  <c r="CJ45" i="5"/>
  <c r="BE45" i="5"/>
  <c r="BA45" i="5"/>
  <c r="AV46" i="5" s="1"/>
  <c r="AY45" i="5"/>
  <c r="BB45" i="5"/>
  <c r="CC44" i="5"/>
  <c r="CE44" i="5" s="1"/>
  <c r="CB45" i="5"/>
  <c r="CC45" i="5" s="1"/>
  <c r="AC20" i="4"/>
  <c r="BO45" i="5"/>
  <c r="AT19" i="4"/>
  <c r="AV19" i="4" s="1"/>
  <c r="AX19" i="4" s="1"/>
  <c r="AY19" i="4" s="1"/>
  <c r="AZ19" i="4" s="1"/>
  <c r="BL45" i="5"/>
  <c r="BQ45" i="5"/>
  <c r="AD20" i="4"/>
  <c r="AI45" i="5"/>
  <c r="AE19" i="4"/>
  <c r="AG19" i="4" s="1"/>
  <c r="AB20" i="4"/>
  <c r="BN44" i="5"/>
  <c r="BM45" i="5"/>
  <c r="AH44" i="5"/>
  <c r="AJ44" i="5" s="1"/>
  <c r="AN44" i="5" s="1"/>
  <c r="AP44" i="5" s="1"/>
  <c r="AG45" i="5"/>
  <c r="AH45" i="5" s="1"/>
  <c r="AF20" i="4"/>
  <c r="BN20" i="4"/>
  <c r="BP20" i="4"/>
  <c r="BU45" i="5"/>
  <c r="AK45" i="5"/>
  <c r="AE46" i="5" s="1"/>
  <c r="AO45" i="5"/>
  <c r="AD49" i="5"/>
  <c r="AC50" i="5"/>
  <c r="BJ50" i="5"/>
  <c r="DZ45" i="5"/>
  <c r="J38" i="4"/>
  <c r="BJ20" i="4"/>
  <c r="V44" i="5"/>
  <c r="J45" i="5"/>
  <c r="V45" i="5" s="1"/>
  <c r="J22" i="4"/>
  <c r="T21" i="4"/>
  <c r="J24" i="5"/>
  <c r="J9" i="5"/>
  <c r="CW20" i="4"/>
  <c r="CY20" i="4"/>
  <c r="CX45" i="5"/>
  <c r="DL45" i="5"/>
  <c r="B46" i="5"/>
  <c r="CT20" i="4"/>
  <c r="CZ19" i="4" s="1"/>
  <c r="DA19" i="4" s="1"/>
  <c r="CV20" i="4"/>
  <c r="CS20" i="4"/>
  <c r="BK20" i="4"/>
  <c r="CD19" i="4" s="1"/>
  <c r="X19" i="4"/>
  <c r="K38" i="4" s="1"/>
  <c r="X20" i="4"/>
  <c r="K39" i="4" s="1"/>
  <c r="B37" i="4"/>
  <c r="CR45" i="5"/>
  <c r="CQ44" i="5"/>
  <c r="CS44" i="5" s="1"/>
  <c r="DD44" i="5"/>
  <c r="DD45" i="5" s="1"/>
  <c r="DE44" i="5"/>
  <c r="CP44" i="5"/>
  <c r="CP45" i="5" s="1"/>
  <c r="DQ44" i="5"/>
  <c r="DQ45" i="5" s="1"/>
  <c r="DY44" i="5" s="1"/>
  <c r="EA44" i="5" s="1"/>
  <c r="DR44" i="5"/>
  <c r="DR45" i="5" s="1"/>
  <c r="DC44" i="5"/>
  <c r="DC45" i="5" s="1"/>
  <c r="DK44" i="5" s="1"/>
  <c r="DM44" i="5" s="1"/>
  <c r="DS44" i="5"/>
  <c r="DU44" i="5" s="1"/>
  <c r="CO44" i="5"/>
  <c r="CO45" i="5" s="1"/>
  <c r="CT45" i="5"/>
  <c r="DB45" i="5"/>
  <c r="DT45" i="5"/>
  <c r="DV45" i="5"/>
  <c r="AA46" i="5"/>
  <c r="DP45" i="5"/>
  <c r="CN45" i="5"/>
  <c r="AB44" i="5"/>
  <c r="K45" i="5" s="1"/>
  <c r="W45" i="5" s="1"/>
  <c r="DF45" i="5"/>
  <c r="DH45" i="5"/>
  <c r="AB45" i="5"/>
  <c r="K46" i="5" s="1"/>
  <c r="W46" i="5" s="1"/>
  <c r="BM19" i="4"/>
  <c r="BO19" i="4" s="1"/>
  <c r="BQ19" i="4" s="1"/>
  <c r="C39" i="4"/>
  <c r="W21" i="4"/>
  <c r="CU20" i="4"/>
  <c r="CA46" i="5" l="1"/>
  <c r="CE45" i="5"/>
  <c r="CG45" i="5" s="1"/>
  <c r="CH45" i="5" s="1"/>
  <c r="CL45" i="5" s="1"/>
  <c r="CG44" i="5"/>
  <c r="CH44" i="5" s="1"/>
  <c r="CL44" i="5" s="1"/>
  <c r="CF46" i="5"/>
  <c r="CI46" i="5" s="1"/>
  <c r="CD46" i="5"/>
  <c r="BE46" i="5"/>
  <c r="BA46" i="5"/>
  <c r="CJ46" i="5"/>
  <c r="AY46" i="5"/>
  <c r="CB46" i="5"/>
  <c r="CC46" i="5" s="1"/>
  <c r="BZ46" i="5"/>
  <c r="AZ45" i="5"/>
  <c r="BD45" i="5" s="1"/>
  <c r="CK45" i="5"/>
  <c r="BD44" i="5"/>
  <c r="BF44" i="5" s="1"/>
  <c r="BB44" i="5"/>
  <c r="BC44" i="5" s="1"/>
  <c r="BG44" i="5" s="1"/>
  <c r="D45" i="5" s="1"/>
  <c r="P45" i="5" s="1"/>
  <c r="AC21" i="4"/>
  <c r="AW46" i="5"/>
  <c r="AX46" i="5" s="1"/>
  <c r="AU46" i="5"/>
  <c r="BB46" i="5" s="1"/>
  <c r="AF46" i="5"/>
  <c r="AL44" i="5"/>
  <c r="AM44" i="5" s="1"/>
  <c r="AQ44" i="5" s="1"/>
  <c r="C45" i="5" s="1"/>
  <c r="O45" i="5" s="1"/>
  <c r="BO46" i="5"/>
  <c r="BN45" i="5"/>
  <c r="BP45" i="5" s="1"/>
  <c r="BR45" i="5" s="1"/>
  <c r="BP44" i="5"/>
  <c r="BT44" i="5"/>
  <c r="BV44" i="5" s="1"/>
  <c r="BL46" i="5"/>
  <c r="BT45" i="5" s="1"/>
  <c r="BK46" i="5"/>
  <c r="BQ46" i="5"/>
  <c r="AI46" i="5"/>
  <c r="AD21" i="4"/>
  <c r="AE20" i="4"/>
  <c r="BE19" i="4"/>
  <c r="BA19" i="4"/>
  <c r="AF21" i="4"/>
  <c r="BN21" i="4"/>
  <c r="AB21" i="4"/>
  <c r="Z21" i="4"/>
  <c r="AA21" i="4"/>
  <c r="X21" i="4"/>
  <c r="K40" i="4" s="1"/>
  <c r="BJ21" i="4"/>
  <c r="AJ45" i="5"/>
  <c r="AN45" i="5" s="1"/>
  <c r="AP45" i="5" s="1"/>
  <c r="BU46" i="5"/>
  <c r="AK46" i="5"/>
  <c r="AE47" i="5" s="1"/>
  <c r="AO46" i="5"/>
  <c r="AG46" i="5"/>
  <c r="AH46" i="5" s="1"/>
  <c r="BM46" i="5"/>
  <c r="CF19" i="4"/>
  <c r="CH19" i="4" s="1"/>
  <c r="CI19" i="4" s="1"/>
  <c r="CJ19" i="4" s="1"/>
  <c r="DG44" i="5"/>
  <c r="DI44" i="5" s="1"/>
  <c r="DJ44" i="5" s="1"/>
  <c r="AD50" i="5"/>
  <c r="AC51" i="5"/>
  <c r="BJ51" i="5"/>
  <c r="DZ46" i="5"/>
  <c r="J39" i="4"/>
  <c r="J46" i="5"/>
  <c r="J10" i="5"/>
  <c r="J25" i="5"/>
  <c r="J23" i="4"/>
  <c r="T22" i="4"/>
  <c r="CV21" i="4"/>
  <c r="CS21" i="4"/>
  <c r="CT21" i="4"/>
  <c r="CZ20" i="4" s="1"/>
  <c r="DA20" i="4" s="1"/>
  <c r="BP21" i="4"/>
  <c r="CY21" i="4"/>
  <c r="CW21" i="4"/>
  <c r="CX46" i="5"/>
  <c r="DL46" i="5"/>
  <c r="N46" i="5"/>
  <c r="B47" i="5"/>
  <c r="N47" i="5" s="1"/>
  <c r="BK21" i="4"/>
  <c r="CD20" i="4" s="1"/>
  <c r="CK19" i="4"/>
  <c r="CL19" i="4" s="1"/>
  <c r="DH46" i="5"/>
  <c r="AB46" i="5"/>
  <c r="K47" i="5" s="1"/>
  <c r="W47" i="5" s="1"/>
  <c r="AA47" i="5"/>
  <c r="DT46" i="5"/>
  <c r="CT46" i="5"/>
  <c r="CN46" i="5"/>
  <c r="CQ45" i="5"/>
  <c r="CS45" i="5" s="1"/>
  <c r="CU45" i="5" s="1"/>
  <c r="CV45" i="5" s="1"/>
  <c r="CO46" i="5"/>
  <c r="CW45" i="5" s="1"/>
  <c r="DE45" i="5"/>
  <c r="DW44" i="5"/>
  <c r="DX44" i="5" s="1"/>
  <c r="DS45" i="5"/>
  <c r="DU45" i="5" s="1"/>
  <c r="CP46" i="5"/>
  <c r="DR46" i="5"/>
  <c r="CU44" i="5"/>
  <c r="CV44" i="5" s="1"/>
  <c r="CW44" i="5"/>
  <c r="CY44" i="5" s="1"/>
  <c r="DP46" i="5"/>
  <c r="DF46" i="5"/>
  <c r="DV46" i="5"/>
  <c r="CR46" i="5"/>
  <c r="DQ46" i="5"/>
  <c r="DY45" i="5" s="1"/>
  <c r="EA45" i="5" s="1"/>
  <c r="DD46" i="5"/>
  <c r="DC46" i="5"/>
  <c r="DK45" i="5" s="1"/>
  <c r="DM45" i="5" s="1"/>
  <c r="DB46" i="5"/>
  <c r="CX19" i="4"/>
  <c r="DF19" i="4" s="1"/>
  <c r="BL20" i="4"/>
  <c r="BM20" i="4" s="1"/>
  <c r="BO20" i="4" s="1"/>
  <c r="BQ20" i="4" s="1"/>
  <c r="W22" i="4"/>
  <c r="C40" i="4"/>
  <c r="CU21" i="4"/>
  <c r="CX20" i="4"/>
  <c r="DF20" i="4" s="1"/>
  <c r="CE46" i="5" l="1"/>
  <c r="CG46" i="5" s="1"/>
  <c r="CH46" i="5" s="1"/>
  <c r="CL46" i="5" s="1"/>
  <c r="CB47" i="5"/>
  <c r="CC47" i="5" s="1"/>
  <c r="CK46" i="5"/>
  <c r="CA47" i="5"/>
  <c r="AC22" i="4"/>
  <c r="BF45" i="5"/>
  <c r="CD47" i="5"/>
  <c r="CJ47" i="5"/>
  <c r="CF47" i="5"/>
  <c r="CI47" i="5" s="1"/>
  <c r="BA47" i="5"/>
  <c r="AY47" i="5"/>
  <c r="BE47" i="5"/>
  <c r="AF47" i="5"/>
  <c r="BZ47" i="5"/>
  <c r="AW47" i="5"/>
  <c r="AX47" i="5" s="1"/>
  <c r="AU47" i="5"/>
  <c r="BB47" i="5" s="1"/>
  <c r="AZ46" i="5"/>
  <c r="BC45" i="5"/>
  <c r="BG45" i="5" s="1"/>
  <c r="D46" i="5" s="1"/>
  <c r="P46" i="5" s="1"/>
  <c r="AV47" i="5"/>
  <c r="BO47" i="5"/>
  <c r="BN46" i="5"/>
  <c r="BN47" i="5" s="1"/>
  <c r="AT20" i="4"/>
  <c r="AV20" i="4" s="1"/>
  <c r="AX20" i="4" s="1"/>
  <c r="AY20" i="4" s="1"/>
  <c r="AZ20" i="4" s="1"/>
  <c r="BR44" i="5"/>
  <c r="BS44" i="5" s="1"/>
  <c r="BQ47" i="5"/>
  <c r="BK47" i="5"/>
  <c r="BL47" i="5"/>
  <c r="BT46" i="5" s="1"/>
  <c r="BV45" i="5"/>
  <c r="AD22" i="4"/>
  <c r="BA20" i="4"/>
  <c r="BB20" i="4" s="1"/>
  <c r="AG20" i="4"/>
  <c r="BE20" i="4" s="1"/>
  <c r="BS45" i="5"/>
  <c r="BB19" i="4"/>
  <c r="BC19" i="4" s="1"/>
  <c r="BD19" i="4" s="1"/>
  <c r="D38" i="4" s="1"/>
  <c r="BF19" i="4"/>
  <c r="AE21" i="4"/>
  <c r="Z22" i="4"/>
  <c r="AF22" i="4"/>
  <c r="BN22" i="4"/>
  <c r="AB22" i="4"/>
  <c r="AA22" i="4"/>
  <c r="BJ22" i="4"/>
  <c r="AJ46" i="5"/>
  <c r="AN46" i="5" s="1"/>
  <c r="AP46" i="5" s="1"/>
  <c r="AG47" i="5"/>
  <c r="BU47" i="5"/>
  <c r="AO47" i="5"/>
  <c r="AK47" i="5"/>
  <c r="AE48" i="5" s="1"/>
  <c r="AI47" i="5"/>
  <c r="BM47" i="5"/>
  <c r="F45" i="5"/>
  <c r="R45" i="5" s="1"/>
  <c r="AD51" i="5"/>
  <c r="AC52" i="5"/>
  <c r="BJ52" i="5"/>
  <c r="DZ47" i="5"/>
  <c r="J40" i="4"/>
  <c r="DE46" i="5"/>
  <c r="DG45" i="5"/>
  <c r="DI45" i="5" s="1"/>
  <c r="DJ45" i="5" s="1"/>
  <c r="DN45" i="5" s="1"/>
  <c r="J24" i="4"/>
  <c r="T23" i="4"/>
  <c r="J11" i="5"/>
  <c r="J26" i="5"/>
  <c r="J47" i="5"/>
  <c r="V47" i="5" s="1"/>
  <c r="V46" i="5"/>
  <c r="CV22" i="4"/>
  <c r="BP22" i="4"/>
  <c r="CY22" i="4"/>
  <c r="CW22" i="4"/>
  <c r="X22" i="4"/>
  <c r="K41" i="4" s="1"/>
  <c r="CT22" i="4"/>
  <c r="CS22" i="4"/>
  <c r="EB44" i="5"/>
  <c r="I45" i="5" s="1"/>
  <c r="U45" i="5" s="1"/>
  <c r="DN44" i="5"/>
  <c r="H45" i="5" s="1"/>
  <c r="T45" i="5" s="1"/>
  <c r="CX47" i="5"/>
  <c r="DL47" i="5"/>
  <c r="CZ44" i="5"/>
  <c r="G45" i="5" s="1"/>
  <c r="S45" i="5" s="1"/>
  <c r="DD47" i="5"/>
  <c r="CZ45" i="5"/>
  <c r="G46" i="5" s="1"/>
  <c r="S46" i="5" s="1"/>
  <c r="CY45" i="5"/>
  <c r="DB47" i="5"/>
  <c r="CT47" i="5"/>
  <c r="AA48" i="5"/>
  <c r="AB47" i="5"/>
  <c r="K48" i="5" s="1"/>
  <c r="W48" i="5" s="1"/>
  <c r="B48" i="5"/>
  <c r="DV47" i="5"/>
  <c r="DF47" i="5"/>
  <c r="BK22" i="4"/>
  <c r="CD21" i="4" s="1"/>
  <c r="CF20" i="4"/>
  <c r="CH20" i="4" s="1"/>
  <c r="CR47" i="5"/>
  <c r="DH47" i="5"/>
  <c r="DT47" i="5"/>
  <c r="CK20" i="4"/>
  <c r="CL20" i="4" s="1"/>
  <c r="DG19" i="4"/>
  <c r="DB19" i="4"/>
  <c r="DC19" i="4" s="1"/>
  <c r="CP47" i="5"/>
  <c r="CN47" i="5"/>
  <c r="CQ46" i="5"/>
  <c r="CS46" i="5" s="1"/>
  <c r="CU46" i="5" s="1"/>
  <c r="CV46" i="5" s="1"/>
  <c r="CO47" i="5"/>
  <c r="CW46" i="5" s="1"/>
  <c r="DS46" i="5"/>
  <c r="DU46" i="5" s="1"/>
  <c r="DW46" i="5" s="1"/>
  <c r="DX46" i="5" s="1"/>
  <c r="DW45" i="5"/>
  <c r="DX45" i="5" s="1"/>
  <c r="DP47" i="5"/>
  <c r="DQ47" i="5"/>
  <c r="DY46" i="5" s="1"/>
  <c r="EA46" i="5" s="1"/>
  <c r="DR47" i="5"/>
  <c r="DC47" i="5"/>
  <c r="DK46" i="5" s="1"/>
  <c r="DM46" i="5" s="1"/>
  <c r="DG20" i="4"/>
  <c r="DB20" i="4"/>
  <c r="DC20" i="4" s="1"/>
  <c r="CM19" i="4"/>
  <c r="CN19" i="4" s="1"/>
  <c r="F38" i="4" s="1"/>
  <c r="CO19" i="4"/>
  <c r="CP19" i="4" s="1"/>
  <c r="BL21" i="4"/>
  <c r="BM21" i="4" s="1"/>
  <c r="BO21" i="4" s="1"/>
  <c r="BQ21" i="4" s="1"/>
  <c r="CU22" i="4"/>
  <c r="CX21" i="4"/>
  <c r="DF21" i="4" s="1"/>
  <c r="C41" i="4"/>
  <c r="W23" i="4"/>
  <c r="CE47" i="5" l="1"/>
  <c r="CG47" i="5" s="1"/>
  <c r="CH47" i="5" s="1"/>
  <c r="CL47" i="5" s="1"/>
  <c r="CB48" i="5"/>
  <c r="CC48" i="5" s="1"/>
  <c r="AF48" i="5"/>
  <c r="AC23" i="4"/>
  <c r="BD46" i="5"/>
  <c r="BF46" i="5" s="1"/>
  <c r="BC46" i="5"/>
  <c r="BG46" i="5" s="1"/>
  <c r="D47" i="5" s="1"/>
  <c r="P47" i="5" s="1"/>
  <c r="AV48" i="5"/>
  <c r="AW48" i="5"/>
  <c r="AX48" i="5" s="1"/>
  <c r="AU48" i="5"/>
  <c r="BB48" i="5" s="1"/>
  <c r="CA48" i="5"/>
  <c r="AZ47" i="5"/>
  <c r="CK47" i="5"/>
  <c r="CF48" i="5"/>
  <c r="CI48" i="5" s="1"/>
  <c r="CJ48" i="5"/>
  <c r="CD48" i="5"/>
  <c r="CE48" i="5" s="1"/>
  <c r="BE48" i="5"/>
  <c r="BA48" i="5"/>
  <c r="AY48" i="5"/>
  <c r="BP47" i="5"/>
  <c r="BR47" i="5" s="1"/>
  <c r="BZ48" i="5"/>
  <c r="BO48" i="5"/>
  <c r="BK48" i="5"/>
  <c r="BN48" i="5"/>
  <c r="BP46" i="5"/>
  <c r="BR46" i="5" s="1"/>
  <c r="BS46" i="5" s="1"/>
  <c r="AT21" i="4"/>
  <c r="AV21" i="4" s="1"/>
  <c r="AX21" i="4" s="1"/>
  <c r="AY21" i="4" s="1"/>
  <c r="AZ21" i="4" s="1"/>
  <c r="BW44" i="5"/>
  <c r="E45" i="5" s="1"/>
  <c r="Q45" i="5" s="1"/>
  <c r="BW45" i="5"/>
  <c r="E46" i="5" s="1"/>
  <c r="Q46" i="5" s="1"/>
  <c r="BV46" i="5"/>
  <c r="BL48" i="5"/>
  <c r="BT47" i="5" s="1"/>
  <c r="BQ48" i="5"/>
  <c r="AD23" i="4"/>
  <c r="BF20" i="4"/>
  <c r="AG21" i="4"/>
  <c r="BE21" i="4" s="1"/>
  <c r="BC20" i="4"/>
  <c r="BD20" i="4" s="1"/>
  <c r="D39" i="4" s="1"/>
  <c r="BG19" i="4"/>
  <c r="E38" i="4" s="1"/>
  <c r="BA21" i="4"/>
  <c r="AA23" i="4"/>
  <c r="AB23" i="4"/>
  <c r="AE22" i="4"/>
  <c r="AG22" i="4" s="1"/>
  <c r="Z23" i="4"/>
  <c r="AF23" i="4"/>
  <c r="BN23" i="4"/>
  <c r="BJ23" i="4"/>
  <c r="AK48" i="5"/>
  <c r="AE49" i="5" s="1"/>
  <c r="AO48" i="5"/>
  <c r="BU48" i="5"/>
  <c r="AI48" i="5"/>
  <c r="BM48" i="5"/>
  <c r="AG48" i="5"/>
  <c r="AH48" i="5" s="1"/>
  <c r="AH47" i="5"/>
  <c r="AJ47" i="5" s="1"/>
  <c r="AN47" i="5" s="1"/>
  <c r="AP47" i="5" s="1"/>
  <c r="F46" i="5"/>
  <c r="R46" i="5" s="1"/>
  <c r="DG46" i="5"/>
  <c r="DI46" i="5" s="1"/>
  <c r="DJ46" i="5" s="1"/>
  <c r="DN46" i="5" s="1"/>
  <c r="H47" i="5" s="1"/>
  <c r="T47" i="5" s="1"/>
  <c r="AD52" i="5"/>
  <c r="AC53" i="5"/>
  <c r="BJ53" i="5"/>
  <c r="DH48" i="5"/>
  <c r="J41" i="4"/>
  <c r="DE47" i="5"/>
  <c r="J48" i="5"/>
  <c r="V48" i="5" s="1"/>
  <c r="J12" i="5"/>
  <c r="J27" i="5"/>
  <c r="J25" i="4"/>
  <c r="T24" i="4"/>
  <c r="CT23" i="4"/>
  <c r="CZ22" i="4" s="1"/>
  <c r="CV23" i="4"/>
  <c r="CZ21" i="4"/>
  <c r="DA21" i="4" s="1"/>
  <c r="CW23" i="4"/>
  <c r="BP23" i="4"/>
  <c r="CY23" i="4"/>
  <c r="X23" i="4"/>
  <c r="K42" i="4" s="1"/>
  <c r="CS23" i="4"/>
  <c r="CP48" i="5"/>
  <c r="CN48" i="5"/>
  <c r="AA49" i="5"/>
  <c r="AB48" i="5"/>
  <c r="K49" i="5" s="1"/>
  <c r="W49" i="5" s="1"/>
  <c r="DL48" i="5"/>
  <c r="DZ48" i="5"/>
  <c r="DD48" i="5"/>
  <c r="EB45" i="5"/>
  <c r="I46" i="5" s="1"/>
  <c r="U46" i="5" s="1"/>
  <c r="EB46" i="5"/>
  <c r="I47" i="5" s="1"/>
  <c r="U47" i="5" s="1"/>
  <c r="H46" i="5"/>
  <c r="T46" i="5" s="1"/>
  <c r="CX48" i="5"/>
  <c r="CZ46" i="5"/>
  <c r="G47" i="5" s="1"/>
  <c r="S47" i="5" s="1"/>
  <c r="CY46" i="5"/>
  <c r="DT48" i="5"/>
  <c r="DF48" i="5"/>
  <c r="CR48" i="5"/>
  <c r="B49" i="5"/>
  <c r="CT48" i="5"/>
  <c r="DV48" i="5"/>
  <c r="DR48" i="5"/>
  <c r="DP48" i="5"/>
  <c r="N48" i="5"/>
  <c r="DB48" i="5"/>
  <c r="BK23" i="4"/>
  <c r="CD22" i="4" s="1"/>
  <c r="DD19" i="4"/>
  <c r="DG21" i="4"/>
  <c r="CQ47" i="5"/>
  <c r="CS47" i="5" s="1"/>
  <c r="CU47" i="5" s="1"/>
  <c r="CV47" i="5" s="1"/>
  <c r="CO48" i="5"/>
  <c r="CW47" i="5" s="1"/>
  <c r="DS47" i="5"/>
  <c r="DQ48" i="5"/>
  <c r="DY47" i="5" s="1"/>
  <c r="EA47" i="5" s="1"/>
  <c r="DC48" i="5"/>
  <c r="DK47" i="5" s="1"/>
  <c r="DM47" i="5" s="1"/>
  <c r="DB21" i="4"/>
  <c r="DC21" i="4" s="1"/>
  <c r="CQ19" i="4"/>
  <c r="G38" i="4" s="1"/>
  <c r="CO20" i="4"/>
  <c r="CP20" i="4" s="1"/>
  <c r="CI20" i="4"/>
  <c r="CJ20" i="4" s="1"/>
  <c r="BL22" i="4"/>
  <c r="BM22" i="4" s="1"/>
  <c r="BO22" i="4" s="1"/>
  <c r="BQ22" i="4" s="1"/>
  <c r="C42" i="4"/>
  <c r="W24" i="4"/>
  <c r="CU23" i="4"/>
  <c r="CX22" i="4"/>
  <c r="DF22" i="4" s="1"/>
  <c r="BZ49" i="5" l="1"/>
  <c r="BD47" i="5"/>
  <c r="BF47" i="5" s="1"/>
  <c r="BC47" i="5"/>
  <c r="BG47" i="5" s="1"/>
  <c r="D48" i="5" s="1"/>
  <c r="P48" i="5" s="1"/>
  <c r="CG48" i="5"/>
  <c r="CH48" i="5" s="1"/>
  <c r="CL48" i="5" s="1"/>
  <c r="AW49" i="5"/>
  <c r="AX49" i="5" s="1"/>
  <c r="AU49" i="5"/>
  <c r="BB49" i="5" s="1"/>
  <c r="CA49" i="5"/>
  <c r="AF49" i="5"/>
  <c r="CF49" i="5"/>
  <c r="CI49" i="5" s="1"/>
  <c r="CD49" i="5"/>
  <c r="CJ49" i="5"/>
  <c r="AY49" i="5"/>
  <c r="BE49" i="5"/>
  <c r="BA49" i="5"/>
  <c r="AC24" i="4"/>
  <c r="AZ48" i="5"/>
  <c r="AV49" i="5"/>
  <c r="CK48" i="5"/>
  <c r="CB49" i="5"/>
  <c r="CC49" i="5" s="1"/>
  <c r="BP48" i="5"/>
  <c r="BR48" i="5" s="1"/>
  <c r="BQ49" i="5"/>
  <c r="BO49" i="5"/>
  <c r="BN49" i="5"/>
  <c r="AT22" i="4"/>
  <c r="AV22" i="4" s="1"/>
  <c r="AX22" i="4" s="1"/>
  <c r="AY22" i="4" s="1"/>
  <c r="AZ22" i="4" s="1"/>
  <c r="BW46" i="5"/>
  <c r="E47" i="5" s="1"/>
  <c r="Q47" i="5" s="1"/>
  <c r="BV47" i="5"/>
  <c r="BL49" i="5"/>
  <c r="BT48" i="5" s="1"/>
  <c r="BK49" i="5"/>
  <c r="AD24" i="4"/>
  <c r="BF21" i="4"/>
  <c r="BG20" i="4"/>
  <c r="E39" i="4" s="1"/>
  <c r="BB21" i="4"/>
  <c r="BC21" i="4" s="1"/>
  <c r="BD21" i="4" s="1"/>
  <c r="D40" i="4" s="1"/>
  <c r="Z24" i="4"/>
  <c r="BE22" i="4"/>
  <c r="BA22" i="4"/>
  <c r="AF24" i="4"/>
  <c r="BN24" i="4"/>
  <c r="AE23" i="4"/>
  <c r="AG23" i="4" s="1"/>
  <c r="AA24" i="4"/>
  <c r="AB24" i="4"/>
  <c r="BJ24" i="4"/>
  <c r="J42" i="4"/>
  <c r="AG49" i="5"/>
  <c r="AH49" i="5" s="1"/>
  <c r="BU49" i="5"/>
  <c r="AK49" i="5"/>
  <c r="AE50" i="5" s="1"/>
  <c r="AO49" i="5"/>
  <c r="AI49" i="5"/>
  <c r="BM49" i="5"/>
  <c r="AJ48" i="5"/>
  <c r="AN48" i="5" s="1"/>
  <c r="AP48" i="5" s="1"/>
  <c r="BS47" i="5"/>
  <c r="F47" i="5"/>
  <c r="R47" i="5" s="1"/>
  <c r="DB49" i="5"/>
  <c r="DE48" i="5"/>
  <c r="DE49" i="5" s="1"/>
  <c r="DD49" i="5"/>
  <c r="AD53" i="5"/>
  <c r="AC54" i="5"/>
  <c r="BJ54" i="5"/>
  <c r="DH49" i="5"/>
  <c r="DG47" i="5"/>
  <c r="DI47" i="5" s="1"/>
  <c r="DJ47" i="5" s="1"/>
  <c r="DN47" i="5" s="1"/>
  <c r="H48" i="5" s="1"/>
  <c r="T48" i="5" s="1"/>
  <c r="J26" i="4"/>
  <c r="T25" i="4"/>
  <c r="N49" i="5"/>
  <c r="J49" i="5"/>
  <c r="V49" i="5" s="1"/>
  <c r="J13" i="5"/>
  <c r="J28" i="5"/>
  <c r="CV24" i="4"/>
  <c r="CP49" i="5"/>
  <c r="DF49" i="5"/>
  <c r="CR49" i="5"/>
  <c r="CT49" i="5"/>
  <c r="AA50" i="5"/>
  <c r="CT24" i="4"/>
  <c r="DA22" i="4"/>
  <c r="CS24" i="4"/>
  <c r="BP24" i="4"/>
  <c r="CY24" i="4"/>
  <c r="CW24" i="4"/>
  <c r="X24" i="4"/>
  <c r="K43" i="4" s="1"/>
  <c r="CN49" i="5"/>
  <c r="DV49" i="5"/>
  <c r="B50" i="5"/>
  <c r="DZ49" i="5"/>
  <c r="AB49" i="5"/>
  <c r="K50" i="5" s="1"/>
  <c r="W50" i="5" s="1"/>
  <c r="CX49" i="5"/>
  <c r="DL49" i="5"/>
  <c r="DT49" i="5"/>
  <c r="DP49" i="5"/>
  <c r="CZ47" i="5"/>
  <c r="G48" i="5" s="1"/>
  <c r="S48" i="5" s="1"/>
  <c r="CY47" i="5"/>
  <c r="DR49" i="5"/>
  <c r="CF21" i="4"/>
  <c r="CH21" i="4" s="1"/>
  <c r="CI21" i="4" s="1"/>
  <c r="CJ21" i="4" s="1"/>
  <c r="BK24" i="4"/>
  <c r="CD23" i="4" s="1"/>
  <c r="DE19" i="4"/>
  <c r="H38" i="4" s="1"/>
  <c r="DH19" i="4"/>
  <c r="I38" i="4" s="1"/>
  <c r="DD20" i="4"/>
  <c r="DB22" i="4"/>
  <c r="DC22" i="4" s="1"/>
  <c r="CQ48" i="5"/>
  <c r="CS48" i="5" s="1"/>
  <c r="CU48" i="5" s="1"/>
  <c r="CV48" i="5" s="1"/>
  <c r="CO49" i="5"/>
  <c r="CW48" i="5" s="1"/>
  <c r="DC49" i="5"/>
  <c r="DK48" i="5" s="1"/>
  <c r="DM48" i="5" s="1"/>
  <c r="DQ49" i="5"/>
  <c r="DY48" i="5" s="1"/>
  <c r="EA48" i="5" s="1"/>
  <c r="DU47" i="5"/>
  <c r="DW47" i="5" s="1"/>
  <c r="DX47" i="5" s="1"/>
  <c r="DS48" i="5"/>
  <c r="DG22" i="4"/>
  <c r="CM20" i="4"/>
  <c r="CK21" i="4"/>
  <c r="CL21" i="4" s="1"/>
  <c r="CO21" i="4"/>
  <c r="BL23" i="4"/>
  <c r="BM23" i="4" s="1"/>
  <c r="BO23" i="4" s="1"/>
  <c r="BQ23" i="4" s="1"/>
  <c r="CX23" i="4"/>
  <c r="DF23" i="4" s="1"/>
  <c r="W25" i="4"/>
  <c r="C43" i="4"/>
  <c r="CU24" i="4"/>
  <c r="BZ50" i="5" l="1"/>
  <c r="CB50" i="5"/>
  <c r="CC50" i="5" s="1"/>
  <c r="CD50" i="5"/>
  <c r="CJ50" i="5"/>
  <c r="CF50" i="5"/>
  <c r="CI50" i="5" s="1"/>
  <c r="BE50" i="5"/>
  <c r="BA50" i="5"/>
  <c r="AY50" i="5"/>
  <c r="AZ49" i="5"/>
  <c r="AC25" i="4"/>
  <c r="BD48" i="5"/>
  <c r="BF48" i="5" s="1"/>
  <c r="BC48" i="5"/>
  <c r="BG48" i="5" s="1"/>
  <c r="D49" i="5" s="1"/>
  <c r="P49" i="5" s="1"/>
  <c r="CK49" i="5"/>
  <c r="AF50" i="5"/>
  <c r="AV50" i="5"/>
  <c r="AW50" i="5"/>
  <c r="AX50" i="5" s="1"/>
  <c r="AU50" i="5"/>
  <c r="BB50" i="5" s="1"/>
  <c r="CA50" i="5"/>
  <c r="CE49" i="5"/>
  <c r="BO50" i="5"/>
  <c r="BK50" i="5"/>
  <c r="BN50" i="5"/>
  <c r="BP49" i="5"/>
  <c r="AT23" i="4"/>
  <c r="AV23" i="4" s="1"/>
  <c r="AX23" i="4" s="1"/>
  <c r="AY23" i="4" s="1"/>
  <c r="AZ23" i="4" s="1"/>
  <c r="BW47" i="5"/>
  <c r="E48" i="5" s="1"/>
  <c r="Q48" i="5" s="1"/>
  <c r="BV48" i="5"/>
  <c r="BL50" i="5"/>
  <c r="BT49" i="5" s="1"/>
  <c r="BQ50" i="5"/>
  <c r="BG21" i="4"/>
  <c r="E40" i="4" s="1"/>
  <c r="AE24" i="4"/>
  <c r="AF25" i="4"/>
  <c r="BN25" i="4"/>
  <c r="Y25" i="4"/>
  <c r="AD25" i="4" s="1"/>
  <c r="AA25" i="4"/>
  <c r="AT24" i="4" s="1"/>
  <c r="AB25" i="4"/>
  <c r="BF22" i="4"/>
  <c r="BB22" i="4"/>
  <c r="BC22" i="4" s="1"/>
  <c r="BD22" i="4" s="1"/>
  <c r="D41" i="4" s="1"/>
  <c r="BE23" i="4"/>
  <c r="BA23" i="4"/>
  <c r="Z25" i="4"/>
  <c r="BJ25" i="4"/>
  <c r="J43" i="4"/>
  <c r="F48" i="5"/>
  <c r="R48" i="5" s="1"/>
  <c r="BM50" i="5"/>
  <c r="AG50" i="5"/>
  <c r="AH50" i="5" s="1"/>
  <c r="AK50" i="5"/>
  <c r="AE51" i="5" s="1"/>
  <c r="AO50" i="5"/>
  <c r="BU50" i="5"/>
  <c r="AI50" i="5"/>
  <c r="AJ49" i="5"/>
  <c r="AN49" i="5" s="1"/>
  <c r="AP49" i="5" s="1"/>
  <c r="BS48" i="5"/>
  <c r="BW48" i="5" s="1"/>
  <c r="DD50" i="5"/>
  <c r="DB50" i="5"/>
  <c r="DG48" i="5"/>
  <c r="DI48" i="5" s="1"/>
  <c r="DJ48" i="5" s="1"/>
  <c r="DN48" i="5" s="1"/>
  <c r="H49" i="5" s="1"/>
  <c r="T49" i="5" s="1"/>
  <c r="AD54" i="5"/>
  <c r="AC55" i="5"/>
  <c r="BJ55" i="5"/>
  <c r="DZ50" i="5"/>
  <c r="J50" i="5"/>
  <c r="V50" i="5" s="1"/>
  <c r="J14" i="5"/>
  <c r="J29" i="5"/>
  <c r="J27" i="4"/>
  <c r="T26" i="4"/>
  <c r="CV25" i="4"/>
  <c r="CF22" i="4"/>
  <c r="CH22" i="4" s="1"/>
  <c r="CI22" i="4" s="1"/>
  <c r="CJ22" i="4" s="1"/>
  <c r="CK23" i="4" s="1"/>
  <c r="CL23" i="4" s="1"/>
  <c r="DE50" i="5"/>
  <c r="DV50" i="5"/>
  <c r="CN50" i="5"/>
  <c r="AA51" i="5"/>
  <c r="DF50" i="5"/>
  <c r="AB50" i="5"/>
  <c r="K51" i="5" s="1"/>
  <c r="W51" i="5" s="1"/>
  <c r="B51" i="5"/>
  <c r="CP50" i="5"/>
  <c r="DR50" i="5"/>
  <c r="DL50" i="5"/>
  <c r="CR50" i="5"/>
  <c r="DH50" i="5"/>
  <c r="DT50" i="5"/>
  <c r="CT50" i="5"/>
  <c r="CX50" i="5"/>
  <c r="CT25" i="4"/>
  <c r="CZ24" i="4" s="1"/>
  <c r="CZ23" i="4"/>
  <c r="DA23" i="4" s="1"/>
  <c r="BP25" i="4"/>
  <c r="CY25" i="4"/>
  <c r="CW25" i="4"/>
  <c r="X25" i="4"/>
  <c r="K44" i="4" s="1"/>
  <c r="CS25" i="4"/>
  <c r="DP50" i="5"/>
  <c r="DG49" i="5"/>
  <c r="DI49" i="5" s="1"/>
  <c r="DJ49" i="5" s="1"/>
  <c r="DN49" i="5" s="1"/>
  <c r="N50" i="5"/>
  <c r="EB47" i="5"/>
  <c r="I48" i="5" s="1"/>
  <c r="U48" i="5" s="1"/>
  <c r="CY48" i="5"/>
  <c r="CZ48" i="5"/>
  <c r="G49" i="5" s="1"/>
  <c r="S49" i="5" s="1"/>
  <c r="BK25" i="4"/>
  <c r="CD24" i="4" s="1"/>
  <c r="DD21" i="4"/>
  <c r="DH21" i="4" s="1"/>
  <c r="I40" i="4" s="1"/>
  <c r="DE20" i="4"/>
  <c r="H39" i="4" s="1"/>
  <c r="DH20" i="4"/>
  <c r="I39" i="4" s="1"/>
  <c r="CP21" i="4"/>
  <c r="DG23" i="4"/>
  <c r="CM21" i="4"/>
  <c r="CN21" i="4" s="1"/>
  <c r="F40" i="4" s="1"/>
  <c r="CQ49" i="5"/>
  <c r="CS49" i="5" s="1"/>
  <c r="CU49" i="5" s="1"/>
  <c r="CV49" i="5" s="1"/>
  <c r="CO50" i="5"/>
  <c r="CW49" i="5" s="1"/>
  <c r="DC50" i="5"/>
  <c r="DK49" i="5" s="1"/>
  <c r="DM49" i="5" s="1"/>
  <c r="DQ50" i="5"/>
  <c r="DY49" i="5" s="1"/>
  <c r="EA49" i="5" s="1"/>
  <c r="DS49" i="5"/>
  <c r="DU48" i="5"/>
  <c r="DW48" i="5" s="1"/>
  <c r="DX48" i="5" s="1"/>
  <c r="DB23" i="4"/>
  <c r="DC23" i="4" s="1"/>
  <c r="CQ20" i="4"/>
  <c r="G39" i="4" s="1"/>
  <c r="CN20" i="4"/>
  <c r="F39" i="4" s="1"/>
  <c r="CK22" i="4"/>
  <c r="CL22" i="4" s="1"/>
  <c r="CO22" i="4"/>
  <c r="BL24" i="4"/>
  <c r="BM24" i="4" s="1"/>
  <c r="BO24" i="4" s="1"/>
  <c r="BQ24" i="4" s="1"/>
  <c r="CX24" i="4"/>
  <c r="DF24" i="4" s="1"/>
  <c r="W26" i="4"/>
  <c r="C44" i="4"/>
  <c r="CU25" i="4"/>
  <c r="CA51" i="5" l="1"/>
  <c r="BZ51" i="5"/>
  <c r="CB51" i="5"/>
  <c r="CC51" i="5" s="1"/>
  <c r="CE50" i="5"/>
  <c r="CG50" i="5" s="1"/>
  <c r="CH50" i="5" s="1"/>
  <c r="CL50" i="5" s="1"/>
  <c r="AZ50" i="5"/>
  <c r="BD50" i="5" s="1"/>
  <c r="CG49" i="5"/>
  <c r="CH49" i="5" s="1"/>
  <c r="CL49" i="5" s="1"/>
  <c r="AV51" i="5"/>
  <c r="AW51" i="5"/>
  <c r="AX51" i="5" s="1"/>
  <c r="AU51" i="5"/>
  <c r="BB51" i="5" s="1"/>
  <c r="AC26" i="4"/>
  <c r="BD49" i="5"/>
  <c r="BF49" i="5" s="1"/>
  <c r="BC49" i="5"/>
  <c r="BG49" i="5" s="1"/>
  <c r="D50" i="5" s="1"/>
  <c r="P50" i="5" s="1"/>
  <c r="CJ51" i="5"/>
  <c r="CF51" i="5"/>
  <c r="CI51" i="5" s="1"/>
  <c r="CD51" i="5"/>
  <c r="BA51" i="5"/>
  <c r="BE51" i="5"/>
  <c r="AY51" i="5"/>
  <c r="AF51" i="5"/>
  <c r="CK50" i="5"/>
  <c r="BO51" i="5"/>
  <c r="BK51" i="5"/>
  <c r="BP50" i="5"/>
  <c r="BR50" i="5" s="1"/>
  <c r="BN51" i="5"/>
  <c r="E49" i="5"/>
  <c r="Q49" i="5" s="1"/>
  <c r="BL51" i="5"/>
  <c r="BT50" i="5" s="1"/>
  <c r="BR49" i="5"/>
  <c r="BS49" i="5" s="1"/>
  <c r="BQ51" i="5"/>
  <c r="BA24" i="4"/>
  <c r="BB24" i="4" s="1"/>
  <c r="AG24" i="4"/>
  <c r="BE24" i="4" s="1"/>
  <c r="AV24" i="4"/>
  <c r="AX24" i="4" s="1"/>
  <c r="AY24" i="4" s="1"/>
  <c r="AZ24" i="4" s="1"/>
  <c r="Z26" i="4"/>
  <c r="AF26" i="4"/>
  <c r="BN26" i="4"/>
  <c r="Y26" i="4"/>
  <c r="AD26" i="4" s="1"/>
  <c r="BG22" i="4"/>
  <c r="E41" i="4" s="1"/>
  <c r="AB26" i="4"/>
  <c r="AA26" i="4"/>
  <c r="AT25" i="4" s="1"/>
  <c r="AE25" i="4"/>
  <c r="AG25" i="4" s="1"/>
  <c r="BF23" i="4"/>
  <c r="BB23" i="4"/>
  <c r="BC23" i="4" s="1"/>
  <c r="BJ26" i="4"/>
  <c r="BV49" i="5"/>
  <c r="F49" i="5"/>
  <c r="R49" i="5" s="1"/>
  <c r="J44" i="4"/>
  <c r="AJ50" i="5"/>
  <c r="AN50" i="5" s="1"/>
  <c r="AP50" i="5" s="1"/>
  <c r="AG51" i="5"/>
  <c r="AH51" i="5" s="1"/>
  <c r="BU51" i="5"/>
  <c r="AO51" i="5"/>
  <c r="AK51" i="5"/>
  <c r="AE52" i="5" s="1"/>
  <c r="AI51" i="5"/>
  <c r="BM51" i="5"/>
  <c r="DD51" i="5"/>
  <c r="CT51" i="5"/>
  <c r="DL51" i="5"/>
  <c r="AD55" i="5"/>
  <c r="AC56" i="5"/>
  <c r="BJ56" i="5"/>
  <c r="AB51" i="5"/>
  <c r="K52" i="5" s="1"/>
  <c r="W52" i="5" s="1"/>
  <c r="DV51" i="5"/>
  <c r="CX51" i="5"/>
  <c r="AA52" i="5"/>
  <c r="DF51" i="5"/>
  <c r="B52" i="5"/>
  <c r="N52" i="5" s="1"/>
  <c r="N51" i="5"/>
  <c r="J51" i="5"/>
  <c r="V51" i="5" s="1"/>
  <c r="J28" i="4"/>
  <c r="T27" i="4"/>
  <c r="DR51" i="5"/>
  <c r="J15" i="5"/>
  <c r="J30" i="5"/>
  <c r="DA24" i="4"/>
  <c r="CT26" i="4"/>
  <c r="CZ25" i="4" s="1"/>
  <c r="CV26" i="4"/>
  <c r="DP51" i="5"/>
  <c r="DG50" i="5"/>
  <c r="DI50" i="5" s="1"/>
  <c r="DJ50" i="5" s="1"/>
  <c r="DN50" i="5" s="1"/>
  <c r="H51" i="5" s="1"/>
  <c r="T51" i="5" s="1"/>
  <c r="DT51" i="5"/>
  <c r="CR51" i="5"/>
  <c r="DH51" i="5"/>
  <c r="DZ51" i="5"/>
  <c r="DE51" i="5"/>
  <c r="CN51" i="5"/>
  <c r="DB51" i="5"/>
  <c r="CP51" i="5"/>
  <c r="CS26" i="4"/>
  <c r="BP26" i="4"/>
  <c r="CY26" i="4"/>
  <c r="CW26" i="4"/>
  <c r="X26" i="4"/>
  <c r="K45" i="4" s="1"/>
  <c r="EB48" i="5"/>
  <c r="I49" i="5" s="1"/>
  <c r="U49" i="5" s="1"/>
  <c r="H50" i="5"/>
  <c r="T50" i="5" s="1"/>
  <c r="CZ49" i="5"/>
  <c r="G50" i="5" s="1"/>
  <c r="S50" i="5" s="1"/>
  <c r="CY49" i="5"/>
  <c r="BK26" i="4"/>
  <c r="CD25" i="4" s="1"/>
  <c r="DD22" i="4"/>
  <c r="DE22" i="4" s="1"/>
  <c r="H41" i="4" s="1"/>
  <c r="DE21" i="4"/>
  <c r="H40" i="4" s="1"/>
  <c r="CP22" i="4"/>
  <c r="CQ50" i="5"/>
  <c r="CQ51" i="5" s="1"/>
  <c r="CO51" i="5"/>
  <c r="CW50" i="5" s="1"/>
  <c r="DC51" i="5"/>
  <c r="DK50" i="5" s="1"/>
  <c r="DM50" i="5" s="1"/>
  <c r="DQ51" i="5"/>
  <c r="DY50" i="5" s="1"/>
  <c r="EA50" i="5" s="1"/>
  <c r="DS50" i="5"/>
  <c r="DU49" i="5"/>
  <c r="DW49" i="5" s="1"/>
  <c r="DX49" i="5" s="1"/>
  <c r="DG24" i="4"/>
  <c r="DB24" i="4"/>
  <c r="DC24" i="4" s="1"/>
  <c r="CQ21" i="4"/>
  <c r="G40" i="4" s="1"/>
  <c r="CM22" i="4"/>
  <c r="CO23" i="4"/>
  <c r="CP23" i="4" s="1"/>
  <c r="BL25" i="4"/>
  <c r="BM25" i="4" s="1"/>
  <c r="BO25" i="4" s="1"/>
  <c r="BQ25" i="4" s="1"/>
  <c r="CF23" i="4"/>
  <c r="CH23" i="4" s="1"/>
  <c r="CX25" i="4"/>
  <c r="DF25" i="4" s="1"/>
  <c r="CU26" i="4"/>
  <c r="W27" i="4"/>
  <c r="C45" i="4"/>
  <c r="BC50" i="5" l="1"/>
  <c r="BG50" i="5" s="1"/>
  <c r="D51" i="5" s="1"/>
  <c r="P51" i="5" s="1"/>
  <c r="CB52" i="5"/>
  <c r="CC52" i="5" s="1"/>
  <c r="CE51" i="5"/>
  <c r="CG51" i="5" s="1"/>
  <c r="CH51" i="5" s="1"/>
  <c r="CL51" i="5" s="1"/>
  <c r="BF50" i="5"/>
  <c r="BZ52" i="5"/>
  <c r="AV52" i="5"/>
  <c r="CF52" i="5"/>
  <c r="CI52" i="5" s="1"/>
  <c r="CD52" i="5"/>
  <c r="CJ52" i="5"/>
  <c r="BA52" i="5"/>
  <c r="AY52" i="5"/>
  <c r="BE52" i="5"/>
  <c r="AU52" i="5"/>
  <c r="BB52" i="5" s="1"/>
  <c r="AW52" i="5"/>
  <c r="AX52" i="5" s="1"/>
  <c r="AF52" i="5"/>
  <c r="CA52" i="5"/>
  <c r="AC27" i="4"/>
  <c r="CK51" i="5"/>
  <c r="AZ51" i="5"/>
  <c r="BO52" i="5"/>
  <c r="DF52" i="5"/>
  <c r="B53" i="5"/>
  <c r="N53" i="5" s="1"/>
  <c r="AA53" i="5"/>
  <c r="CX52" i="5"/>
  <c r="AB52" i="5"/>
  <c r="K53" i="5" s="1"/>
  <c r="W53" i="5" s="1"/>
  <c r="DH52" i="5"/>
  <c r="DL52" i="5"/>
  <c r="CR52" i="5"/>
  <c r="DT52" i="5"/>
  <c r="BN52" i="5"/>
  <c r="BW49" i="5"/>
  <c r="E50" i="5" s="1"/>
  <c r="Q50" i="5" s="1"/>
  <c r="BL52" i="5"/>
  <c r="BT51" i="5" s="1"/>
  <c r="BP51" i="5"/>
  <c r="BR51" i="5" s="1"/>
  <c r="BQ52" i="5"/>
  <c r="BK52" i="5"/>
  <c r="BF24" i="4"/>
  <c r="AV25" i="4"/>
  <c r="AX25" i="4" s="1"/>
  <c r="AY25" i="4" s="1"/>
  <c r="AZ25" i="4" s="1"/>
  <c r="Z27" i="4"/>
  <c r="BG23" i="4"/>
  <c r="E42" i="4" s="1"/>
  <c r="F50" i="5"/>
  <c r="R50" i="5" s="1"/>
  <c r="BV50" i="5"/>
  <c r="AE26" i="4"/>
  <c r="AG26" i="4" s="1"/>
  <c r="BE25" i="4"/>
  <c r="BA25" i="4"/>
  <c r="BC24" i="4"/>
  <c r="BD23" i="4"/>
  <c r="D42" i="4" s="1"/>
  <c r="AB27" i="4"/>
  <c r="AA27" i="4"/>
  <c r="AT26" i="4" s="1"/>
  <c r="AF27" i="4"/>
  <c r="Y27" i="4"/>
  <c r="AD27" i="4" s="1"/>
  <c r="BN27" i="4"/>
  <c r="BJ27" i="4"/>
  <c r="J45" i="4"/>
  <c r="CP52" i="5"/>
  <c r="BU52" i="5"/>
  <c r="AK52" i="5"/>
  <c r="AE53" i="5" s="1"/>
  <c r="AO52" i="5"/>
  <c r="AI52" i="5"/>
  <c r="BM52" i="5"/>
  <c r="AG52" i="5"/>
  <c r="AH52" i="5" s="1"/>
  <c r="BS50" i="5"/>
  <c r="AJ51" i="5"/>
  <c r="AN51" i="5" s="1"/>
  <c r="AP51" i="5" s="1"/>
  <c r="DD52" i="5"/>
  <c r="CN52" i="5"/>
  <c r="DV52" i="5"/>
  <c r="CQ52" i="5"/>
  <c r="DZ52" i="5"/>
  <c r="AD56" i="5"/>
  <c r="AC57" i="5"/>
  <c r="CT52" i="5"/>
  <c r="BJ57" i="5"/>
  <c r="DR52" i="5"/>
  <c r="DG51" i="5"/>
  <c r="DI51" i="5" s="1"/>
  <c r="DJ51" i="5" s="1"/>
  <c r="DN51" i="5" s="1"/>
  <c r="H52" i="5" s="1"/>
  <c r="T52" i="5" s="1"/>
  <c r="DP52" i="5"/>
  <c r="DB52" i="5"/>
  <c r="CT27" i="4"/>
  <c r="CZ26" i="4" s="1"/>
  <c r="DA25" i="4"/>
  <c r="J16" i="5"/>
  <c r="J31" i="5"/>
  <c r="J52" i="5"/>
  <c r="V52" i="5" s="1"/>
  <c r="J29" i="4"/>
  <c r="T28" i="4"/>
  <c r="CS27" i="4"/>
  <c r="CV27" i="4"/>
  <c r="DE52" i="5"/>
  <c r="CW27" i="4"/>
  <c r="CY27" i="4"/>
  <c r="BP27" i="4"/>
  <c r="X27" i="4"/>
  <c r="K46" i="4" s="1"/>
  <c r="EB49" i="5"/>
  <c r="I50" i="5" s="1"/>
  <c r="U50" i="5" s="1"/>
  <c r="CY50" i="5"/>
  <c r="CX53" i="5"/>
  <c r="BK27" i="4"/>
  <c r="CD26" i="4" s="1"/>
  <c r="DH22" i="4"/>
  <c r="I41" i="4" s="1"/>
  <c r="DD23" i="4"/>
  <c r="DE23" i="4" s="1"/>
  <c r="H42" i="4" s="1"/>
  <c r="DG25" i="4"/>
  <c r="CO52" i="5"/>
  <c r="CW51" i="5" s="1"/>
  <c r="CS50" i="5"/>
  <c r="CU50" i="5" s="1"/>
  <c r="CV50" i="5" s="1"/>
  <c r="CS51" i="5"/>
  <c r="CU51" i="5" s="1"/>
  <c r="CV51" i="5" s="1"/>
  <c r="DC52" i="5"/>
  <c r="DK51" i="5" s="1"/>
  <c r="DM51" i="5" s="1"/>
  <c r="DQ52" i="5"/>
  <c r="DY51" i="5" s="1"/>
  <c r="EA51" i="5" s="1"/>
  <c r="DS51" i="5"/>
  <c r="DU50" i="5"/>
  <c r="DH53" i="5"/>
  <c r="DF53" i="5"/>
  <c r="DB25" i="4"/>
  <c r="DC25" i="4" s="1"/>
  <c r="CQ22" i="4"/>
  <c r="G41" i="4" s="1"/>
  <c r="CN22" i="4"/>
  <c r="F41" i="4" s="1"/>
  <c r="CM23" i="4"/>
  <c r="CO24" i="4"/>
  <c r="BL26" i="4"/>
  <c r="BM26" i="4" s="1"/>
  <c r="BO26" i="4" s="1"/>
  <c r="BQ26" i="4" s="1"/>
  <c r="CI23" i="4"/>
  <c r="CJ23" i="4" s="1"/>
  <c r="CK24" i="4" s="1"/>
  <c r="CL24" i="4" s="1"/>
  <c r="CX26" i="4"/>
  <c r="DF26" i="4" s="1"/>
  <c r="W28" i="4"/>
  <c r="C46" i="4"/>
  <c r="CU27" i="4"/>
  <c r="AV53" i="5" l="1"/>
  <c r="CE52" i="5"/>
  <c r="CG52" i="5" s="1"/>
  <c r="CH52" i="5" s="1"/>
  <c r="CL52" i="5" s="1"/>
  <c r="AZ52" i="5"/>
  <c r="BD52" i="5" s="1"/>
  <c r="CK52" i="5"/>
  <c r="CB53" i="5"/>
  <c r="CC53" i="5" s="1"/>
  <c r="BD51" i="5"/>
  <c r="BF51" i="5" s="1"/>
  <c r="BC51" i="5"/>
  <c r="BG51" i="5" s="1"/>
  <c r="D52" i="5" s="1"/>
  <c r="P52" i="5" s="1"/>
  <c r="AC28" i="4"/>
  <c r="BZ53" i="5"/>
  <c r="CA53" i="5"/>
  <c r="AO53" i="5"/>
  <c r="CF53" i="5"/>
  <c r="CI53" i="5" s="1"/>
  <c r="CD53" i="5"/>
  <c r="CJ53" i="5"/>
  <c r="BA53" i="5"/>
  <c r="BE53" i="5"/>
  <c r="AY53" i="5"/>
  <c r="AF53" i="5"/>
  <c r="AU53" i="5"/>
  <c r="BB53" i="5" s="1"/>
  <c r="AW53" i="5"/>
  <c r="AX53" i="5" s="1"/>
  <c r="B54" i="5"/>
  <c r="BO53" i="5"/>
  <c r="BP52" i="5"/>
  <c r="BR52" i="5" s="1"/>
  <c r="CS52" i="5"/>
  <c r="CU52" i="5" s="1"/>
  <c r="CV52" i="5" s="1"/>
  <c r="AK53" i="5"/>
  <c r="AE54" i="5" s="1"/>
  <c r="BU53" i="5"/>
  <c r="DT53" i="5"/>
  <c r="DL53" i="5"/>
  <c r="AB53" i="5"/>
  <c r="K54" i="5" s="1"/>
  <c r="W54" i="5" s="1"/>
  <c r="DZ53" i="5"/>
  <c r="AA54" i="5"/>
  <c r="CT53" i="5"/>
  <c r="AI53" i="5"/>
  <c r="BN53" i="5"/>
  <c r="CR53" i="5"/>
  <c r="DV53" i="5"/>
  <c r="DD53" i="5"/>
  <c r="DD54" i="5" s="1"/>
  <c r="BQ53" i="5"/>
  <c r="DB53" i="5"/>
  <c r="DB54" i="5" s="1"/>
  <c r="BK53" i="5"/>
  <c r="BW50" i="5"/>
  <c r="E51" i="5" s="1"/>
  <c r="Q51" i="5" s="1"/>
  <c r="BL53" i="5"/>
  <c r="BT52" i="5" s="1"/>
  <c r="BE26" i="4"/>
  <c r="AV26" i="4"/>
  <c r="AX26" i="4" s="1"/>
  <c r="AY26" i="4" s="1"/>
  <c r="AZ26" i="4" s="1"/>
  <c r="BV51" i="5"/>
  <c r="F51" i="5"/>
  <c r="R51" i="5" s="1"/>
  <c r="BA26" i="4"/>
  <c r="BB26" i="4" s="1"/>
  <c r="CP53" i="5"/>
  <c r="BD24" i="4"/>
  <c r="D43" i="4" s="1"/>
  <c r="BG24" i="4"/>
  <c r="E43" i="4" s="1"/>
  <c r="AB28" i="4"/>
  <c r="AA28" i="4"/>
  <c r="AT27" i="4" s="1"/>
  <c r="Z28" i="4"/>
  <c r="J46" i="4"/>
  <c r="AF28" i="4"/>
  <c r="BN28" i="4"/>
  <c r="Y28" i="4"/>
  <c r="AD28" i="4" s="1"/>
  <c r="BF25" i="4"/>
  <c r="BB25" i="4"/>
  <c r="BC25" i="4" s="1"/>
  <c r="BD25" i="4" s="1"/>
  <c r="D44" i="4" s="1"/>
  <c r="AE27" i="4"/>
  <c r="AG27" i="4" s="1"/>
  <c r="BJ28" i="4"/>
  <c r="AJ52" i="5"/>
  <c r="AN52" i="5" s="1"/>
  <c r="AP52" i="5" s="1"/>
  <c r="BS51" i="5"/>
  <c r="BM53" i="5"/>
  <c r="DR53" i="5"/>
  <c r="AG53" i="5"/>
  <c r="AH53" i="5" s="1"/>
  <c r="BU54" i="5"/>
  <c r="AK54" i="5"/>
  <c r="AO54" i="5"/>
  <c r="AI54" i="5"/>
  <c r="CN53" i="5"/>
  <c r="DP53" i="5"/>
  <c r="CQ53" i="5"/>
  <c r="AD57" i="5"/>
  <c r="AC58" i="5"/>
  <c r="DG52" i="5"/>
  <c r="DI52" i="5" s="1"/>
  <c r="DJ52" i="5" s="1"/>
  <c r="DN52" i="5" s="1"/>
  <c r="H53" i="5" s="1"/>
  <c r="T53" i="5" s="1"/>
  <c r="BJ58" i="5"/>
  <c r="DE53" i="5"/>
  <c r="DA26" i="4"/>
  <c r="CS28" i="4"/>
  <c r="J53" i="5"/>
  <c r="V53" i="5" s="1"/>
  <c r="J30" i="4"/>
  <c r="T29" i="4"/>
  <c r="J17" i="5"/>
  <c r="J32" i="5"/>
  <c r="CT28" i="4"/>
  <c r="CZ27" i="4" s="1"/>
  <c r="BP28" i="4"/>
  <c r="CY28" i="4"/>
  <c r="CW28" i="4"/>
  <c r="X28" i="4"/>
  <c r="K47" i="4" s="1"/>
  <c r="CV28" i="4"/>
  <c r="DL54" i="5"/>
  <c r="DZ54" i="5"/>
  <c r="CX54" i="5"/>
  <c r="CY51" i="5"/>
  <c r="CZ51" i="5"/>
  <c r="G52" i="5" s="1"/>
  <c r="S52" i="5" s="1"/>
  <c r="CZ50" i="5"/>
  <c r="G51" i="5" s="1"/>
  <c r="S51" i="5" s="1"/>
  <c r="N54" i="5"/>
  <c r="BK28" i="4"/>
  <c r="CD27" i="4" s="1"/>
  <c r="DD24" i="4"/>
  <c r="DH24" i="4" s="1"/>
  <c r="I43" i="4" s="1"/>
  <c r="DH23" i="4"/>
  <c r="I42" i="4" s="1"/>
  <c r="CP24" i="4"/>
  <c r="DB26" i="4"/>
  <c r="DC26" i="4" s="1"/>
  <c r="CO53" i="5"/>
  <c r="CW52" i="5" s="1"/>
  <c r="DC53" i="5"/>
  <c r="DK52" i="5" s="1"/>
  <c r="DM52" i="5" s="1"/>
  <c r="DQ53" i="5"/>
  <c r="DY52" i="5" s="1"/>
  <c r="EA52" i="5" s="1"/>
  <c r="DW50" i="5"/>
  <c r="DX50" i="5" s="1"/>
  <c r="DU51" i="5"/>
  <c r="DW51" i="5" s="1"/>
  <c r="DX51" i="5" s="1"/>
  <c r="DS52" i="5"/>
  <c r="B55" i="5"/>
  <c r="AA55" i="5"/>
  <c r="DV54" i="5"/>
  <c r="CT54" i="5"/>
  <c r="DT54" i="5"/>
  <c r="CR54" i="5"/>
  <c r="DH54" i="5"/>
  <c r="DF54" i="5"/>
  <c r="AB54" i="5"/>
  <c r="K55" i="5" s="1"/>
  <c r="W55" i="5" s="1"/>
  <c r="DG26" i="4"/>
  <c r="CQ23" i="4"/>
  <c r="G42" i="4" s="1"/>
  <c r="CN23" i="4"/>
  <c r="F42" i="4" s="1"/>
  <c r="CO25" i="4"/>
  <c r="CF24" i="4"/>
  <c r="CH24" i="4" s="1"/>
  <c r="BL27" i="4"/>
  <c r="BM27" i="4" s="1"/>
  <c r="BO27" i="4" s="1"/>
  <c r="BQ27" i="4" s="1"/>
  <c r="CX27" i="4"/>
  <c r="DF27" i="4" s="1"/>
  <c r="W29" i="4"/>
  <c r="C47" i="4"/>
  <c r="CU28" i="4"/>
  <c r="AE55" i="5" l="1"/>
  <c r="CE53" i="5"/>
  <c r="CG53" i="5" s="1"/>
  <c r="CH53" i="5" s="1"/>
  <c r="CL53" i="5" s="1"/>
  <c r="CB54" i="5"/>
  <c r="CC54" i="5" s="1"/>
  <c r="BC52" i="5"/>
  <c r="BG52" i="5" s="1"/>
  <c r="D53" i="5" s="1"/>
  <c r="P53" i="5" s="1"/>
  <c r="BF52" i="5"/>
  <c r="CF55" i="5"/>
  <c r="CD55" i="5"/>
  <c r="CJ55" i="5"/>
  <c r="BA55" i="5"/>
  <c r="AY55" i="5"/>
  <c r="BE55" i="5"/>
  <c r="AC29" i="4"/>
  <c r="AF54" i="5"/>
  <c r="AF55" i="5" s="1"/>
  <c r="CK53" i="5"/>
  <c r="CF54" i="5"/>
  <c r="CI54" i="5" s="1"/>
  <c r="CD54" i="5"/>
  <c r="CJ54" i="5"/>
  <c r="BE54" i="5"/>
  <c r="BA54" i="5"/>
  <c r="AY54" i="5"/>
  <c r="CA54" i="5"/>
  <c r="BZ54" i="5"/>
  <c r="AW54" i="5"/>
  <c r="AX54" i="5" s="1"/>
  <c r="AU54" i="5"/>
  <c r="BB54" i="5" s="1"/>
  <c r="AV54" i="5"/>
  <c r="AZ53" i="5"/>
  <c r="BQ54" i="5"/>
  <c r="BO54" i="5"/>
  <c r="AJ53" i="5"/>
  <c r="AN53" i="5" s="1"/>
  <c r="AP53" i="5" s="1"/>
  <c r="CN54" i="5"/>
  <c r="CN55" i="5" s="1"/>
  <c r="CP54" i="5"/>
  <c r="CP55" i="5" s="1"/>
  <c r="BN54" i="5"/>
  <c r="BK54" i="5"/>
  <c r="DP54" i="5"/>
  <c r="DP55" i="5" s="1"/>
  <c r="DR54" i="5"/>
  <c r="DR55" i="5" s="1"/>
  <c r="CS53" i="5"/>
  <c r="CU53" i="5" s="1"/>
  <c r="CV53" i="5" s="1"/>
  <c r="BQ55" i="5"/>
  <c r="BO55" i="5"/>
  <c r="BW51" i="5"/>
  <c r="E52" i="5" s="1"/>
  <c r="Q52" i="5" s="1"/>
  <c r="BL54" i="5"/>
  <c r="BT53" i="5" s="1"/>
  <c r="BP53" i="5"/>
  <c r="BR53" i="5" s="1"/>
  <c r="BS53" i="5" s="1"/>
  <c r="CS29" i="4"/>
  <c r="AL55" i="5"/>
  <c r="AV27" i="4"/>
  <c r="AX27" i="4" s="1"/>
  <c r="AY27" i="4" s="1"/>
  <c r="AZ27" i="4" s="1"/>
  <c r="BV52" i="5"/>
  <c r="BF26" i="4"/>
  <c r="F52" i="5"/>
  <c r="R52" i="5" s="1"/>
  <c r="J47" i="4"/>
  <c r="AG54" i="5"/>
  <c r="AH54" i="5" s="1"/>
  <c r="AJ54" i="5" s="1"/>
  <c r="AN54" i="5" s="1"/>
  <c r="AF29" i="4"/>
  <c r="BN29" i="4"/>
  <c r="Y29" i="4"/>
  <c r="AD29" i="4" s="1"/>
  <c r="AE28" i="4"/>
  <c r="AG28" i="4" s="1"/>
  <c r="BC26" i="4"/>
  <c r="BE27" i="4"/>
  <c r="BA27" i="4"/>
  <c r="BG25" i="4"/>
  <c r="E44" i="4" s="1"/>
  <c r="AA29" i="4"/>
  <c r="AT28" i="4" s="1"/>
  <c r="AB29" i="4"/>
  <c r="Z29" i="4"/>
  <c r="BJ29" i="4"/>
  <c r="BS52" i="5"/>
  <c r="BU55" i="5"/>
  <c r="AK55" i="5"/>
  <c r="AO55" i="5"/>
  <c r="AI55" i="5"/>
  <c r="BM54" i="5"/>
  <c r="CQ54" i="5"/>
  <c r="CS54" i="5" s="1"/>
  <c r="F53" i="5"/>
  <c r="R53" i="5" s="1"/>
  <c r="DG53" i="5"/>
  <c r="DI53" i="5" s="1"/>
  <c r="DJ53" i="5" s="1"/>
  <c r="DN53" i="5" s="1"/>
  <c r="H54" i="5" s="1"/>
  <c r="T54" i="5" s="1"/>
  <c r="AD58" i="5"/>
  <c r="AC59" i="5"/>
  <c r="BJ59" i="5"/>
  <c r="DE54" i="5"/>
  <c r="DA27" i="4"/>
  <c r="J18" i="5"/>
  <c r="J33" i="5"/>
  <c r="J54" i="5"/>
  <c r="V54" i="5" s="1"/>
  <c r="J31" i="4"/>
  <c r="T30" i="4"/>
  <c r="BP29" i="4"/>
  <c r="CY29" i="4"/>
  <c r="CW29" i="4"/>
  <c r="X29" i="4"/>
  <c r="K48" i="4" s="1"/>
  <c r="CT29" i="4"/>
  <c r="CZ28" i="4" s="1"/>
  <c r="CV29" i="4"/>
  <c r="DL55" i="5"/>
  <c r="DZ55" i="5"/>
  <c r="EB50" i="5"/>
  <c r="I51" i="5" s="1"/>
  <c r="U51" i="5" s="1"/>
  <c r="EB51" i="5"/>
  <c r="I52" i="5" s="1"/>
  <c r="U52" i="5" s="1"/>
  <c r="CX55" i="5"/>
  <c r="CY52" i="5"/>
  <c r="CZ52" i="5"/>
  <c r="G53" i="5" s="1"/>
  <c r="S53" i="5" s="1"/>
  <c r="N55" i="5"/>
  <c r="BK29" i="4"/>
  <c r="CD28" i="4" s="1"/>
  <c r="DE24" i="4"/>
  <c r="H43" i="4" s="1"/>
  <c r="DD25" i="4"/>
  <c r="DE25" i="4" s="1"/>
  <c r="H44" i="4" s="1"/>
  <c r="DG27" i="4"/>
  <c r="CO54" i="5"/>
  <c r="CW53" i="5" s="1"/>
  <c r="DC54" i="5"/>
  <c r="DK53" i="5" s="1"/>
  <c r="DM53" i="5" s="1"/>
  <c r="DQ54" i="5"/>
  <c r="DY53" i="5" s="1"/>
  <c r="EA53" i="5" s="1"/>
  <c r="DU52" i="5"/>
  <c r="DW52" i="5" s="1"/>
  <c r="DX52" i="5" s="1"/>
  <c r="DS53" i="5"/>
  <c r="DD55" i="5"/>
  <c r="DB55" i="5"/>
  <c r="B56" i="5"/>
  <c r="A45" i="5" s="1"/>
  <c r="DH55" i="5"/>
  <c r="DF55" i="5"/>
  <c r="AA56" i="5"/>
  <c r="DV55" i="5"/>
  <c r="CT55" i="5"/>
  <c r="CR55" i="5"/>
  <c r="DT55" i="5"/>
  <c r="AB55" i="5"/>
  <c r="DB27" i="4"/>
  <c r="DC27" i="4" s="1"/>
  <c r="CM24" i="4"/>
  <c r="BL28" i="4"/>
  <c r="BM28" i="4" s="1"/>
  <c r="BO28" i="4" s="1"/>
  <c r="BQ28" i="4" s="1"/>
  <c r="CO26" i="4"/>
  <c r="CU29" i="4"/>
  <c r="W30" i="4"/>
  <c r="C48" i="4"/>
  <c r="CX28" i="4"/>
  <c r="DF28" i="4" s="1"/>
  <c r="CE54" i="5" l="1"/>
  <c r="CG54" i="5" s="1"/>
  <c r="CH54" i="5" s="1"/>
  <c r="CL54" i="5" s="1"/>
  <c r="BZ55" i="5"/>
  <c r="BZ56" i="5" s="1"/>
  <c r="AV55" i="5"/>
  <c r="AV56" i="5" s="1"/>
  <c r="AC30" i="4"/>
  <c r="BD53" i="5"/>
  <c r="BF53" i="5" s="1"/>
  <c r="BC53" i="5"/>
  <c r="BG53" i="5" s="1"/>
  <c r="D54" i="5" s="1"/>
  <c r="P54" i="5" s="1"/>
  <c r="BK55" i="5"/>
  <c r="BK56" i="5" s="1"/>
  <c r="AW55" i="5"/>
  <c r="AX55" i="5" s="1"/>
  <c r="AZ55" i="5" s="1"/>
  <c r="BD55" i="5" s="1"/>
  <c r="AU55" i="5"/>
  <c r="BB55" i="5" s="1"/>
  <c r="BN55" i="5"/>
  <c r="AZ54" i="5"/>
  <c r="CF56" i="5"/>
  <c r="CI56" i="5" s="1"/>
  <c r="CJ56" i="5"/>
  <c r="BE56" i="5"/>
  <c r="BA56" i="5"/>
  <c r="AY56" i="5"/>
  <c r="CG56" i="5"/>
  <c r="AP54" i="5"/>
  <c r="CK54" i="5"/>
  <c r="CB55" i="5"/>
  <c r="CC55" i="5" s="1"/>
  <c r="CE55" i="5" s="1"/>
  <c r="CI55" i="5" s="1"/>
  <c r="CA55" i="5"/>
  <c r="CA56" i="5" s="1"/>
  <c r="CU54" i="5"/>
  <c r="CV54" i="5" s="1"/>
  <c r="BO56" i="5"/>
  <c r="K56" i="5"/>
  <c r="W56" i="5" s="1"/>
  <c r="CS30" i="4"/>
  <c r="BW53" i="5"/>
  <c r="E54" i="5" s="1"/>
  <c r="Q54" i="5" s="1"/>
  <c r="BW52" i="5"/>
  <c r="E53" i="5" s="1"/>
  <c r="Q53" i="5" s="1"/>
  <c r="BL55" i="5"/>
  <c r="BT54" i="5" s="1"/>
  <c r="BP54" i="5"/>
  <c r="BR54" i="5" s="1"/>
  <c r="BS54" i="5" s="1"/>
  <c r="BQ56" i="5"/>
  <c r="BV53" i="5"/>
  <c r="AV28" i="4"/>
  <c r="AX28" i="4" s="1"/>
  <c r="AY28" i="4" s="1"/>
  <c r="AZ28" i="4" s="1"/>
  <c r="J48" i="4"/>
  <c r="AE29" i="4"/>
  <c r="Z30" i="4"/>
  <c r="AG55" i="5"/>
  <c r="AH55" i="5" s="1"/>
  <c r="AJ55" i="5" s="1"/>
  <c r="AN55" i="5" s="1"/>
  <c r="AF30" i="4"/>
  <c r="BN30" i="4"/>
  <c r="Y30" i="4"/>
  <c r="AD30" i="4" s="1"/>
  <c r="BF27" i="4"/>
  <c r="BB27" i="4"/>
  <c r="BC27" i="4" s="1"/>
  <c r="BD27" i="4" s="1"/>
  <c r="D46" i="4" s="1"/>
  <c r="AB30" i="4"/>
  <c r="AA30" i="4"/>
  <c r="AT29" i="4" s="1"/>
  <c r="BD26" i="4"/>
  <c r="D45" i="4" s="1"/>
  <c r="BG26" i="4"/>
  <c r="E45" i="4" s="1"/>
  <c r="BE28" i="4"/>
  <c r="BA28" i="4"/>
  <c r="BJ30" i="4"/>
  <c r="BM55" i="5"/>
  <c r="AI56" i="5"/>
  <c r="BU56" i="5"/>
  <c r="AK56" i="5"/>
  <c r="AO56" i="5"/>
  <c r="CQ55" i="5"/>
  <c r="CS55" i="5" s="1"/>
  <c r="CQ56" i="5" s="1"/>
  <c r="DG54" i="5"/>
  <c r="DI54" i="5" s="1"/>
  <c r="DJ54" i="5" s="1"/>
  <c r="DN54" i="5" s="1"/>
  <c r="H55" i="5" s="1"/>
  <c r="T55" i="5" s="1"/>
  <c r="AD59" i="5"/>
  <c r="AC60" i="5"/>
  <c r="BJ60" i="5"/>
  <c r="DE55" i="5"/>
  <c r="DA28" i="4"/>
  <c r="J32" i="4"/>
  <c r="T31" i="4"/>
  <c r="J55" i="5"/>
  <c r="V55" i="5" s="1"/>
  <c r="J19" i="5"/>
  <c r="J34" i="5"/>
  <c r="CT30" i="4"/>
  <c r="CZ29" i="4" s="1"/>
  <c r="BP30" i="4"/>
  <c r="CY30" i="4"/>
  <c r="CW30" i="4"/>
  <c r="X30" i="4"/>
  <c r="K49" i="4" s="1"/>
  <c r="CV30" i="4"/>
  <c r="DL56" i="5"/>
  <c r="DZ56" i="5"/>
  <c r="EB52" i="5"/>
  <c r="I53" i="5" s="1"/>
  <c r="U53" i="5" s="1"/>
  <c r="CX56" i="5"/>
  <c r="CY53" i="5"/>
  <c r="CZ53" i="5"/>
  <c r="G54" i="5" s="1"/>
  <c r="S54" i="5" s="1"/>
  <c r="F54" i="5"/>
  <c r="R54" i="5" s="1"/>
  <c r="BK30" i="4"/>
  <c r="CD29" i="4" s="1"/>
  <c r="N56" i="5"/>
  <c r="DH25" i="4"/>
  <c r="I44" i="4" s="1"/>
  <c r="DD26" i="4"/>
  <c r="DH26" i="4" s="1"/>
  <c r="I45" i="4" s="1"/>
  <c r="CO55" i="5"/>
  <c r="CW54" i="5" s="1"/>
  <c r="DG28" i="4"/>
  <c r="DC55" i="5"/>
  <c r="DK54" i="5" s="1"/>
  <c r="DM54" i="5" s="1"/>
  <c r="DQ55" i="5"/>
  <c r="DY54" i="5" s="1"/>
  <c r="EA54" i="5" s="1"/>
  <c r="DS54" i="5"/>
  <c r="DU53" i="5"/>
  <c r="CN56" i="5"/>
  <c r="CP56" i="5"/>
  <c r="AA57" i="5"/>
  <c r="DV56" i="5"/>
  <c r="CT56" i="5"/>
  <c r="B57" i="5"/>
  <c r="DH56" i="5"/>
  <c r="BY56" i="5"/>
  <c r="CD56" i="5" s="1"/>
  <c r="AB56" i="5"/>
  <c r="K57" i="5" s="1"/>
  <c r="W57" i="5" s="1"/>
  <c r="DD56" i="5"/>
  <c r="DB56" i="5"/>
  <c r="DP56" i="5"/>
  <c r="DR56" i="5"/>
  <c r="DB28" i="4"/>
  <c r="DC28" i="4" s="1"/>
  <c r="CQ24" i="4"/>
  <c r="G43" i="4" s="1"/>
  <c r="CN24" i="4"/>
  <c r="F43" i="4" s="1"/>
  <c r="BL29" i="4"/>
  <c r="BM29" i="4" s="1"/>
  <c r="BO29" i="4" s="1"/>
  <c r="BQ29" i="4" s="1"/>
  <c r="CO27" i="4"/>
  <c r="CI24" i="4"/>
  <c r="CJ24" i="4" s="1"/>
  <c r="CK25" i="4" s="1"/>
  <c r="CL25" i="4" s="1"/>
  <c r="CX29" i="4"/>
  <c r="DF29" i="4" s="1"/>
  <c r="C49" i="4"/>
  <c r="W31" i="4"/>
  <c r="CU30" i="4"/>
  <c r="CA57" i="5" l="1"/>
  <c r="CS31" i="4"/>
  <c r="AP55" i="5"/>
  <c r="BC55" i="5"/>
  <c r="AW56" i="5"/>
  <c r="AX56" i="5" s="1"/>
  <c r="AZ56" i="5" s="1"/>
  <c r="AU56" i="5"/>
  <c r="BB56" i="5" s="1"/>
  <c r="BZ57" i="5"/>
  <c r="CG57" i="5" s="1"/>
  <c r="CB56" i="5"/>
  <c r="CC56" i="5" s="1"/>
  <c r="CE56" i="5" s="1"/>
  <c r="CH56" i="5" s="1"/>
  <c r="BD54" i="5"/>
  <c r="BF54" i="5" s="1"/>
  <c r="BC54" i="5"/>
  <c r="BG54" i="5" s="1"/>
  <c r="D55" i="5" s="1"/>
  <c r="P55" i="5" s="1"/>
  <c r="CJ57" i="5"/>
  <c r="CF57" i="5"/>
  <c r="CI57" i="5" s="1"/>
  <c r="AY57" i="5"/>
  <c r="BE57" i="5"/>
  <c r="BA57" i="5"/>
  <c r="CG55" i="5"/>
  <c r="CH55" i="5" s="1"/>
  <c r="CL55" i="5" s="1"/>
  <c r="CK55" i="5"/>
  <c r="AV57" i="5"/>
  <c r="BO57" i="5"/>
  <c r="BK57" i="5"/>
  <c r="AM55" i="5"/>
  <c r="AQ55" i="5" s="1"/>
  <c r="C56" i="5" s="1"/>
  <c r="O56" i="5" s="1"/>
  <c r="BL56" i="5"/>
  <c r="BT55" i="5" s="1"/>
  <c r="BW54" i="5"/>
  <c r="E55" i="5" s="1"/>
  <c r="Q55" i="5" s="1"/>
  <c r="BP55" i="5"/>
  <c r="AG29" i="4"/>
  <c r="BE29" i="4" s="1"/>
  <c r="BQ57" i="5"/>
  <c r="BV54" i="5"/>
  <c r="AV29" i="4"/>
  <c r="AX29" i="4" s="1"/>
  <c r="AY29" i="4" s="1"/>
  <c r="AZ29" i="4" s="1"/>
  <c r="BA29" i="4"/>
  <c r="J49" i="4"/>
  <c r="AE30" i="4"/>
  <c r="AC31" i="4" s="1"/>
  <c r="BG27" i="4"/>
  <c r="E46" i="4" s="1"/>
  <c r="BI31" i="4"/>
  <c r="AU31" i="4"/>
  <c r="CE31" i="4"/>
  <c r="AF31" i="4"/>
  <c r="Y31" i="4"/>
  <c r="AD31" i="4" s="1"/>
  <c r="AA31" i="4"/>
  <c r="AT30" i="4" s="1"/>
  <c r="AB31" i="4"/>
  <c r="BF28" i="4"/>
  <c r="BB28" i="4"/>
  <c r="BC28" i="4" s="1"/>
  <c r="BD28" i="4" s="1"/>
  <c r="D47" i="4" s="1"/>
  <c r="Z31" i="4"/>
  <c r="BM56" i="5"/>
  <c r="BU57" i="5"/>
  <c r="AK57" i="5"/>
  <c r="AO57" i="5"/>
  <c r="AI57" i="5"/>
  <c r="AD60" i="5"/>
  <c r="AC61" i="5"/>
  <c r="DG55" i="5"/>
  <c r="DE56" i="5" s="1"/>
  <c r="BJ61" i="5"/>
  <c r="DF56" i="5"/>
  <c r="DA29" i="4"/>
  <c r="N57" i="5"/>
  <c r="J20" i="5"/>
  <c r="J36" i="5" s="1"/>
  <c r="J35" i="5"/>
  <c r="J33" i="4"/>
  <c r="T33" i="4" s="1"/>
  <c r="T32" i="4"/>
  <c r="J56" i="5"/>
  <c r="V56" i="5" s="1"/>
  <c r="CY31" i="4"/>
  <c r="CS32" i="4" s="1"/>
  <c r="BP31" i="4"/>
  <c r="X31" i="4"/>
  <c r="K50" i="4" s="1"/>
  <c r="CT31" i="4"/>
  <c r="DL57" i="5"/>
  <c r="DZ57" i="5"/>
  <c r="CZ54" i="5"/>
  <c r="G55" i="5" s="1"/>
  <c r="S55" i="5" s="1"/>
  <c r="CY54" i="5"/>
  <c r="CX57" i="5"/>
  <c r="F55" i="5"/>
  <c r="R55" i="5" s="1"/>
  <c r="DD27" i="4"/>
  <c r="DH27" i="4" s="1"/>
  <c r="I46" i="4" s="1"/>
  <c r="DE26" i="4"/>
  <c r="H45" i="4" s="1"/>
  <c r="CO56" i="5"/>
  <c r="CW55" i="5" s="1"/>
  <c r="CP25" i="4"/>
  <c r="CM25" i="4"/>
  <c r="DG29" i="4"/>
  <c r="DC56" i="5"/>
  <c r="DK55" i="5" s="1"/>
  <c r="DM55" i="5" s="1"/>
  <c r="DQ56" i="5"/>
  <c r="DY55" i="5" s="1"/>
  <c r="EA55" i="5" s="1"/>
  <c r="CU55" i="5"/>
  <c r="CV55" i="5" s="1"/>
  <c r="DW53" i="5"/>
  <c r="DX53" i="5" s="1"/>
  <c r="DU54" i="5"/>
  <c r="DW54" i="5" s="1"/>
  <c r="DX54" i="5" s="1"/>
  <c r="DS55" i="5"/>
  <c r="DU55" i="5" s="1"/>
  <c r="DS56" i="5" s="1"/>
  <c r="DS57" i="5" s="1"/>
  <c r="CR56" i="5"/>
  <c r="CS56" i="5" s="1"/>
  <c r="DT56" i="5"/>
  <c r="DD57" i="5"/>
  <c r="DB57" i="5"/>
  <c r="CQ57" i="5"/>
  <c r="CN57" i="5"/>
  <c r="CP57" i="5"/>
  <c r="DP57" i="5"/>
  <c r="DR57" i="5"/>
  <c r="DV57" i="5"/>
  <c r="CT57" i="5"/>
  <c r="AB57" i="5"/>
  <c r="K58" i="5" s="1"/>
  <c r="W58" i="5" s="1"/>
  <c r="AA58" i="5"/>
  <c r="DH57" i="5"/>
  <c r="B58" i="5"/>
  <c r="BY57" i="5"/>
  <c r="CD57" i="5" s="1"/>
  <c r="DB29" i="4"/>
  <c r="DC29" i="4" s="1"/>
  <c r="CO29" i="4"/>
  <c r="BL30" i="4"/>
  <c r="BM30" i="4" s="1"/>
  <c r="BO30" i="4" s="1"/>
  <c r="CO28" i="4"/>
  <c r="CF25" i="4"/>
  <c r="CH25" i="4" s="1"/>
  <c r="CX30" i="4"/>
  <c r="DF30" i="4" s="1"/>
  <c r="W32" i="4"/>
  <c r="C50" i="4"/>
  <c r="B49" i="4" s="1"/>
  <c r="CU31" i="4"/>
  <c r="AV58" i="5" l="1"/>
  <c r="CK56" i="5"/>
  <c r="CK57" i="5" s="1"/>
  <c r="CL56" i="5"/>
  <c r="AW57" i="5"/>
  <c r="AX57" i="5" s="1"/>
  <c r="AZ57" i="5" s="1"/>
  <c r="AU57" i="5"/>
  <c r="BB57" i="5" s="1"/>
  <c r="BG55" i="5"/>
  <c r="D56" i="5" s="1"/>
  <c r="P56" i="5" s="1"/>
  <c r="BF55" i="5"/>
  <c r="BZ58" i="5"/>
  <c r="CG58" i="5" s="1"/>
  <c r="CJ58" i="5"/>
  <c r="CF58" i="5"/>
  <c r="CI58" i="5" s="1"/>
  <c r="BE58" i="5"/>
  <c r="BA58" i="5"/>
  <c r="AY58" i="5"/>
  <c r="CA58" i="5"/>
  <c r="BD56" i="5"/>
  <c r="BC56" i="5"/>
  <c r="CB57" i="5"/>
  <c r="CC57" i="5" s="1"/>
  <c r="CE57" i="5" s="1"/>
  <c r="CH57" i="5" s="1"/>
  <c r="BO58" i="5"/>
  <c r="AC32" i="4"/>
  <c r="BL57" i="5"/>
  <c r="BT56" i="5" s="1"/>
  <c r="BR55" i="5"/>
  <c r="BS55" i="5" s="1"/>
  <c r="BW55" i="5" s="1"/>
  <c r="E56" i="5" s="1"/>
  <c r="Q56" i="5" s="1"/>
  <c r="BN56" i="5"/>
  <c r="BN57" i="5" s="1"/>
  <c r="BN58" i="5" s="1"/>
  <c r="BF29" i="4"/>
  <c r="AG30" i="4"/>
  <c r="BE30" i="4" s="1"/>
  <c r="BQ58" i="5"/>
  <c r="BK58" i="5"/>
  <c r="BJ31" i="4"/>
  <c r="BJ32" i="4" s="1"/>
  <c r="BQ32" i="4" s="1"/>
  <c r="BQ30" i="4"/>
  <c r="BB29" i="4"/>
  <c r="BC29" i="4" s="1"/>
  <c r="BD29" i="4" s="1"/>
  <c r="D48" i="4" s="1"/>
  <c r="BA30" i="4"/>
  <c r="BV55" i="5"/>
  <c r="CW31" i="4"/>
  <c r="BN31" i="4"/>
  <c r="BI32" i="4"/>
  <c r="CE32" i="4"/>
  <c r="AF32" i="4"/>
  <c r="AU32" i="4"/>
  <c r="Y32" i="4"/>
  <c r="AD32" i="4" s="1"/>
  <c r="AE31" i="4"/>
  <c r="AG31" i="4" s="1"/>
  <c r="BG28" i="4"/>
  <c r="E47" i="4" s="1"/>
  <c r="Z32" i="4"/>
  <c r="AB32" i="4"/>
  <c r="AA32" i="4"/>
  <c r="AT31" i="4" s="1"/>
  <c r="BM57" i="5"/>
  <c r="AK58" i="5"/>
  <c r="AO58" i="5"/>
  <c r="BU58" i="5"/>
  <c r="AI58" i="5"/>
  <c r="DI55" i="5"/>
  <c r="DJ55" i="5" s="1"/>
  <c r="DN55" i="5" s="1"/>
  <c r="H56" i="5" s="1"/>
  <c r="T56" i="5" s="1"/>
  <c r="AD61" i="5"/>
  <c r="AC62" i="5"/>
  <c r="DG56" i="5"/>
  <c r="DI56" i="5" s="1"/>
  <c r="DJ56" i="5" s="1"/>
  <c r="DE57" i="5"/>
  <c r="DE58" i="5" s="1"/>
  <c r="BJ62" i="5"/>
  <c r="DF57" i="5"/>
  <c r="J57" i="5"/>
  <c r="V57" i="5" s="1"/>
  <c r="J50" i="4"/>
  <c r="CT32" i="4"/>
  <c r="CZ31" i="4" s="1"/>
  <c r="CY32" i="4"/>
  <c r="CS33" i="4" s="1"/>
  <c r="BP32" i="4"/>
  <c r="X32" i="4"/>
  <c r="K51" i="4" s="1"/>
  <c r="CZ30" i="4"/>
  <c r="DA30" i="4" s="1"/>
  <c r="DL58" i="5"/>
  <c r="DZ58" i="5"/>
  <c r="EB53" i="5"/>
  <c r="I54" i="5" s="1"/>
  <c r="U54" i="5" s="1"/>
  <c r="EB54" i="5"/>
  <c r="I55" i="5" s="1"/>
  <c r="U55" i="5" s="1"/>
  <c r="CX58" i="5"/>
  <c r="CZ55" i="5"/>
  <c r="G56" i="5" s="1"/>
  <c r="S56" i="5" s="1"/>
  <c r="CY55" i="5"/>
  <c r="F56" i="5"/>
  <c r="R56" i="5" s="1"/>
  <c r="N58" i="5"/>
  <c r="DD28" i="4"/>
  <c r="DH28" i="4" s="1"/>
  <c r="I47" i="4" s="1"/>
  <c r="DE27" i="4"/>
  <c r="H46" i="4" s="1"/>
  <c r="CO57" i="5"/>
  <c r="CW56" i="5" s="1"/>
  <c r="CV31" i="4"/>
  <c r="CV32" i="4" s="1"/>
  <c r="DG30" i="4"/>
  <c r="DC57" i="5"/>
  <c r="DK56" i="5" s="1"/>
  <c r="DM56" i="5" s="1"/>
  <c r="DQ57" i="5"/>
  <c r="DY56" i="5" s="1"/>
  <c r="EA56" i="5" s="1"/>
  <c r="DW55" i="5"/>
  <c r="DX55" i="5" s="1"/>
  <c r="DU56" i="5"/>
  <c r="DW56" i="5" s="1"/>
  <c r="DX56" i="5" s="1"/>
  <c r="CR57" i="5"/>
  <c r="CS57" i="5" s="1"/>
  <c r="DP58" i="5"/>
  <c r="DS58" i="5"/>
  <c r="DR58" i="5"/>
  <c r="DD58" i="5"/>
  <c r="DB58" i="5"/>
  <c r="DT57" i="5"/>
  <c r="DU57" i="5" s="1"/>
  <c r="CN58" i="5"/>
  <c r="CQ58" i="5"/>
  <c r="CP58" i="5"/>
  <c r="B59" i="5"/>
  <c r="DV58" i="5"/>
  <c r="CT58" i="5"/>
  <c r="AA59" i="5"/>
  <c r="DH58" i="5"/>
  <c r="BY58" i="5"/>
  <c r="CD58" i="5" s="1"/>
  <c r="AB58" i="5"/>
  <c r="K59" i="5" s="1"/>
  <c r="W59" i="5" s="1"/>
  <c r="CU56" i="5"/>
  <c r="CV56" i="5" s="1"/>
  <c r="DB30" i="4"/>
  <c r="DC30" i="4" s="1"/>
  <c r="CQ25" i="4"/>
  <c r="G44" i="4" s="1"/>
  <c r="CN25" i="4"/>
  <c r="F44" i="4" s="1"/>
  <c r="BL31" i="4"/>
  <c r="BM31" i="4" s="1"/>
  <c r="W33" i="4"/>
  <c r="C51" i="4"/>
  <c r="CU32" i="4"/>
  <c r="CA59" i="5" l="1"/>
  <c r="AW58" i="5"/>
  <c r="AX58" i="5" s="1"/>
  <c r="AZ58" i="5" s="1"/>
  <c r="BD58" i="5" s="1"/>
  <c r="BL58" i="5"/>
  <c r="BT57" i="5" s="1"/>
  <c r="BG56" i="5"/>
  <c r="D57" i="5" s="1"/>
  <c r="P57" i="5" s="1"/>
  <c r="CL57" i="5"/>
  <c r="AU58" i="5"/>
  <c r="BB58" i="5" s="1"/>
  <c r="BD57" i="5"/>
  <c r="BC57" i="5"/>
  <c r="CB58" i="5"/>
  <c r="CC58" i="5" s="1"/>
  <c r="CE58" i="5" s="1"/>
  <c r="CH58" i="5" s="1"/>
  <c r="CL58" i="5" s="1"/>
  <c r="AV59" i="5"/>
  <c r="BF56" i="5"/>
  <c r="CJ59" i="5"/>
  <c r="CF59" i="5"/>
  <c r="CI59" i="5" s="1"/>
  <c r="BA59" i="5"/>
  <c r="BE59" i="5"/>
  <c r="AY59" i="5"/>
  <c r="CK58" i="5"/>
  <c r="BZ59" i="5"/>
  <c r="CG59" i="5" s="1"/>
  <c r="BO59" i="5"/>
  <c r="AC33" i="4"/>
  <c r="BK59" i="5"/>
  <c r="BN59" i="5"/>
  <c r="BP56" i="5"/>
  <c r="BV56" i="5"/>
  <c r="BP57" i="5"/>
  <c r="BR57" i="5" s="1"/>
  <c r="BS57" i="5" s="1"/>
  <c r="BF30" i="4"/>
  <c r="BQ59" i="5"/>
  <c r="BK31" i="4"/>
  <c r="BQ31" i="4"/>
  <c r="E9" i="5"/>
  <c r="E25" i="5" s="1"/>
  <c r="BB30" i="4"/>
  <c r="BC30" i="4" s="1"/>
  <c r="BD30" i="4" s="1"/>
  <c r="BG29" i="4"/>
  <c r="E48" i="4" s="1"/>
  <c r="CW32" i="4"/>
  <c r="CX32" i="4" s="1"/>
  <c r="DF32" i="4" s="1"/>
  <c r="BN32" i="4"/>
  <c r="Z33" i="4"/>
  <c r="AA33" i="4"/>
  <c r="AT32" i="4" s="1"/>
  <c r="AB33" i="4"/>
  <c r="AE32" i="4"/>
  <c r="AG32" i="4" s="1"/>
  <c r="AU33" i="4"/>
  <c r="AF33" i="4"/>
  <c r="CE33" i="4"/>
  <c r="Y33" i="4"/>
  <c r="AD33" i="4" s="1"/>
  <c r="BM58" i="5"/>
  <c r="BU59" i="5"/>
  <c r="AK59" i="5"/>
  <c r="AO59" i="5"/>
  <c r="AI59" i="5"/>
  <c r="DG57" i="5"/>
  <c r="DI57" i="5" s="1"/>
  <c r="DJ57" i="5" s="1"/>
  <c r="DN57" i="5" s="1"/>
  <c r="BJ33" i="4"/>
  <c r="BQ33" i="4" s="1"/>
  <c r="AD62" i="5"/>
  <c r="AC63" i="5"/>
  <c r="BJ63" i="5"/>
  <c r="DT58" i="5"/>
  <c r="DU58" i="5" s="1"/>
  <c r="J51" i="4"/>
  <c r="DA31" i="4"/>
  <c r="J58" i="5"/>
  <c r="V58" i="5" s="1"/>
  <c r="CV33" i="4"/>
  <c r="BP33" i="4"/>
  <c r="CY33" i="4"/>
  <c r="CS34" i="4" s="1"/>
  <c r="BI33" i="4"/>
  <c r="CW33" i="4" s="1"/>
  <c r="X33" i="4"/>
  <c r="K52" i="4" s="1"/>
  <c r="CT33" i="4"/>
  <c r="CZ32" i="4" s="1"/>
  <c r="DL59" i="5"/>
  <c r="DZ59" i="5"/>
  <c r="EB55" i="5"/>
  <c r="I56" i="5" s="1"/>
  <c r="U56" i="5" s="1"/>
  <c r="EB56" i="5"/>
  <c r="I57" i="5" s="1"/>
  <c r="U57" i="5" s="1"/>
  <c r="DN56" i="5"/>
  <c r="H57" i="5" s="1"/>
  <c r="T57" i="5" s="1"/>
  <c r="CX59" i="5"/>
  <c r="CZ56" i="5"/>
  <c r="G57" i="5" s="1"/>
  <c r="S57" i="5" s="1"/>
  <c r="CY56" i="5"/>
  <c r="N59" i="5"/>
  <c r="DE28" i="4"/>
  <c r="H47" i="4" s="1"/>
  <c r="DD29" i="4"/>
  <c r="DH29" i="4" s="1"/>
  <c r="I48" i="4" s="1"/>
  <c r="CO58" i="5"/>
  <c r="CW57" i="5" s="1"/>
  <c r="DC58" i="5"/>
  <c r="DK57" i="5" s="1"/>
  <c r="DM57" i="5" s="1"/>
  <c r="DQ58" i="5"/>
  <c r="DY57" i="5" s="1"/>
  <c r="EA57" i="5" s="1"/>
  <c r="DF58" i="5"/>
  <c r="DG58" i="5" s="1"/>
  <c r="CR58" i="5"/>
  <c r="CS58" i="5" s="1"/>
  <c r="DW57" i="5"/>
  <c r="DX57" i="5" s="1"/>
  <c r="DE59" i="5"/>
  <c r="DD59" i="5"/>
  <c r="DB59" i="5"/>
  <c r="CQ59" i="5"/>
  <c r="CP59" i="5"/>
  <c r="CN59" i="5"/>
  <c r="CU57" i="5"/>
  <c r="CV57" i="5" s="1"/>
  <c r="DS59" i="5"/>
  <c r="DR59" i="5"/>
  <c r="DP59" i="5"/>
  <c r="B60" i="5"/>
  <c r="DH59" i="5"/>
  <c r="BY59" i="5"/>
  <c r="CD59" i="5" s="1"/>
  <c r="AA60" i="5"/>
  <c r="DV59" i="5"/>
  <c r="CT59" i="5"/>
  <c r="AB59" i="5"/>
  <c r="K60" i="5" s="1"/>
  <c r="W60" i="5" s="1"/>
  <c r="CX31" i="4"/>
  <c r="DF31" i="4" s="1"/>
  <c r="BL32" i="4"/>
  <c r="BM32" i="4" s="1"/>
  <c r="BO31" i="4"/>
  <c r="CO30" i="4"/>
  <c r="CI25" i="4"/>
  <c r="CJ25" i="4" s="1"/>
  <c r="CK26" i="4" s="1"/>
  <c r="CL26" i="4" s="1"/>
  <c r="CU33" i="4"/>
  <c r="W34" i="4"/>
  <c r="C52" i="4"/>
  <c r="BL59" i="5" l="1"/>
  <c r="BT58" i="5" s="1"/>
  <c r="AW59" i="5"/>
  <c r="AX59" i="5" s="1"/>
  <c r="BV57" i="5"/>
  <c r="CA60" i="5"/>
  <c r="BC58" i="5"/>
  <c r="AU59" i="5"/>
  <c r="BB59" i="5" s="1"/>
  <c r="CB59" i="5"/>
  <c r="CC59" i="5" s="1"/>
  <c r="CE59" i="5" s="1"/>
  <c r="CH59" i="5" s="1"/>
  <c r="CL59" i="5" s="1"/>
  <c r="AZ59" i="5"/>
  <c r="CF60" i="5"/>
  <c r="CI60" i="5" s="1"/>
  <c r="CJ60" i="5"/>
  <c r="BA60" i="5"/>
  <c r="BE60" i="5"/>
  <c r="AY60" i="5"/>
  <c r="BZ60" i="5"/>
  <c r="CG60" i="5" s="1"/>
  <c r="BG57" i="5"/>
  <c r="D58" i="5" s="1"/>
  <c r="P58" i="5" s="1"/>
  <c r="BF57" i="5"/>
  <c r="BF58" i="5" s="1"/>
  <c r="CK59" i="5"/>
  <c r="AV60" i="5"/>
  <c r="BO60" i="5"/>
  <c r="AC34" i="4"/>
  <c r="BN60" i="5"/>
  <c r="BR56" i="5"/>
  <c r="BS56" i="5" s="1"/>
  <c r="BW56" i="5" s="1"/>
  <c r="E57" i="5" s="1"/>
  <c r="Q57" i="5" s="1"/>
  <c r="BW57" i="5"/>
  <c r="E58" i="5" s="1"/>
  <c r="Q58" i="5" s="1"/>
  <c r="BP58" i="5"/>
  <c r="BR58" i="5" s="1"/>
  <c r="BS58" i="5" s="1"/>
  <c r="F57" i="5"/>
  <c r="R57" i="5" s="1"/>
  <c r="BQ60" i="5"/>
  <c r="BK60" i="5"/>
  <c r="CD30" i="4"/>
  <c r="BK32" i="4"/>
  <c r="D49" i="4"/>
  <c r="D22" i="4"/>
  <c r="N22" i="4" s="1"/>
  <c r="BG30" i="4"/>
  <c r="E49" i="4" s="1"/>
  <c r="BM59" i="5"/>
  <c r="Z34" i="4"/>
  <c r="AA34" i="4"/>
  <c r="AT33" i="4" s="1"/>
  <c r="AB34" i="4"/>
  <c r="BN33" i="4"/>
  <c r="AU34" i="4"/>
  <c r="AF34" i="4"/>
  <c r="CE34" i="4"/>
  <c r="Y34" i="4"/>
  <c r="AD34" i="4" s="1"/>
  <c r="AE33" i="4"/>
  <c r="AG33" i="4" s="1"/>
  <c r="BU60" i="5"/>
  <c r="AO60" i="5"/>
  <c r="AK60" i="5"/>
  <c r="AI60" i="5"/>
  <c r="BJ34" i="4"/>
  <c r="BQ34" i="4" s="1"/>
  <c r="AD63" i="5"/>
  <c r="AC64" i="5"/>
  <c r="BJ64" i="5"/>
  <c r="DF59" i="5"/>
  <c r="DG59" i="5" s="1"/>
  <c r="J52" i="4"/>
  <c r="DA32" i="4"/>
  <c r="J59" i="5"/>
  <c r="V59" i="5" s="1"/>
  <c r="BP34" i="4"/>
  <c r="CY34" i="4"/>
  <c r="CS35" i="4" s="1"/>
  <c r="X34" i="4"/>
  <c r="K53" i="4" s="1"/>
  <c r="BI34" i="4"/>
  <c r="CW34" i="4" s="1"/>
  <c r="CV34" i="4"/>
  <c r="CT34" i="4"/>
  <c r="CZ33" i="4" s="1"/>
  <c r="DL60" i="5"/>
  <c r="DZ60" i="5"/>
  <c r="EB57" i="5"/>
  <c r="I58" i="5" s="1"/>
  <c r="U58" i="5" s="1"/>
  <c r="H58" i="5"/>
  <c r="T58" i="5" s="1"/>
  <c r="CX60" i="5"/>
  <c r="CZ57" i="5"/>
  <c r="G58" i="5" s="1"/>
  <c r="S58" i="5" s="1"/>
  <c r="CY57" i="5"/>
  <c r="N60" i="5"/>
  <c r="DD30" i="4"/>
  <c r="DE30" i="4" s="1"/>
  <c r="H49" i="4" s="1"/>
  <c r="DE29" i="4"/>
  <c r="H48" i="4" s="1"/>
  <c r="CO59" i="5"/>
  <c r="CW58" i="5" s="1"/>
  <c r="CP26" i="4"/>
  <c r="CM26" i="4"/>
  <c r="DC59" i="5"/>
  <c r="DK58" i="5" s="1"/>
  <c r="DM58" i="5" s="1"/>
  <c r="DQ59" i="5"/>
  <c r="DY58" i="5" s="1"/>
  <c r="EA58" i="5" s="1"/>
  <c r="CR59" i="5"/>
  <c r="CS59" i="5" s="1"/>
  <c r="CU59" i="5" s="1"/>
  <c r="CV59" i="5" s="1"/>
  <c r="DV60" i="5"/>
  <c r="CT60" i="5"/>
  <c r="B61" i="5"/>
  <c r="AA61" i="5"/>
  <c r="DH60" i="5"/>
  <c r="BY60" i="5"/>
  <c r="CD60" i="5" s="1"/>
  <c r="AB60" i="5"/>
  <c r="K61" i="5" s="1"/>
  <c r="W61" i="5" s="1"/>
  <c r="DW58" i="5"/>
  <c r="DX58" i="5" s="1"/>
  <c r="EB58" i="5" s="1"/>
  <c r="CU58" i="5"/>
  <c r="CV58" i="5" s="1"/>
  <c r="DT59" i="5"/>
  <c r="DU59" i="5" s="1"/>
  <c r="DD60" i="5"/>
  <c r="DB60" i="5"/>
  <c r="DE60" i="5"/>
  <c r="CQ60" i="5"/>
  <c r="CN60" i="5"/>
  <c r="CP60" i="5"/>
  <c r="DP60" i="5"/>
  <c r="DS60" i="5"/>
  <c r="DR60" i="5"/>
  <c r="DI58" i="5"/>
  <c r="DJ58" i="5" s="1"/>
  <c r="DG31" i="4"/>
  <c r="DB31" i="4"/>
  <c r="DC31" i="4" s="1"/>
  <c r="DG32" i="4"/>
  <c r="DB32" i="4"/>
  <c r="DC32" i="4" s="1"/>
  <c r="BL33" i="4"/>
  <c r="BM33" i="4" s="1"/>
  <c r="BO32" i="4"/>
  <c r="CF26" i="4"/>
  <c r="CH26" i="4" s="1"/>
  <c r="CX33" i="4"/>
  <c r="DF33" i="4" s="1"/>
  <c r="W35" i="4"/>
  <c r="C53" i="4"/>
  <c r="CU34" i="4"/>
  <c r="AW60" i="5" l="1"/>
  <c r="AX60" i="5" s="1"/>
  <c r="BL60" i="5"/>
  <c r="BT59" i="5" s="1"/>
  <c r="BV58" i="5"/>
  <c r="AU60" i="5"/>
  <c r="BB60" i="5" s="1"/>
  <c r="AV61" i="5"/>
  <c r="CB60" i="5"/>
  <c r="CC60" i="5" s="1"/>
  <c r="CE60" i="5" s="1"/>
  <c r="CH60" i="5" s="1"/>
  <c r="CL60" i="5" s="1"/>
  <c r="BZ61" i="5"/>
  <c r="CG61" i="5" s="1"/>
  <c r="CF61" i="5"/>
  <c r="CI61" i="5" s="1"/>
  <c r="CJ61" i="5"/>
  <c r="BA61" i="5"/>
  <c r="AY61" i="5"/>
  <c r="BE61" i="5"/>
  <c r="BG58" i="5"/>
  <c r="D59" i="5" s="1"/>
  <c r="P59" i="5" s="1"/>
  <c r="AZ60" i="5"/>
  <c r="AW61" i="5"/>
  <c r="AX61" i="5" s="1"/>
  <c r="CA61" i="5"/>
  <c r="CK60" i="5"/>
  <c r="BD59" i="5"/>
  <c r="BF59" i="5" s="1"/>
  <c r="BC59" i="5"/>
  <c r="BG59" i="5" s="1"/>
  <c r="BO61" i="5"/>
  <c r="AC35" i="4"/>
  <c r="BK61" i="5"/>
  <c r="BL61" i="5"/>
  <c r="BT60" i="5" s="1"/>
  <c r="BN61" i="5"/>
  <c r="F58" i="5"/>
  <c r="R58" i="5" s="1"/>
  <c r="BW58" i="5"/>
  <c r="E59" i="5" s="1"/>
  <c r="Q59" i="5" s="1"/>
  <c r="BP59" i="5"/>
  <c r="BR59" i="5" s="1"/>
  <c r="BS59" i="5" s="1"/>
  <c r="BQ61" i="5"/>
  <c r="CD31" i="4"/>
  <c r="BK33" i="4"/>
  <c r="E22" i="4"/>
  <c r="O22" i="4" s="1"/>
  <c r="BM60" i="5"/>
  <c r="BN34" i="4"/>
  <c r="Z35" i="4"/>
  <c r="AA35" i="4"/>
  <c r="AT34" i="4" s="1"/>
  <c r="AB35" i="4"/>
  <c r="AF35" i="4"/>
  <c r="CE35" i="4"/>
  <c r="AU35" i="4"/>
  <c r="Y35" i="4"/>
  <c r="AD35" i="4" s="1"/>
  <c r="AE34" i="4"/>
  <c r="AG34" i="4" s="1"/>
  <c r="BJ35" i="4"/>
  <c r="BQ35" i="4" s="1"/>
  <c r="BU61" i="5"/>
  <c r="AK61" i="5"/>
  <c r="AO61" i="5"/>
  <c r="AI61" i="5"/>
  <c r="AD64" i="5"/>
  <c r="AC65" i="5"/>
  <c r="BJ65" i="5"/>
  <c r="DA33" i="4"/>
  <c r="J53" i="4"/>
  <c r="J60" i="5"/>
  <c r="V60" i="5" s="1"/>
  <c r="CV35" i="4"/>
  <c r="BP35" i="4"/>
  <c r="CY35" i="4"/>
  <c r="CS36" i="4" s="1"/>
  <c r="BI35" i="4"/>
  <c r="CW35" i="4" s="1"/>
  <c r="X35" i="4"/>
  <c r="K54" i="4" s="1"/>
  <c r="CT35" i="4"/>
  <c r="CZ34" i="4" s="1"/>
  <c r="DL61" i="5"/>
  <c r="DZ61" i="5"/>
  <c r="I59" i="5"/>
  <c r="U59" i="5" s="1"/>
  <c r="DN58" i="5"/>
  <c r="H59" i="5" s="1"/>
  <c r="T59" i="5" s="1"/>
  <c r="CX61" i="5"/>
  <c r="CZ58" i="5"/>
  <c r="G59" i="5" s="1"/>
  <c r="S59" i="5" s="1"/>
  <c r="CY58" i="5"/>
  <c r="DH30" i="4"/>
  <c r="I49" i="4" s="1"/>
  <c r="N61" i="5"/>
  <c r="CO60" i="5"/>
  <c r="CW59" i="5" s="1"/>
  <c r="DD31" i="4"/>
  <c r="DG33" i="4"/>
  <c r="DC60" i="5"/>
  <c r="DK59" i="5" s="1"/>
  <c r="DM59" i="5" s="1"/>
  <c r="DQ60" i="5"/>
  <c r="DY59" i="5" s="1"/>
  <c r="EA59" i="5" s="1"/>
  <c r="DF60" i="5"/>
  <c r="DG60" i="5" s="1"/>
  <c r="CR60" i="5"/>
  <c r="CS60" i="5" s="1"/>
  <c r="DI59" i="5"/>
  <c r="DJ59" i="5" s="1"/>
  <c r="DW59" i="5"/>
  <c r="DX59" i="5" s="1"/>
  <c r="EB59" i="5" s="1"/>
  <c r="DT60" i="5"/>
  <c r="DU60" i="5" s="1"/>
  <c r="DB61" i="5"/>
  <c r="DD61" i="5"/>
  <c r="DE61" i="5"/>
  <c r="CQ61" i="5"/>
  <c r="CP61" i="5"/>
  <c r="CN61" i="5"/>
  <c r="B62" i="5"/>
  <c r="AA62" i="5"/>
  <c r="DH61" i="5"/>
  <c r="BY61" i="5"/>
  <c r="CD61" i="5" s="1"/>
  <c r="DV61" i="5"/>
  <c r="CT61" i="5"/>
  <c r="AB61" i="5"/>
  <c r="K62" i="5" s="1"/>
  <c r="W62" i="5" s="1"/>
  <c r="DS61" i="5"/>
  <c r="DR61" i="5"/>
  <c r="DP61" i="5"/>
  <c r="DB33" i="4"/>
  <c r="DC33" i="4" s="1"/>
  <c r="CN26" i="4"/>
  <c r="F45" i="4" s="1"/>
  <c r="CQ26" i="4"/>
  <c r="G45" i="4" s="1"/>
  <c r="BL34" i="4"/>
  <c r="BM34" i="4" s="1"/>
  <c r="BO33" i="4"/>
  <c r="CX34" i="4"/>
  <c r="DF34" i="4" s="1"/>
  <c r="C54" i="4"/>
  <c r="W36" i="4"/>
  <c r="CU35" i="4"/>
  <c r="CA62" i="5" l="1"/>
  <c r="BV59" i="5"/>
  <c r="AU61" i="5"/>
  <c r="BB61" i="5" s="1"/>
  <c r="BL62" i="5"/>
  <c r="BT61" i="5" s="1"/>
  <c r="CB61" i="5"/>
  <c r="CC61" i="5" s="1"/>
  <c r="CE61" i="5" s="1"/>
  <c r="CH61" i="5" s="1"/>
  <c r="CL61" i="5" s="1"/>
  <c r="AW62" i="5"/>
  <c r="AX62" i="5" s="1"/>
  <c r="BD60" i="5"/>
  <c r="BF60" i="5" s="1"/>
  <c r="BC60" i="5"/>
  <c r="BG60" i="5" s="1"/>
  <c r="AV62" i="5"/>
  <c r="CK61" i="5"/>
  <c r="BZ62" i="5"/>
  <c r="CG62" i="5" s="1"/>
  <c r="CF62" i="5"/>
  <c r="CI62" i="5" s="1"/>
  <c r="BA62" i="5"/>
  <c r="BE62" i="5"/>
  <c r="AY62" i="5"/>
  <c r="CJ62" i="5"/>
  <c r="CA63" i="5"/>
  <c r="AC36" i="4"/>
  <c r="AZ61" i="5"/>
  <c r="BO62" i="5"/>
  <c r="BN62" i="5"/>
  <c r="F59" i="5"/>
  <c r="R59" i="5" s="1"/>
  <c r="BW59" i="5"/>
  <c r="E60" i="5" s="1"/>
  <c r="Q60" i="5" s="1"/>
  <c r="BP60" i="5"/>
  <c r="BR60" i="5" s="1"/>
  <c r="BS60" i="5" s="1"/>
  <c r="BQ62" i="5"/>
  <c r="BK62" i="5"/>
  <c r="CD32" i="4"/>
  <c r="BK34" i="4"/>
  <c r="BM61" i="5"/>
  <c r="BV60" i="5"/>
  <c r="AE35" i="4"/>
  <c r="AG35" i="4" s="1"/>
  <c r="BN35" i="4"/>
  <c r="Z36" i="4"/>
  <c r="AA36" i="4"/>
  <c r="AT35" i="4" s="1"/>
  <c r="AB36" i="4"/>
  <c r="AF36" i="4"/>
  <c r="AU36" i="4"/>
  <c r="CE36" i="4"/>
  <c r="Y36" i="4"/>
  <c r="AD36" i="4" s="1"/>
  <c r="BJ36" i="4"/>
  <c r="BQ36" i="4" s="1"/>
  <c r="D60" i="5"/>
  <c r="P60" i="5" s="1"/>
  <c r="BU62" i="5"/>
  <c r="AK62" i="5"/>
  <c r="AO62" i="5"/>
  <c r="AI62" i="5"/>
  <c r="AD65" i="5"/>
  <c r="AC66" i="5"/>
  <c r="BJ66" i="5"/>
  <c r="DT61" i="5"/>
  <c r="DU61" i="5" s="1"/>
  <c r="DA34" i="4"/>
  <c r="J54" i="4"/>
  <c r="J61" i="5"/>
  <c r="V61" i="5" s="1"/>
  <c r="BP36" i="4"/>
  <c r="CY36" i="4"/>
  <c r="CS37" i="4" s="1"/>
  <c r="BI36" i="4"/>
  <c r="CW36" i="4" s="1"/>
  <c r="X36" i="4"/>
  <c r="K55" i="4" s="1"/>
  <c r="CT36" i="4"/>
  <c r="CZ35" i="4" s="1"/>
  <c r="CV36" i="4"/>
  <c r="DL62" i="5"/>
  <c r="DZ62" i="5"/>
  <c r="I60" i="5"/>
  <c r="U60" i="5" s="1"/>
  <c r="DN59" i="5"/>
  <c r="H60" i="5" s="1"/>
  <c r="T60" i="5" s="1"/>
  <c r="CZ59" i="5"/>
  <c r="G60" i="5" s="1"/>
  <c r="S60" i="5" s="1"/>
  <c r="CY59" i="5"/>
  <c r="CX62" i="5"/>
  <c r="CO61" i="5"/>
  <c r="CW60" i="5" s="1"/>
  <c r="N62" i="5"/>
  <c r="DE31" i="4"/>
  <c r="H50" i="4" s="1"/>
  <c r="DD32" i="4"/>
  <c r="DH32" i="4" s="1"/>
  <c r="I51" i="4" s="1"/>
  <c r="DH31" i="4"/>
  <c r="I50" i="4" s="1"/>
  <c r="DC61" i="5"/>
  <c r="DK60" i="5" s="1"/>
  <c r="DM60" i="5" s="1"/>
  <c r="DQ61" i="5"/>
  <c r="DY60" i="5" s="1"/>
  <c r="EA60" i="5" s="1"/>
  <c r="CU60" i="5"/>
  <c r="CV60" i="5" s="1"/>
  <c r="DW60" i="5"/>
  <c r="DX60" i="5" s="1"/>
  <c r="DE62" i="5"/>
  <c r="DD62" i="5"/>
  <c r="DB62" i="5"/>
  <c r="B63" i="5"/>
  <c r="AA63" i="5"/>
  <c r="DH62" i="5"/>
  <c r="BY62" i="5"/>
  <c r="CD62" i="5" s="1"/>
  <c r="DV62" i="5"/>
  <c r="CT62" i="5"/>
  <c r="AB62" i="5"/>
  <c r="K63" i="5" s="1"/>
  <c r="W63" i="5" s="1"/>
  <c r="DF61" i="5"/>
  <c r="DG61" i="5" s="1"/>
  <c r="CQ62" i="5"/>
  <c r="CP62" i="5"/>
  <c r="CN62" i="5"/>
  <c r="CR61" i="5"/>
  <c r="CS61" i="5" s="1"/>
  <c r="DS62" i="5"/>
  <c r="DR62" i="5"/>
  <c r="DP62" i="5"/>
  <c r="DI60" i="5"/>
  <c r="DJ60" i="5" s="1"/>
  <c r="DG34" i="4"/>
  <c r="DB34" i="4"/>
  <c r="DC34" i="4" s="1"/>
  <c r="BO34" i="4"/>
  <c r="BL35" i="4"/>
  <c r="BM35" i="4" s="1"/>
  <c r="CI26" i="4"/>
  <c r="CJ26" i="4" s="1"/>
  <c r="CK27" i="4" s="1"/>
  <c r="CL27" i="4" s="1"/>
  <c r="CU36" i="4"/>
  <c r="CX35" i="4"/>
  <c r="DF35" i="4" s="1"/>
  <c r="W37" i="4"/>
  <c r="C55" i="4"/>
  <c r="BL63" i="5" l="1"/>
  <c r="BT62" i="5" s="1"/>
  <c r="CB62" i="5"/>
  <c r="CC62" i="5" s="1"/>
  <c r="CE62" i="5" s="1"/>
  <c r="CH62" i="5" s="1"/>
  <c r="CL62" i="5" s="1"/>
  <c r="AU62" i="5"/>
  <c r="BB62" i="5" s="1"/>
  <c r="AC37" i="4"/>
  <c r="AV63" i="5"/>
  <c r="BD61" i="5"/>
  <c r="BF61" i="5" s="1"/>
  <c r="BC61" i="5"/>
  <c r="BG61" i="5" s="1"/>
  <c r="AW63" i="5"/>
  <c r="AX63" i="5" s="1"/>
  <c r="CK62" i="5"/>
  <c r="BZ63" i="5"/>
  <c r="CG63" i="5" s="1"/>
  <c r="AZ62" i="5"/>
  <c r="CF63" i="5"/>
  <c r="CI63" i="5" s="1"/>
  <c r="CJ63" i="5"/>
  <c r="BA63" i="5"/>
  <c r="AY63" i="5"/>
  <c r="BE63" i="5"/>
  <c r="BO63" i="5"/>
  <c r="F60" i="5"/>
  <c r="R60" i="5" s="1"/>
  <c r="BK63" i="5"/>
  <c r="BN63" i="5"/>
  <c r="BW60" i="5"/>
  <c r="E61" i="5" s="1"/>
  <c r="Q61" i="5" s="1"/>
  <c r="BP61" i="5"/>
  <c r="BR61" i="5" s="1"/>
  <c r="BS61" i="5" s="1"/>
  <c r="BQ63" i="5"/>
  <c r="BL64" i="5" s="1"/>
  <c r="BT63" i="5" s="1"/>
  <c r="D61" i="5"/>
  <c r="P61" i="5" s="1"/>
  <c r="CD33" i="4"/>
  <c r="BK35" i="4"/>
  <c r="BM62" i="5"/>
  <c r="BV61" i="5"/>
  <c r="AF37" i="4"/>
  <c r="CE37" i="4"/>
  <c r="AU37" i="4"/>
  <c r="Y37" i="4"/>
  <c r="AD37" i="4" s="1"/>
  <c r="AE36" i="4"/>
  <c r="AG36" i="4" s="1"/>
  <c r="Z37" i="4"/>
  <c r="AB37" i="4"/>
  <c r="AA37" i="4"/>
  <c r="AT36" i="4" s="1"/>
  <c r="BN36" i="4"/>
  <c r="BJ37" i="4"/>
  <c r="BQ37" i="4" s="1"/>
  <c r="BU63" i="5"/>
  <c r="AO63" i="5"/>
  <c r="AK63" i="5"/>
  <c r="AI63" i="5"/>
  <c r="AD66" i="5"/>
  <c r="AC67" i="5"/>
  <c r="BJ67" i="5"/>
  <c r="DF62" i="5"/>
  <c r="DG62" i="5" s="1"/>
  <c r="DA35" i="4"/>
  <c r="J55" i="4"/>
  <c r="J62" i="5"/>
  <c r="V62" i="5" s="1"/>
  <c r="CT37" i="4"/>
  <c r="CZ36" i="4" s="1"/>
  <c r="BP37" i="4"/>
  <c r="CY37" i="4"/>
  <c r="CS38" i="4" s="1"/>
  <c r="BI37" i="4"/>
  <c r="CW37" i="4" s="1"/>
  <c r="X37" i="4"/>
  <c r="K56" i="4" s="1"/>
  <c r="CV37" i="4"/>
  <c r="DL63" i="5"/>
  <c r="DZ63" i="5"/>
  <c r="EB60" i="5"/>
  <c r="I61" i="5" s="1"/>
  <c r="U61" i="5" s="1"/>
  <c r="DN60" i="5"/>
  <c r="H61" i="5" s="1"/>
  <c r="T61" i="5" s="1"/>
  <c r="CX63" i="5"/>
  <c r="CZ60" i="5"/>
  <c r="G61" i="5" s="1"/>
  <c r="S61" i="5" s="1"/>
  <c r="CY60" i="5"/>
  <c r="CO62" i="5"/>
  <c r="CW61" i="5" s="1"/>
  <c r="N63" i="5"/>
  <c r="DE32" i="4"/>
  <c r="H51" i="4" s="1"/>
  <c r="DD33" i="4"/>
  <c r="DE33" i="4" s="1"/>
  <c r="H52" i="4" s="1"/>
  <c r="CP27" i="4"/>
  <c r="CM27" i="4"/>
  <c r="CN27" i="4" s="1"/>
  <c r="F46" i="4" s="1"/>
  <c r="DG35" i="4"/>
  <c r="DQ62" i="5"/>
  <c r="DY61" i="5" s="1"/>
  <c r="EA61" i="5" s="1"/>
  <c r="DC62" i="5"/>
  <c r="DK61" i="5" s="1"/>
  <c r="DM61" i="5" s="1"/>
  <c r="CR62" i="5"/>
  <c r="CS62" i="5" s="1"/>
  <c r="DT62" i="5"/>
  <c r="DU62" i="5" s="1"/>
  <c r="DW61" i="5"/>
  <c r="DX61" i="5" s="1"/>
  <c r="DI61" i="5"/>
  <c r="DJ61" i="5" s="1"/>
  <c r="CP63" i="5"/>
  <c r="CN63" i="5"/>
  <c r="CQ63" i="5"/>
  <c r="B64" i="5"/>
  <c r="DH63" i="5"/>
  <c r="BY63" i="5"/>
  <c r="CD63" i="5" s="1"/>
  <c r="CT63" i="5"/>
  <c r="AA64" i="5"/>
  <c r="DV63" i="5"/>
  <c r="AB63" i="5"/>
  <c r="K64" i="5" s="1"/>
  <c r="W64" i="5" s="1"/>
  <c r="CU61" i="5"/>
  <c r="CV61" i="5" s="1"/>
  <c r="DR63" i="5"/>
  <c r="DP63" i="5"/>
  <c r="DS63" i="5"/>
  <c r="DB63" i="5"/>
  <c r="DE63" i="5"/>
  <c r="DD63" i="5"/>
  <c r="BO35" i="4"/>
  <c r="DB35" i="4"/>
  <c r="DC35" i="4" s="1"/>
  <c r="BL36" i="4"/>
  <c r="BM36" i="4" s="1"/>
  <c r="CF27" i="4"/>
  <c r="CH27" i="4" s="1"/>
  <c r="CX36" i="4"/>
  <c r="DF36" i="4" s="1"/>
  <c r="W38" i="4"/>
  <c r="C56" i="4"/>
  <c r="CU37" i="4"/>
  <c r="CB63" i="5" l="1"/>
  <c r="CC63" i="5" s="1"/>
  <c r="AU63" i="5"/>
  <c r="BB63" i="5" s="1"/>
  <c r="AV64" i="5"/>
  <c r="AZ63" i="5"/>
  <c r="BD63" i="5" s="1"/>
  <c r="BZ64" i="5"/>
  <c r="CG64" i="5" s="1"/>
  <c r="CB64" i="5"/>
  <c r="CC64" i="5" s="1"/>
  <c r="BD62" i="5"/>
  <c r="BF62" i="5" s="1"/>
  <c r="BC62" i="5"/>
  <c r="BG62" i="5" s="1"/>
  <c r="AC38" i="4"/>
  <c r="CK63" i="5"/>
  <c r="CE63" i="5"/>
  <c r="CH63" i="5" s="1"/>
  <c r="CL63" i="5" s="1"/>
  <c r="CJ64" i="5"/>
  <c r="CF64" i="5"/>
  <c r="CI64" i="5" s="1"/>
  <c r="BE64" i="5"/>
  <c r="BA64" i="5"/>
  <c r="AY64" i="5"/>
  <c r="AW64" i="5"/>
  <c r="AX64" i="5" s="1"/>
  <c r="CA64" i="5"/>
  <c r="BO64" i="5"/>
  <c r="F61" i="5"/>
  <c r="R61" i="5" s="1"/>
  <c r="BN64" i="5"/>
  <c r="BW61" i="5"/>
  <c r="E62" i="5" s="1"/>
  <c r="Q62" i="5" s="1"/>
  <c r="BP62" i="5"/>
  <c r="BR62" i="5" s="1"/>
  <c r="BS62" i="5" s="1"/>
  <c r="BW62" i="5" s="1"/>
  <c r="BQ64" i="5"/>
  <c r="BL65" i="5" s="1"/>
  <c r="BT64" i="5" s="1"/>
  <c r="BK64" i="5"/>
  <c r="D62" i="5"/>
  <c r="P62" i="5" s="1"/>
  <c r="CD34" i="4"/>
  <c r="BK36" i="4"/>
  <c r="BV62" i="5"/>
  <c r="BM63" i="5"/>
  <c r="BN37" i="4"/>
  <c r="AF38" i="4"/>
  <c r="CE38" i="4"/>
  <c r="AU38" i="4"/>
  <c r="Y38" i="4"/>
  <c r="AD38" i="4" s="1"/>
  <c r="AE37" i="4"/>
  <c r="AG37" i="4" s="1"/>
  <c r="Z38" i="4"/>
  <c r="AA38" i="4"/>
  <c r="AT37" i="4" s="1"/>
  <c r="AB38" i="4"/>
  <c r="BJ38" i="4"/>
  <c r="BQ38" i="4" s="1"/>
  <c r="BU64" i="5"/>
  <c r="AK64" i="5"/>
  <c r="AO64" i="5"/>
  <c r="AI64" i="5"/>
  <c r="F62" i="5"/>
  <c r="R62" i="5" s="1"/>
  <c r="AD67" i="5"/>
  <c r="AC68" i="5"/>
  <c r="BJ68" i="5"/>
  <c r="CR63" i="5"/>
  <c r="CS63" i="5" s="1"/>
  <c r="J56" i="4"/>
  <c r="DA36" i="4"/>
  <c r="J63" i="5"/>
  <c r="V63" i="5" s="1"/>
  <c r="BP38" i="4"/>
  <c r="CY38" i="4"/>
  <c r="CS39" i="4" s="1"/>
  <c r="BI38" i="4"/>
  <c r="CW38" i="4" s="1"/>
  <c r="X38" i="4"/>
  <c r="K57" i="4" s="1"/>
  <c r="CT38" i="4"/>
  <c r="CZ37" i="4" s="1"/>
  <c r="CV38" i="4"/>
  <c r="DL64" i="5"/>
  <c r="DZ64" i="5"/>
  <c r="EB61" i="5"/>
  <c r="I62" i="5" s="1"/>
  <c r="U62" i="5" s="1"/>
  <c r="DN61" i="5"/>
  <c r="H62" i="5" s="1"/>
  <c r="T62" i="5" s="1"/>
  <c r="CZ61" i="5"/>
  <c r="G62" i="5" s="1"/>
  <c r="S62" i="5" s="1"/>
  <c r="CY61" i="5"/>
  <c r="CX64" i="5"/>
  <c r="CO63" i="5"/>
  <c r="CW62" i="5" s="1"/>
  <c r="N64" i="5"/>
  <c r="DH33" i="4"/>
  <c r="I52" i="4" s="1"/>
  <c r="DD34" i="4"/>
  <c r="DE34" i="4" s="1"/>
  <c r="H53" i="4" s="1"/>
  <c r="DB36" i="4"/>
  <c r="DC36" i="4" s="1"/>
  <c r="DC63" i="5"/>
  <c r="DK62" i="5" s="1"/>
  <c r="DM62" i="5" s="1"/>
  <c r="DQ63" i="5"/>
  <c r="DY62" i="5" s="1"/>
  <c r="EA62" i="5" s="1"/>
  <c r="DW62" i="5"/>
  <c r="DX62" i="5" s="1"/>
  <c r="CU62" i="5"/>
  <c r="CV62" i="5" s="1"/>
  <c r="B65" i="5"/>
  <c r="AA65" i="5"/>
  <c r="DV64" i="5"/>
  <c r="DH64" i="5"/>
  <c r="BY64" i="5"/>
  <c r="CD64" i="5" s="1"/>
  <c r="CT64" i="5"/>
  <c r="AB64" i="5"/>
  <c r="K65" i="5" s="1"/>
  <c r="W65" i="5" s="1"/>
  <c r="DT63" i="5"/>
  <c r="DU63" i="5" s="1"/>
  <c r="DI62" i="5"/>
  <c r="DJ62" i="5" s="1"/>
  <c r="DN62" i="5" s="1"/>
  <c r="CN64" i="5"/>
  <c r="CP64" i="5"/>
  <c r="CQ64" i="5"/>
  <c r="DF63" i="5"/>
  <c r="DG63" i="5" s="1"/>
  <c r="DB64" i="5"/>
  <c r="DE64" i="5"/>
  <c r="DD64" i="5"/>
  <c r="DP64" i="5"/>
  <c r="DR64" i="5"/>
  <c r="DS64" i="5"/>
  <c r="BO36" i="4"/>
  <c r="BL37" i="4"/>
  <c r="BM37" i="4" s="1"/>
  <c r="DG36" i="4"/>
  <c r="CQ27" i="4"/>
  <c r="G46" i="4" s="1"/>
  <c r="CX37" i="4"/>
  <c r="DF37" i="4" s="1"/>
  <c r="W39" i="4"/>
  <c r="C57" i="4"/>
  <c r="CU38" i="4"/>
  <c r="CA65" i="5" l="1"/>
  <c r="AU64" i="5"/>
  <c r="BB64" i="5" s="1"/>
  <c r="BC63" i="5"/>
  <c r="AV65" i="5"/>
  <c r="CK64" i="5"/>
  <c r="AZ64" i="5"/>
  <c r="BD64" i="5" s="1"/>
  <c r="BF63" i="5"/>
  <c r="BZ65" i="5"/>
  <c r="CG65" i="5" s="1"/>
  <c r="CB65" i="5"/>
  <c r="CC65" i="5" s="1"/>
  <c r="BG63" i="5"/>
  <c r="AC39" i="4"/>
  <c r="CE64" i="5"/>
  <c r="CH64" i="5" s="1"/>
  <c r="CL64" i="5" s="1"/>
  <c r="AU65" i="5"/>
  <c r="BB65" i="5" s="1"/>
  <c r="AW65" i="5"/>
  <c r="AX65" i="5" s="1"/>
  <c r="CJ65" i="5"/>
  <c r="CF65" i="5"/>
  <c r="CI65" i="5" s="1"/>
  <c r="BE65" i="5"/>
  <c r="BA65" i="5"/>
  <c r="AY65" i="5"/>
  <c r="BO65" i="5"/>
  <c r="BK65" i="5"/>
  <c r="BN65" i="5"/>
  <c r="E63" i="5"/>
  <c r="Q63" i="5" s="1"/>
  <c r="BP63" i="5"/>
  <c r="BR63" i="5" s="1"/>
  <c r="BS63" i="5" s="1"/>
  <c r="BQ65" i="5"/>
  <c r="BL66" i="5" s="1"/>
  <c r="BT65" i="5" s="1"/>
  <c r="CD35" i="4"/>
  <c r="BK37" i="4"/>
  <c r="BK38" i="4" s="1"/>
  <c r="CD37" i="4" s="1"/>
  <c r="BV63" i="5"/>
  <c r="BM64" i="5"/>
  <c r="D63" i="5"/>
  <c r="P63" i="5" s="1"/>
  <c r="J57" i="4"/>
  <c r="Z39" i="4"/>
  <c r="AB39" i="4"/>
  <c r="AA39" i="4"/>
  <c r="AT38" i="4" s="1"/>
  <c r="AE38" i="4"/>
  <c r="AG38" i="4" s="1"/>
  <c r="AU39" i="4"/>
  <c r="CE39" i="4"/>
  <c r="AF39" i="4"/>
  <c r="Y39" i="4"/>
  <c r="AD39" i="4" s="1"/>
  <c r="BN38" i="4"/>
  <c r="BJ39" i="4"/>
  <c r="BQ39" i="4" s="1"/>
  <c r="BU65" i="5"/>
  <c r="AK65" i="5"/>
  <c r="AO65" i="5"/>
  <c r="AI65" i="5"/>
  <c r="F63" i="5"/>
  <c r="R63" i="5" s="1"/>
  <c r="AD68" i="5"/>
  <c r="AC69" i="5"/>
  <c r="BJ69" i="5"/>
  <c r="DF64" i="5"/>
  <c r="DG64" i="5" s="1"/>
  <c r="DA37" i="4"/>
  <c r="J64" i="5"/>
  <c r="V64" i="5" s="1"/>
  <c r="CY39" i="4"/>
  <c r="CS40" i="4" s="1"/>
  <c r="BP39" i="4"/>
  <c r="X39" i="4"/>
  <c r="K58" i="4" s="1"/>
  <c r="BI39" i="4"/>
  <c r="CW39" i="4" s="1"/>
  <c r="CV39" i="4"/>
  <c r="CT39" i="4"/>
  <c r="CZ38" i="4" s="1"/>
  <c r="DL65" i="5"/>
  <c r="DZ65" i="5"/>
  <c r="EB62" i="5"/>
  <c r="I63" i="5" s="1"/>
  <c r="U63" i="5" s="1"/>
  <c r="H63" i="5"/>
  <c r="T63" i="5" s="1"/>
  <c r="CX65" i="5"/>
  <c r="CZ62" i="5"/>
  <c r="G63" i="5" s="1"/>
  <c r="S63" i="5" s="1"/>
  <c r="CY62" i="5"/>
  <c r="CO64" i="5"/>
  <c r="CW63" i="5" s="1"/>
  <c r="N65" i="5"/>
  <c r="DH34" i="4"/>
  <c r="I53" i="4" s="1"/>
  <c r="DD35" i="4"/>
  <c r="DE35" i="4" s="1"/>
  <c r="H54" i="4" s="1"/>
  <c r="DG37" i="4"/>
  <c r="DC64" i="5"/>
  <c r="DK63" i="5" s="1"/>
  <c r="DM63" i="5" s="1"/>
  <c r="DQ64" i="5"/>
  <c r="DY63" i="5" s="1"/>
  <c r="EA63" i="5" s="1"/>
  <c r="DI63" i="5"/>
  <c r="DJ63" i="5" s="1"/>
  <c r="B66" i="5"/>
  <c r="DV65" i="5"/>
  <c r="AA66" i="5"/>
  <c r="DH65" i="5"/>
  <c r="BY65" i="5"/>
  <c r="CD65" i="5" s="1"/>
  <c r="CT65" i="5"/>
  <c r="AB65" i="5"/>
  <c r="K66" i="5" s="1"/>
  <c r="W66" i="5" s="1"/>
  <c r="CR64" i="5"/>
  <c r="CS64" i="5" s="1"/>
  <c r="CQ65" i="5"/>
  <c r="CN65" i="5"/>
  <c r="CP65" i="5"/>
  <c r="DT64" i="5"/>
  <c r="DU64" i="5" s="1"/>
  <c r="CU63" i="5"/>
  <c r="CV63" i="5" s="1"/>
  <c r="DE65" i="5"/>
  <c r="DD65" i="5"/>
  <c r="DB65" i="5"/>
  <c r="DW63" i="5"/>
  <c r="DX63" i="5" s="1"/>
  <c r="EB63" i="5" s="1"/>
  <c r="DS65" i="5"/>
  <c r="DP65" i="5"/>
  <c r="DR65" i="5"/>
  <c r="BL38" i="4"/>
  <c r="BM38" i="4" s="1"/>
  <c r="BO37" i="4"/>
  <c r="DB37" i="4"/>
  <c r="DC37" i="4" s="1"/>
  <c r="CI27" i="4"/>
  <c r="CJ27" i="4" s="1"/>
  <c r="CK28" i="4" s="1"/>
  <c r="CL28" i="4" s="1"/>
  <c r="CX38" i="4"/>
  <c r="DF38" i="4" s="1"/>
  <c r="CU39" i="4"/>
  <c r="W40" i="4"/>
  <c r="C58" i="4"/>
  <c r="BF64" i="5" l="1"/>
  <c r="BC64" i="5"/>
  <c r="BG64" i="5" s="1"/>
  <c r="D65" i="5" s="1"/>
  <c r="P65" i="5" s="1"/>
  <c r="BZ66" i="5"/>
  <c r="CG66" i="5" s="1"/>
  <c r="CB66" i="5"/>
  <c r="CC66" i="5" s="1"/>
  <c r="CF66" i="5"/>
  <c r="CI66" i="5" s="1"/>
  <c r="CJ66" i="5"/>
  <c r="BE66" i="5"/>
  <c r="BA66" i="5"/>
  <c r="AY66" i="5"/>
  <c r="CE65" i="5"/>
  <c r="CH65" i="5" s="1"/>
  <c r="CL65" i="5" s="1"/>
  <c r="AZ65" i="5"/>
  <c r="CK65" i="5"/>
  <c r="CA66" i="5"/>
  <c r="AU66" i="5"/>
  <c r="BB66" i="5" s="1"/>
  <c r="AW66" i="5"/>
  <c r="AX66" i="5" s="1"/>
  <c r="AV66" i="5"/>
  <c r="AC40" i="4"/>
  <c r="BO66" i="5"/>
  <c r="BK66" i="5"/>
  <c r="BN66" i="5"/>
  <c r="BW63" i="5"/>
  <c r="E64" i="5" s="1"/>
  <c r="Q64" i="5" s="1"/>
  <c r="BP64" i="5"/>
  <c r="BR64" i="5" s="1"/>
  <c r="BS64" i="5" s="1"/>
  <c r="BW64" i="5" s="1"/>
  <c r="BQ66" i="5"/>
  <c r="BL67" i="5" s="1"/>
  <c r="BT66" i="5" s="1"/>
  <c r="CD36" i="4"/>
  <c r="BK39" i="4"/>
  <c r="CD38" i="4" s="1"/>
  <c r="BV64" i="5"/>
  <c r="BM65" i="5"/>
  <c r="BP65" i="5" s="1"/>
  <c r="D64" i="5"/>
  <c r="P64" i="5" s="1"/>
  <c r="J58" i="4"/>
  <c r="Z40" i="4"/>
  <c r="AA40" i="4"/>
  <c r="AT39" i="4" s="1"/>
  <c r="AB40" i="4"/>
  <c r="CE40" i="4"/>
  <c r="AU40" i="4"/>
  <c r="AF40" i="4"/>
  <c r="Y40" i="4"/>
  <c r="AD40" i="4" s="1"/>
  <c r="AE39" i="4"/>
  <c r="AG39" i="4" s="1"/>
  <c r="BN39" i="4"/>
  <c r="BJ40" i="4"/>
  <c r="BQ40" i="4" s="1"/>
  <c r="AK66" i="5"/>
  <c r="AO66" i="5"/>
  <c r="BU66" i="5"/>
  <c r="AI66" i="5"/>
  <c r="F64" i="5"/>
  <c r="R64" i="5" s="1"/>
  <c r="AD69" i="5"/>
  <c r="AC70" i="5"/>
  <c r="BJ70" i="5"/>
  <c r="DA38" i="4"/>
  <c r="J65" i="5"/>
  <c r="V65" i="5" s="1"/>
  <c r="CV40" i="4"/>
  <c r="BP40" i="4"/>
  <c r="CY40" i="4"/>
  <c r="CS41" i="4" s="1"/>
  <c r="BI40" i="4"/>
  <c r="CW40" i="4" s="1"/>
  <c r="X40" i="4"/>
  <c r="K59" i="4" s="1"/>
  <c r="CT40" i="4"/>
  <c r="CZ39" i="4" s="1"/>
  <c r="DL66" i="5"/>
  <c r="DZ66" i="5"/>
  <c r="I64" i="5"/>
  <c r="U64" i="5" s="1"/>
  <c r="DN63" i="5"/>
  <c r="H64" i="5" s="1"/>
  <c r="T64" i="5" s="1"/>
  <c r="CZ63" i="5"/>
  <c r="G64" i="5" s="1"/>
  <c r="S64" i="5" s="1"/>
  <c r="CY63" i="5"/>
  <c r="CX66" i="5"/>
  <c r="CO65" i="5"/>
  <c r="CW64" i="5" s="1"/>
  <c r="N66" i="5"/>
  <c r="DD36" i="4"/>
  <c r="DE36" i="4" s="1"/>
  <c r="H55" i="4" s="1"/>
  <c r="DH35" i="4"/>
  <c r="I54" i="4" s="1"/>
  <c r="CP28" i="4"/>
  <c r="CM28" i="4"/>
  <c r="DB38" i="4"/>
  <c r="DC38" i="4" s="1"/>
  <c r="DC65" i="5"/>
  <c r="DK64" i="5" s="1"/>
  <c r="DM64" i="5" s="1"/>
  <c r="DQ65" i="5"/>
  <c r="DY64" i="5" s="1"/>
  <c r="EA64" i="5" s="1"/>
  <c r="DF65" i="5"/>
  <c r="DG65" i="5" s="1"/>
  <c r="CU64" i="5"/>
  <c r="CV64" i="5" s="1"/>
  <c r="DW64" i="5"/>
  <c r="DX64" i="5" s="1"/>
  <c r="EB64" i="5" s="1"/>
  <c r="DI64" i="5"/>
  <c r="DJ64" i="5" s="1"/>
  <c r="DN64" i="5" s="1"/>
  <c r="CP66" i="5"/>
  <c r="CQ66" i="5"/>
  <c r="CN66" i="5"/>
  <c r="DT65" i="5"/>
  <c r="DU65" i="5" s="1"/>
  <c r="CR65" i="5"/>
  <c r="CS65" i="5" s="1"/>
  <c r="DD66" i="5"/>
  <c r="DB66" i="5"/>
  <c r="DE66" i="5"/>
  <c r="DR66" i="5"/>
  <c r="DS66" i="5"/>
  <c r="DP66" i="5"/>
  <c r="B67" i="5"/>
  <c r="DV66" i="5"/>
  <c r="CT66" i="5"/>
  <c r="AA67" i="5"/>
  <c r="DH66" i="5"/>
  <c r="BY66" i="5"/>
  <c r="CD66" i="5" s="1"/>
  <c r="AB66" i="5"/>
  <c r="K67" i="5" s="1"/>
  <c r="W67" i="5" s="1"/>
  <c r="BO38" i="4"/>
  <c r="BL39" i="4"/>
  <c r="BM39" i="4" s="1"/>
  <c r="DG38" i="4"/>
  <c r="CF28" i="4"/>
  <c r="CH28" i="4" s="1"/>
  <c r="CX39" i="4"/>
  <c r="DF39" i="4" s="1"/>
  <c r="CU40" i="4"/>
  <c r="W41" i="4"/>
  <c r="C59" i="4"/>
  <c r="CA67" i="5" l="1"/>
  <c r="AV67" i="5"/>
  <c r="AZ66" i="5"/>
  <c r="BC66" i="5" s="1"/>
  <c r="AC41" i="4"/>
  <c r="CF67" i="5"/>
  <c r="CJ67" i="5"/>
  <c r="BA67" i="5"/>
  <c r="BE67" i="5"/>
  <c r="AY67" i="5"/>
  <c r="BB67" i="5"/>
  <c r="BD65" i="5"/>
  <c r="BF65" i="5" s="1"/>
  <c r="BC65" i="5"/>
  <c r="BG65" i="5" s="1"/>
  <c r="D66" i="5" s="1"/>
  <c r="P66" i="5" s="1"/>
  <c r="CK66" i="5"/>
  <c r="BZ67" i="5"/>
  <c r="CG67" i="5" s="1"/>
  <c r="CB67" i="5"/>
  <c r="CC67" i="5" s="1"/>
  <c r="CE66" i="5"/>
  <c r="CH66" i="5" s="1"/>
  <c r="CL66" i="5" s="1"/>
  <c r="BD66" i="5"/>
  <c r="AU67" i="5"/>
  <c r="AW67" i="5"/>
  <c r="AX67" i="5" s="1"/>
  <c r="BQ67" i="5"/>
  <c r="BL68" i="5" s="1"/>
  <c r="BT67" i="5" s="1"/>
  <c r="BO67" i="5"/>
  <c r="BN67" i="5"/>
  <c r="E65" i="5"/>
  <c r="Q65" i="5" s="1"/>
  <c r="BK67" i="5"/>
  <c r="BK40" i="4"/>
  <c r="CD39" i="4" s="1"/>
  <c r="AL67" i="5"/>
  <c r="BV65" i="5"/>
  <c r="BM66" i="5"/>
  <c r="BP66" i="5" s="1"/>
  <c r="J59" i="4"/>
  <c r="AE40" i="4"/>
  <c r="AG40" i="4" s="1"/>
  <c r="BN40" i="4"/>
  <c r="AU41" i="4"/>
  <c r="AF41" i="4"/>
  <c r="CE41" i="4"/>
  <c r="Y41" i="4"/>
  <c r="AD41" i="4" s="1"/>
  <c r="Z41" i="4"/>
  <c r="AB41" i="4"/>
  <c r="AA41" i="4"/>
  <c r="AT40" i="4" s="1"/>
  <c r="BJ41" i="4"/>
  <c r="BQ41" i="4" s="1"/>
  <c r="BU67" i="5"/>
  <c r="AO67" i="5"/>
  <c r="AK67" i="5"/>
  <c r="AI67" i="5"/>
  <c r="F65" i="5"/>
  <c r="R65" i="5" s="1"/>
  <c r="AD70" i="5"/>
  <c r="AC71" i="5"/>
  <c r="BJ71" i="5"/>
  <c r="DT66" i="5"/>
  <c r="DU66" i="5" s="1"/>
  <c r="DA39" i="4"/>
  <c r="J66" i="5"/>
  <c r="V66" i="5" s="1"/>
  <c r="BP41" i="4"/>
  <c r="CY41" i="4"/>
  <c r="CS42" i="4" s="1"/>
  <c r="X41" i="4"/>
  <c r="K60" i="4" s="1"/>
  <c r="BI41" i="4"/>
  <c r="CW41" i="4" s="1"/>
  <c r="CT41" i="4"/>
  <c r="CV41" i="4"/>
  <c r="DL67" i="5"/>
  <c r="DZ67" i="5"/>
  <c r="I65" i="5"/>
  <c r="U65" i="5" s="1"/>
  <c r="H65" i="5"/>
  <c r="T65" i="5" s="1"/>
  <c r="CY64" i="5"/>
  <c r="CZ64" i="5"/>
  <c r="G65" i="5" s="1"/>
  <c r="S65" i="5" s="1"/>
  <c r="CX67" i="5"/>
  <c r="CO66" i="5"/>
  <c r="CW65" i="5" s="1"/>
  <c r="N67" i="5"/>
  <c r="DH36" i="4"/>
  <c r="I55" i="4" s="1"/>
  <c r="DD37" i="4"/>
  <c r="DH37" i="4" s="1"/>
  <c r="I56" i="4" s="1"/>
  <c r="DG39" i="4"/>
  <c r="DC66" i="5"/>
  <c r="DK65" i="5" s="1"/>
  <c r="DM65" i="5" s="1"/>
  <c r="DQ66" i="5"/>
  <c r="DY65" i="5" s="1"/>
  <c r="EA65" i="5" s="1"/>
  <c r="DI65" i="5"/>
  <c r="DJ65" i="5" s="1"/>
  <c r="CR66" i="5"/>
  <c r="CS66" i="5" s="1"/>
  <c r="DW65" i="5"/>
  <c r="DX65" i="5" s="1"/>
  <c r="DS67" i="5"/>
  <c r="DR67" i="5"/>
  <c r="DP67" i="5"/>
  <c r="DF66" i="5"/>
  <c r="DG66" i="5" s="1"/>
  <c r="DE67" i="5"/>
  <c r="DD67" i="5"/>
  <c r="DB67" i="5"/>
  <c r="DV67" i="5"/>
  <c r="AA68" i="5"/>
  <c r="DH67" i="5"/>
  <c r="BY67" i="5"/>
  <c r="CD67" i="5" s="1"/>
  <c r="CT67" i="5"/>
  <c r="B68" i="5"/>
  <c r="A57" i="5" s="1"/>
  <c r="AB67" i="5"/>
  <c r="K68" i="5" s="1"/>
  <c r="W68" i="5" s="1"/>
  <c r="CU65" i="5"/>
  <c r="CV65" i="5" s="1"/>
  <c r="CN67" i="5"/>
  <c r="CQ67" i="5"/>
  <c r="CP67" i="5"/>
  <c r="BL40" i="4"/>
  <c r="BM40" i="4" s="1"/>
  <c r="BO39" i="4"/>
  <c r="DB39" i="4"/>
  <c r="DC39" i="4" s="1"/>
  <c r="CN28" i="4"/>
  <c r="F47" i="4" s="1"/>
  <c r="CQ28" i="4"/>
  <c r="G47" i="4" s="1"/>
  <c r="CX40" i="4"/>
  <c r="DF40" i="4" s="1"/>
  <c r="W42" i="4"/>
  <c r="C60" i="4"/>
  <c r="CU41" i="4"/>
  <c r="BF66" i="5" l="1"/>
  <c r="BG66" i="5"/>
  <c r="AZ67" i="5"/>
  <c r="BC67" i="5" s="1"/>
  <c r="CE67" i="5"/>
  <c r="CI67" i="5" s="1"/>
  <c r="BO68" i="5"/>
  <c r="CF68" i="5"/>
  <c r="CI68" i="5" s="1"/>
  <c r="BA68" i="5"/>
  <c r="CJ68" i="5"/>
  <c r="AY68" i="5"/>
  <c r="BE68" i="5"/>
  <c r="AC42" i="4"/>
  <c r="BZ68" i="5"/>
  <c r="CG68" i="5" s="1"/>
  <c r="CB68" i="5"/>
  <c r="CC68" i="5" s="1"/>
  <c r="CA68" i="5"/>
  <c r="BK68" i="5"/>
  <c r="BR65" i="5"/>
  <c r="BS65" i="5" s="1"/>
  <c r="BQ68" i="5"/>
  <c r="BL69" i="5" s="1"/>
  <c r="BT68" i="5" s="1"/>
  <c r="BK41" i="4"/>
  <c r="CD40" i="4" s="1"/>
  <c r="J60" i="4"/>
  <c r="BM67" i="5"/>
  <c r="BP67" i="5" s="1"/>
  <c r="BN68" i="5" s="1"/>
  <c r="BV66" i="5"/>
  <c r="D67" i="5"/>
  <c r="P67" i="5" s="1"/>
  <c r="AE41" i="4"/>
  <c r="AG41" i="4" s="1"/>
  <c r="Z42" i="4"/>
  <c r="AB42" i="4"/>
  <c r="AA42" i="4"/>
  <c r="AT41" i="4" s="1"/>
  <c r="AF42" i="4"/>
  <c r="Y42" i="4"/>
  <c r="AD42" i="4" s="1"/>
  <c r="BN41" i="4"/>
  <c r="BJ42" i="4"/>
  <c r="BQ42" i="4" s="1"/>
  <c r="BU68" i="5"/>
  <c r="AI68" i="5"/>
  <c r="AO68" i="5"/>
  <c r="AK68" i="5"/>
  <c r="F66" i="5"/>
  <c r="R66" i="5" s="1"/>
  <c r="AD71" i="5"/>
  <c r="AC72" i="5"/>
  <c r="BJ72" i="5"/>
  <c r="CR67" i="5"/>
  <c r="CS67" i="5" s="1"/>
  <c r="J67" i="5"/>
  <c r="V67" i="5" s="1"/>
  <c r="CT42" i="4"/>
  <c r="CZ41" i="4" s="1"/>
  <c r="CZ40" i="4"/>
  <c r="DA40" i="4" s="1"/>
  <c r="BP42" i="4"/>
  <c r="CY42" i="4"/>
  <c r="CS43" i="4" s="1"/>
  <c r="BI42" i="4"/>
  <c r="CW42" i="4" s="1"/>
  <c r="X42" i="4"/>
  <c r="K61" i="4" s="1"/>
  <c r="CV42" i="4"/>
  <c r="DL68" i="5"/>
  <c r="DZ68" i="5"/>
  <c r="EB65" i="5"/>
  <c r="I66" i="5" s="1"/>
  <c r="U66" i="5" s="1"/>
  <c r="DN65" i="5"/>
  <c r="H66" i="5" s="1"/>
  <c r="T66" i="5" s="1"/>
  <c r="CY65" i="5"/>
  <c r="CZ65" i="5"/>
  <c r="G66" i="5" s="1"/>
  <c r="S66" i="5" s="1"/>
  <c r="CX68" i="5"/>
  <c r="CO67" i="5"/>
  <c r="CW66" i="5" s="1"/>
  <c r="N68" i="5"/>
  <c r="DD38" i="4"/>
  <c r="DE38" i="4" s="1"/>
  <c r="H57" i="4" s="1"/>
  <c r="DE37" i="4"/>
  <c r="H56" i="4" s="1"/>
  <c r="DG40" i="4"/>
  <c r="DC67" i="5"/>
  <c r="DK66" i="5" s="1"/>
  <c r="DM66" i="5" s="1"/>
  <c r="DQ67" i="5"/>
  <c r="DY66" i="5" s="1"/>
  <c r="EA66" i="5" s="1"/>
  <c r="DF67" i="5"/>
  <c r="DG67" i="5" s="1"/>
  <c r="DE68" i="5" s="1"/>
  <c r="DT67" i="5"/>
  <c r="DU67" i="5" s="1"/>
  <c r="DI66" i="5"/>
  <c r="DJ66" i="5" s="1"/>
  <c r="DN66" i="5" s="1"/>
  <c r="DB68" i="5"/>
  <c r="DD68" i="5"/>
  <c r="CU66" i="5"/>
  <c r="CV66" i="5" s="1"/>
  <c r="B69" i="5"/>
  <c r="DV68" i="5"/>
  <c r="DH68" i="5"/>
  <c r="BY68" i="5"/>
  <c r="CD68" i="5" s="1"/>
  <c r="CT68" i="5"/>
  <c r="AA69" i="5"/>
  <c r="AB68" i="5"/>
  <c r="K69" i="5" s="1"/>
  <c r="W69" i="5" s="1"/>
  <c r="CN68" i="5"/>
  <c r="CP68" i="5"/>
  <c r="DP68" i="5"/>
  <c r="DR68" i="5"/>
  <c r="DW66" i="5"/>
  <c r="DX66" i="5" s="1"/>
  <c r="EB66" i="5" s="1"/>
  <c r="BO40" i="4"/>
  <c r="BL41" i="4"/>
  <c r="BM41" i="4" s="1"/>
  <c r="DB40" i="4"/>
  <c r="DC40" i="4" s="1"/>
  <c r="CI28" i="4"/>
  <c r="CJ28" i="4" s="1"/>
  <c r="CK29" i="4" s="1"/>
  <c r="CL29" i="4" s="1"/>
  <c r="CX41" i="4"/>
  <c r="DF41" i="4" s="1"/>
  <c r="CU42" i="4"/>
  <c r="W43" i="4"/>
  <c r="C61" i="4"/>
  <c r="CA69" i="5" l="1"/>
  <c r="BD67" i="5"/>
  <c r="BF67" i="5" s="1"/>
  <c r="BG67" i="5"/>
  <c r="D68" i="5" s="1"/>
  <c r="P68" i="5" s="1"/>
  <c r="CE68" i="5"/>
  <c r="CH68" i="5" s="1"/>
  <c r="BZ69" i="5"/>
  <c r="CG69" i="5" s="1"/>
  <c r="CB69" i="5"/>
  <c r="CC69" i="5" s="1"/>
  <c r="BO69" i="5"/>
  <c r="CF69" i="5"/>
  <c r="CJ69" i="5"/>
  <c r="AY69" i="5"/>
  <c r="BE69" i="5"/>
  <c r="BA69" i="5"/>
  <c r="CK67" i="5"/>
  <c r="CH67" i="5"/>
  <c r="CL67" i="5" s="1"/>
  <c r="BN69" i="5"/>
  <c r="BK69" i="5"/>
  <c r="BW65" i="5"/>
  <c r="E66" i="5" s="1"/>
  <c r="Q66" i="5" s="1"/>
  <c r="BR66" i="5"/>
  <c r="BS66" i="5" s="1"/>
  <c r="BV67" i="5"/>
  <c r="BR67" i="5"/>
  <c r="BS67" i="5" s="1"/>
  <c r="BW67" i="5" s="1"/>
  <c r="BQ69" i="5"/>
  <c r="BL70" i="5" s="1"/>
  <c r="BT69" i="5" s="1"/>
  <c r="BK42" i="4"/>
  <c r="CD41" i="4" s="1"/>
  <c r="J61" i="4"/>
  <c r="BM68" i="5"/>
  <c r="BP68" i="5" s="1"/>
  <c r="AE42" i="4"/>
  <c r="Z43" i="4"/>
  <c r="AA43" i="4"/>
  <c r="AT42" i="4" s="1"/>
  <c r="AB43" i="4"/>
  <c r="AW41" i="4"/>
  <c r="BN42" i="4"/>
  <c r="AF43" i="4"/>
  <c r="AU43" i="4"/>
  <c r="CE43" i="4"/>
  <c r="Y43" i="4"/>
  <c r="BU69" i="5"/>
  <c r="AK69" i="5"/>
  <c r="AO69" i="5"/>
  <c r="AI69" i="5"/>
  <c r="F67" i="5"/>
  <c r="R67" i="5" s="1"/>
  <c r="AD72" i="5"/>
  <c r="AC73" i="5"/>
  <c r="BJ73" i="5"/>
  <c r="CR68" i="5"/>
  <c r="N69" i="5"/>
  <c r="J68" i="5"/>
  <c r="V68" i="5" s="1"/>
  <c r="DA41" i="4"/>
  <c r="BP43" i="4"/>
  <c r="CY43" i="4"/>
  <c r="CS44" i="4" s="1"/>
  <c r="BI43" i="4"/>
  <c r="BN43" i="4" s="1"/>
  <c r="X43" i="4"/>
  <c r="K62" i="4" s="1"/>
  <c r="CT43" i="4"/>
  <c r="DL69" i="5"/>
  <c r="DZ69" i="5"/>
  <c r="I67" i="5"/>
  <c r="U67" i="5" s="1"/>
  <c r="H67" i="5"/>
  <c r="T67" i="5" s="1"/>
  <c r="CZ66" i="5"/>
  <c r="G67" i="5" s="1"/>
  <c r="S67" i="5" s="1"/>
  <c r="CY66" i="5"/>
  <c r="CX69" i="5"/>
  <c r="CO68" i="5"/>
  <c r="CW67" i="5" s="1"/>
  <c r="DH38" i="4"/>
  <c r="I57" i="4" s="1"/>
  <c r="DD39" i="4"/>
  <c r="DH39" i="4" s="1"/>
  <c r="I58" i="4" s="1"/>
  <c r="CP29" i="4"/>
  <c r="CM29" i="4"/>
  <c r="CN29" i="4" s="1"/>
  <c r="F48" i="4" s="1"/>
  <c r="DG41" i="4"/>
  <c r="DC68" i="5"/>
  <c r="DK67" i="5" s="1"/>
  <c r="DM67" i="5" s="1"/>
  <c r="DQ68" i="5"/>
  <c r="DY67" i="5" s="1"/>
  <c r="EA67" i="5" s="1"/>
  <c r="DT68" i="5"/>
  <c r="DS68" i="5"/>
  <c r="DS69" i="5" s="1"/>
  <c r="DW67" i="5"/>
  <c r="DX67" i="5" s="1"/>
  <c r="CU67" i="5"/>
  <c r="CV67" i="5" s="1"/>
  <c r="DB69" i="5"/>
  <c r="DE69" i="5"/>
  <c r="DD69" i="5"/>
  <c r="B70" i="5"/>
  <c r="AA70" i="5"/>
  <c r="BY69" i="5"/>
  <c r="CD69" i="5" s="1"/>
  <c r="DV69" i="5"/>
  <c r="DH69" i="5"/>
  <c r="CT69" i="5"/>
  <c r="AB69" i="5"/>
  <c r="K70" i="5" s="1"/>
  <c r="W70" i="5" s="1"/>
  <c r="DI67" i="5"/>
  <c r="DJ67" i="5" s="1"/>
  <c r="DR69" i="5"/>
  <c r="DP69" i="5"/>
  <c r="CQ68" i="5"/>
  <c r="CN69" i="5"/>
  <c r="CP69" i="5"/>
  <c r="DF68" i="5"/>
  <c r="DG68" i="5" s="1"/>
  <c r="BO41" i="4"/>
  <c r="BL42" i="4"/>
  <c r="BM42" i="4" s="1"/>
  <c r="DB41" i="4"/>
  <c r="DC41" i="4" s="1"/>
  <c r="CF29" i="4"/>
  <c r="CH29" i="4" s="1"/>
  <c r="CX42" i="4"/>
  <c r="DF42" i="4" s="1"/>
  <c r="CU43" i="4"/>
  <c r="W44" i="4"/>
  <c r="C62" i="4"/>
  <c r="B61" i="4" s="1"/>
  <c r="AV68" i="5" l="1"/>
  <c r="AV69" i="5" s="1"/>
  <c r="AV70" i="5" s="1"/>
  <c r="AU68" i="5"/>
  <c r="AW68" i="5" s="1"/>
  <c r="CA70" i="5"/>
  <c r="CI69" i="5"/>
  <c r="CK68" i="5"/>
  <c r="CL68" i="5"/>
  <c r="CE69" i="5"/>
  <c r="CH69" i="5" s="1"/>
  <c r="BO70" i="5"/>
  <c r="CF70" i="5"/>
  <c r="CI70" i="5" s="1"/>
  <c r="BA70" i="5"/>
  <c r="BE70" i="5"/>
  <c r="AY70" i="5"/>
  <c r="CJ70" i="5"/>
  <c r="BZ70" i="5"/>
  <c r="CG70" i="5" s="1"/>
  <c r="CB70" i="5"/>
  <c r="CC70" i="5" s="1"/>
  <c r="BN70" i="5"/>
  <c r="BW66" i="5"/>
  <c r="E67" i="5" s="1"/>
  <c r="Q67" i="5" s="1"/>
  <c r="AG42" i="4"/>
  <c r="AC43" i="4"/>
  <c r="AC44" i="4" s="1"/>
  <c r="BQ70" i="5"/>
  <c r="BL71" i="5" s="1"/>
  <c r="BT70" i="5" s="1"/>
  <c r="BK70" i="5"/>
  <c r="AQ43" i="4"/>
  <c r="AD43" i="4"/>
  <c r="BM69" i="5"/>
  <c r="BP69" i="5" s="1"/>
  <c r="Z44" i="4"/>
  <c r="AA44" i="4"/>
  <c r="AT43" i="4" s="1"/>
  <c r="AB44" i="4"/>
  <c r="AU44" i="4"/>
  <c r="AF44" i="4"/>
  <c r="CE44" i="4"/>
  <c r="Y44" i="4"/>
  <c r="E68" i="5"/>
  <c r="Q68" i="5" s="1"/>
  <c r="E10" i="5"/>
  <c r="E26" i="5" s="1"/>
  <c r="BV68" i="5"/>
  <c r="BU70" i="5"/>
  <c r="AK70" i="5"/>
  <c r="AO70" i="5"/>
  <c r="AI70" i="5"/>
  <c r="AD73" i="5"/>
  <c r="AC74" i="5"/>
  <c r="BJ74" i="5"/>
  <c r="CS68" i="5"/>
  <c r="CU68" i="5" s="1"/>
  <c r="CV68" i="5" s="1"/>
  <c r="DF69" i="5"/>
  <c r="DG69" i="5" s="1"/>
  <c r="J69" i="5"/>
  <c r="V69" i="5" s="1"/>
  <c r="J62" i="4"/>
  <c r="CT44" i="4"/>
  <c r="CZ43" i="4" s="1"/>
  <c r="CZ42" i="4"/>
  <c r="DA42" i="4" s="1"/>
  <c r="CW43" i="4"/>
  <c r="CA43" i="4"/>
  <c r="BP44" i="4"/>
  <c r="CY44" i="4"/>
  <c r="CS45" i="4" s="1"/>
  <c r="BI44" i="4"/>
  <c r="CA44" i="4" s="1"/>
  <c r="X44" i="4"/>
  <c r="K63" i="4" s="1"/>
  <c r="CO69" i="5"/>
  <c r="CW68" i="5" s="1"/>
  <c r="DL70" i="5"/>
  <c r="DZ70" i="5"/>
  <c r="EB67" i="5"/>
  <c r="I68" i="5" s="1"/>
  <c r="U68" i="5" s="1"/>
  <c r="DN67" i="5"/>
  <c r="H68" i="5" s="1"/>
  <c r="T68" i="5" s="1"/>
  <c r="CZ67" i="5"/>
  <c r="G68" i="5" s="1"/>
  <c r="S68" i="5" s="1"/>
  <c r="CY67" i="5"/>
  <c r="CX70" i="5"/>
  <c r="N70" i="5"/>
  <c r="DD40" i="4"/>
  <c r="DH40" i="4" s="1"/>
  <c r="I59" i="4" s="1"/>
  <c r="DE39" i="4"/>
  <c r="H58" i="4" s="1"/>
  <c r="CV43" i="4"/>
  <c r="CV44" i="4" s="1"/>
  <c r="DG42" i="4"/>
  <c r="DC69" i="5"/>
  <c r="DK68" i="5" s="1"/>
  <c r="DM68" i="5" s="1"/>
  <c r="DQ69" i="5"/>
  <c r="DY68" i="5" s="1"/>
  <c r="EA68" i="5" s="1"/>
  <c r="DU68" i="5"/>
  <c r="DW68" i="5" s="1"/>
  <c r="DX68" i="5" s="1"/>
  <c r="EB68" i="5" s="1"/>
  <c r="DI68" i="5"/>
  <c r="DJ68" i="5" s="1"/>
  <c r="CP70" i="5"/>
  <c r="CN70" i="5"/>
  <c r="DS70" i="5"/>
  <c r="DR70" i="5"/>
  <c r="DP70" i="5"/>
  <c r="CR69" i="5"/>
  <c r="DD70" i="5"/>
  <c r="DB70" i="5"/>
  <c r="DE70" i="5"/>
  <c r="DT69" i="5"/>
  <c r="DU69" i="5" s="1"/>
  <c r="CQ69" i="5"/>
  <c r="B71" i="5"/>
  <c r="AA71" i="5"/>
  <c r="DH70" i="5"/>
  <c r="BY70" i="5"/>
  <c r="CD70" i="5" s="1"/>
  <c r="DV70" i="5"/>
  <c r="CT70" i="5"/>
  <c r="AB70" i="5"/>
  <c r="K71" i="5" s="1"/>
  <c r="W71" i="5" s="1"/>
  <c r="BO42" i="4"/>
  <c r="DB42" i="4"/>
  <c r="DC42" i="4" s="1"/>
  <c r="CQ29" i="4"/>
  <c r="G48" i="4" s="1"/>
  <c r="CI29" i="4"/>
  <c r="CJ29" i="4" s="1"/>
  <c r="CK30" i="4" s="1"/>
  <c r="CL30" i="4" s="1"/>
  <c r="W45" i="4"/>
  <c r="C63" i="4"/>
  <c r="CU44" i="4"/>
  <c r="AV71" i="5" l="1"/>
  <c r="AU69" i="5"/>
  <c r="BB69" i="5" s="1"/>
  <c r="CK69" i="5"/>
  <c r="CK70" i="5" s="1"/>
  <c r="CL69" i="5"/>
  <c r="BZ71" i="5"/>
  <c r="CG71" i="5" s="1"/>
  <c r="CB71" i="5"/>
  <c r="CC71" i="5" s="1"/>
  <c r="AX68" i="5"/>
  <c r="AZ68" i="5" s="1"/>
  <c r="AW69" i="5"/>
  <c r="CE70" i="5"/>
  <c r="CH70" i="5" s="1"/>
  <c r="AU70" i="5"/>
  <c r="BB70" i="5" s="1"/>
  <c r="BO71" i="5"/>
  <c r="CJ71" i="5"/>
  <c r="CF71" i="5"/>
  <c r="CI71" i="5" s="1"/>
  <c r="AY71" i="5"/>
  <c r="BE71" i="5"/>
  <c r="BA71" i="5"/>
  <c r="AV72" i="5" s="1"/>
  <c r="CA71" i="5"/>
  <c r="CA72" i="5" s="1"/>
  <c r="AE43" i="4"/>
  <c r="AG43" i="4" s="1"/>
  <c r="BK71" i="5"/>
  <c r="AC45" i="4"/>
  <c r="BN71" i="5"/>
  <c r="BR68" i="5"/>
  <c r="BS68" i="5" s="1"/>
  <c r="BQ71" i="5"/>
  <c r="BL72" i="5" s="1"/>
  <c r="BT71" i="5" s="1"/>
  <c r="AQ44" i="4"/>
  <c r="AD44" i="4"/>
  <c r="AE44" i="4" s="1"/>
  <c r="AG44" i="4" s="1"/>
  <c r="BM70" i="5"/>
  <c r="BP70" i="5" s="1"/>
  <c r="Z45" i="4"/>
  <c r="AA45" i="4"/>
  <c r="AT44" i="4" s="1"/>
  <c r="AB45" i="4"/>
  <c r="AF45" i="4"/>
  <c r="AU45" i="4"/>
  <c r="CE45" i="4"/>
  <c r="Y45" i="4"/>
  <c r="BN44" i="4"/>
  <c r="AW43" i="4"/>
  <c r="BV69" i="5"/>
  <c r="BU71" i="5"/>
  <c r="AK71" i="5"/>
  <c r="AO71" i="5"/>
  <c r="AI71" i="5"/>
  <c r="F68" i="5"/>
  <c r="R68" i="5" s="1"/>
  <c r="BJ43" i="4"/>
  <c r="BQ43" i="4" s="1"/>
  <c r="AD74" i="5"/>
  <c r="AC75" i="5"/>
  <c r="BJ75" i="5"/>
  <c r="DT70" i="5"/>
  <c r="DU70" i="5" s="1"/>
  <c r="J70" i="5"/>
  <c r="V70" i="5" s="1"/>
  <c r="J63" i="4"/>
  <c r="DA43" i="4"/>
  <c r="CV45" i="4"/>
  <c r="BP45" i="4"/>
  <c r="CY45" i="4"/>
  <c r="CS46" i="4" s="1"/>
  <c r="BI45" i="4"/>
  <c r="BN45" i="4" s="1"/>
  <c r="X45" i="4"/>
  <c r="K64" i="4" s="1"/>
  <c r="CT45" i="4"/>
  <c r="CZ44" i="4" s="1"/>
  <c r="CW44" i="4"/>
  <c r="CO70" i="5"/>
  <c r="CW69" i="5" s="1"/>
  <c r="DL71" i="5"/>
  <c r="DZ71" i="5"/>
  <c r="I69" i="5"/>
  <c r="U69" i="5" s="1"/>
  <c r="DN68" i="5"/>
  <c r="H69" i="5" s="1"/>
  <c r="T69" i="5" s="1"/>
  <c r="CY68" i="5"/>
  <c r="CZ68" i="5"/>
  <c r="G69" i="5" s="1"/>
  <c r="S69" i="5" s="1"/>
  <c r="CX71" i="5"/>
  <c r="N71" i="5"/>
  <c r="DD41" i="4"/>
  <c r="DH41" i="4" s="1"/>
  <c r="I60" i="4" s="1"/>
  <c r="DE40" i="4"/>
  <c r="H59" i="4" s="1"/>
  <c r="CP30" i="4"/>
  <c r="DC70" i="5"/>
  <c r="DK69" i="5" s="1"/>
  <c r="DM69" i="5" s="1"/>
  <c r="DQ70" i="5"/>
  <c r="DY69" i="5" s="1"/>
  <c r="EA69" i="5" s="1"/>
  <c r="DF70" i="5"/>
  <c r="DG70" i="5" s="1"/>
  <c r="DI70" i="5" s="1"/>
  <c r="DJ70" i="5" s="1"/>
  <c r="CR70" i="5"/>
  <c r="DW69" i="5"/>
  <c r="DX69" i="5" s="1"/>
  <c r="DR71" i="5"/>
  <c r="DP71" i="5"/>
  <c r="DS71" i="5"/>
  <c r="CS69" i="5"/>
  <c r="CQ70" i="5"/>
  <c r="CP71" i="5"/>
  <c r="CN71" i="5"/>
  <c r="DE71" i="5"/>
  <c r="DD71" i="5"/>
  <c r="DB71" i="5"/>
  <c r="DH71" i="5"/>
  <c r="BY71" i="5"/>
  <c r="CD71" i="5" s="1"/>
  <c r="B72" i="5"/>
  <c r="AA72" i="5"/>
  <c r="DV71" i="5"/>
  <c r="CT71" i="5"/>
  <c r="AB71" i="5"/>
  <c r="K72" i="5" s="1"/>
  <c r="W72" i="5" s="1"/>
  <c r="DI69" i="5"/>
  <c r="DJ69" i="5" s="1"/>
  <c r="DN69" i="5" s="1"/>
  <c r="CF30" i="4"/>
  <c r="CX43" i="4"/>
  <c r="DF43" i="4" s="1"/>
  <c r="W46" i="4"/>
  <c r="C64" i="4"/>
  <c r="CU45" i="4"/>
  <c r="CL70" i="5" l="1"/>
  <c r="BZ72" i="5"/>
  <c r="CB72" i="5"/>
  <c r="CC72" i="5" s="1"/>
  <c r="AX69" i="5"/>
  <c r="AZ69" i="5" s="1"/>
  <c r="AW70" i="5"/>
  <c r="BB68" i="5"/>
  <c r="BC68" i="5" s="1"/>
  <c r="BG68" i="5" s="1"/>
  <c r="D69" i="5" s="1"/>
  <c r="P69" i="5" s="1"/>
  <c r="BD68" i="5"/>
  <c r="BF68" i="5" s="1"/>
  <c r="CK71" i="5"/>
  <c r="CE71" i="5"/>
  <c r="CH71" i="5" s="1"/>
  <c r="CL71" i="5" s="1"/>
  <c r="BO72" i="5"/>
  <c r="CF72" i="5"/>
  <c r="CI72" i="5" s="1"/>
  <c r="CJ72" i="5"/>
  <c r="BA72" i="5"/>
  <c r="BE72" i="5"/>
  <c r="AY72" i="5"/>
  <c r="CG72" i="5"/>
  <c r="AU71" i="5"/>
  <c r="BB71" i="5" s="1"/>
  <c r="BN72" i="5"/>
  <c r="AC46" i="4"/>
  <c r="BW68" i="5"/>
  <c r="E69" i="5" s="1"/>
  <c r="Q69" i="5" s="1"/>
  <c r="BR69" i="5"/>
  <c r="BS69" i="5" s="1"/>
  <c r="BQ72" i="5"/>
  <c r="BL73" i="5" s="1"/>
  <c r="BT72" i="5" s="1"/>
  <c r="BK72" i="5"/>
  <c r="AQ45" i="4"/>
  <c r="AD45" i="4"/>
  <c r="AE45" i="4" s="1"/>
  <c r="AG45" i="4" s="1"/>
  <c r="BM71" i="5"/>
  <c r="BP71" i="5" s="1"/>
  <c r="BV70" i="5"/>
  <c r="AU46" i="4"/>
  <c r="CE46" i="4"/>
  <c r="AF46" i="4"/>
  <c r="Y46" i="4"/>
  <c r="AW44" i="4"/>
  <c r="Z46" i="4"/>
  <c r="AA46" i="4"/>
  <c r="AT45" i="4" s="1"/>
  <c r="AB46" i="4"/>
  <c r="AK72" i="5"/>
  <c r="AO72" i="5"/>
  <c r="BU72" i="5"/>
  <c r="AI72" i="5"/>
  <c r="BK43" i="4"/>
  <c r="CD42" i="4" s="1"/>
  <c r="BJ44" i="4"/>
  <c r="BL43" i="4"/>
  <c r="AD75" i="5"/>
  <c r="AC76" i="5"/>
  <c r="BJ76" i="5"/>
  <c r="DF71" i="5"/>
  <c r="DG71" i="5" s="1"/>
  <c r="J64" i="4"/>
  <c r="J71" i="5"/>
  <c r="V71" i="5" s="1"/>
  <c r="CT46" i="4"/>
  <c r="CZ45" i="4" s="1"/>
  <c r="DA44" i="4"/>
  <c r="CO71" i="5"/>
  <c r="CW70" i="5" s="1"/>
  <c r="CW45" i="4"/>
  <c r="CA45" i="4"/>
  <c r="BP46" i="4"/>
  <c r="CY46" i="4"/>
  <c r="CS47" i="4" s="1"/>
  <c r="BI46" i="4"/>
  <c r="BN46" i="4" s="1"/>
  <c r="X46" i="4"/>
  <c r="K65" i="4" s="1"/>
  <c r="CV46" i="4"/>
  <c r="DL72" i="5"/>
  <c r="DZ72" i="5"/>
  <c r="EB69" i="5"/>
  <c r="I70" i="5" s="1"/>
  <c r="U70" i="5" s="1"/>
  <c r="DN70" i="5"/>
  <c r="H71" i="5" s="1"/>
  <c r="T71" i="5" s="1"/>
  <c r="H70" i="5"/>
  <c r="T70" i="5" s="1"/>
  <c r="CX72" i="5"/>
  <c r="CY69" i="5"/>
  <c r="N72" i="5"/>
  <c r="DE41" i="4"/>
  <c r="H60" i="4" s="1"/>
  <c r="DD42" i="4"/>
  <c r="DH42" i="4" s="1"/>
  <c r="I61" i="4" s="1"/>
  <c r="CG30" i="4"/>
  <c r="CH30" i="4" s="1"/>
  <c r="CI30" i="4" s="1"/>
  <c r="CJ30" i="4" s="1"/>
  <c r="DC71" i="5"/>
  <c r="DK70" i="5" s="1"/>
  <c r="DM70" i="5" s="1"/>
  <c r="DQ71" i="5"/>
  <c r="DY70" i="5" s="1"/>
  <c r="EA70" i="5" s="1"/>
  <c r="CS70" i="5"/>
  <c r="CU70" i="5" s="1"/>
  <c r="CV70" i="5" s="1"/>
  <c r="CU69" i="5"/>
  <c r="CV69" i="5" s="1"/>
  <c r="CZ69" i="5" s="1"/>
  <c r="DS72" i="5"/>
  <c r="DR72" i="5"/>
  <c r="DP72" i="5"/>
  <c r="DD72" i="5"/>
  <c r="DE72" i="5"/>
  <c r="DB72" i="5"/>
  <c r="DW70" i="5"/>
  <c r="DX70" i="5" s="1"/>
  <c r="DT71" i="5"/>
  <c r="DU71" i="5" s="1"/>
  <c r="CP72" i="5"/>
  <c r="CN72" i="5"/>
  <c r="CQ71" i="5"/>
  <c r="CR71" i="5"/>
  <c r="DH72" i="5"/>
  <c r="BY72" i="5"/>
  <c r="CD72" i="5" s="1"/>
  <c r="AA73" i="5"/>
  <c r="DV72" i="5"/>
  <c r="CT72" i="5"/>
  <c r="B73" i="5"/>
  <c r="AB72" i="5"/>
  <c r="K73" i="5" s="1"/>
  <c r="W73" i="5" s="1"/>
  <c r="DG43" i="4"/>
  <c r="DB43" i="4"/>
  <c r="DC43" i="4" s="1"/>
  <c r="CM30" i="4"/>
  <c r="CX44" i="4"/>
  <c r="DF44" i="4" s="1"/>
  <c r="C65" i="4"/>
  <c r="W47" i="4"/>
  <c r="CU46" i="4"/>
  <c r="AU72" i="5" l="1"/>
  <c r="BB72" i="5" s="1"/>
  <c r="BZ73" i="5"/>
  <c r="CG73" i="5" s="1"/>
  <c r="CB73" i="5"/>
  <c r="CC73" i="5" s="1"/>
  <c r="CA73" i="5"/>
  <c r="CK72" i="5"/>
  <c r="AX70" i="5"/>
  <c r="AZ70" i="5" s="1"/>
  <c r="AW71" i="5"/>
  <c r="BD69" i="5"/>
  <c r="BF69" i="5" s="1"/>
  <c r="BC69" i="5"/>
  <c r="BG69" i="5" s="1"/>
  <c r="D70" i="5" s="1"/>
  <c r="P70" i="5" s="1"/>
  <c r="CE72" i="5"/>
  <c r="CH72" i="5" s="1"/>
  <c r="CL72" i="5" s="1"/>
  <c r="BO73" i="5"/>
  <c r="CF73" i="5"/>
  <c r="CI73" i="5" s="1"/>
  <c r="CJ73" i="5"/>
  <c r="BE73" i="5"/>
  <c r="AY73" i="5"/>
  <c r="BA73" i="5"/>
  <c r="AV73" i="5"/>
  <c r="BK73" i="5"/>
  <c r="BN73" i="5"/>
  <c r="AC47" i="4"/>
  <c r="BW69" i="5"/>
  <c r="E70" i="5" s="1"/>
  <c r="Q70" i="5" s="1"/>
  <c r="BR70" i="5"/>
  <c r="BS70" i="5" s="1"/>
  <c r="BQ73" i="5"/>
  <c r="BL74" i="5" s="1"/>
  <c r="BT73" i="5" s="1"/>
  <c r="BJ45" i="4"/>
  <c r="BQ44" i="4"/>
  <c r="AQ46" i="4"/>
  <c r="AD46" i="4"/>
  <c r="AE46" i="4" s="1"/>
  <c r="AG46" i="4" s="1"/>
  <c r="BM72" i="5"/>
  <c r="BP72" i="5" s="1"/>
  <c r="BV71" i="5"/>
  <c r="AW45" i="4"/>
  <c r="Z47" i="4"/>
  <c r="AB47" i="4"/>
  <c r="AA47" i="4"/>
  <c r="AT46" i="4" s="1"/>
  <c r="AF47" i="4"/>
  <c r="AU47" i="4"/>
  <c r="CE47" i="4"/>
  <c r="Y47" i="4"/>
  <c r="BU73" i="5"/>
  <c r="AK73" i="5"/>
  <c r="AO73" i="5"/>
  <c r="AI73" i="5"/>
  <c r="F69" i="5"/>
  <c r="R69" i="5" s="1"/>
  <c r="BM43" i="4"/>
  <c r="BO43" i="4" s="1"/>
  <c r="BL44" i="4"/>
  <c r="BK44" i="4"/>
  <c r="CD43" i="4" s="1"/>
  <c r="AD76" i="5"/>
  <c r="AC77" i="5"/>
  <c r="BJ77" i="5"/>
  <c r="DF72" i="5"/>
  <c r="DG72" i="5" s="1"/>
  <c r="J65" i="4"/>
  <c r="J72" i="5"/>
  <c r="V72" i="5" s="1"/>
  <c r="DA45" i="4"/>
  <c r="CO72" i="5"/>
  <c r="CW71" i="5" s="1"/>
  <c r="CW46" i="4"/>
  <c r="CX46" i="4" s="1"/>
  <c r="DF46" i="4" s="1"/>
  <c r="CA46" i="4"/>
  <c r="CT47" i="4"/>
  <c r="CZ46" i="4" s="1"/>
  <c r="CV47" i="4"/>
  <c r="CY47" i="4"/>
  <c r="CS48" i="4" s="1"/>
  <c r="BP47" i="4"/>
  <c r="BI47" i="4"/>
  <c r="X47" i="4"/>
  <c r="K66" i="4" s="1"/>
  <c r="DL73" i="5"/>
  <c r="DZ73" i="5"/>
  <c r="EB70" i="5"/>
  <c r="I71" i="5" s="1"/>
  <c r="U71" i="5" s="1"/>
  <c r="CY70" i="5"/>
  <c r="CZ70" i="5"/>
  <c r="G71" i="5" s="1"/>
  <c r="S71" i="5" s="1"/>
  <c r="CX73" i="5"/>
  <c r="G70" i="5"/>
  <c r="S70" i="5" s="1"/>
  <c r="N73" i="5"/>
  <c r="DE42" i="4"/>
  <c r="H61" i="4" s="1"/>
  <c r="DD43" i="4"/>
  <c r="DC72" i="5"/>
  <c r="DK71" i="5" s="1"/>
  <c r="DM71" i="5" s="1"/>
  <c r="DQ72" i="5"/>
  <c r="DY71" i="5" s="1"/>
  <c r="EA71" i="5" s="1"/>
  <c r="DT72" i="5"/>
  <c r="DU72" i="5" s="1"/>
  <c r="CR72" i="5"/>
  <c r="DW71" i="5"/>
  <c r="DX71" i="5" s="1"/>
  <c r="CP73" i="5"/>
  <c r="CN73" i="5"/>
  <c r="DS73" i="5"/>
  <c r="DR73" i="5"/>
  <c r="DP73" i="5"/>
  <c r="B74" i="5"/>
  <c r="DH73" i="5"/>
  <c r="BY73" i="5"/>
  <c r="CD73" i="5" s="1"/>
  <c r="DV73" i="5"/>
  <c r="CT73" i="5"/>
  <c r="AA74" i="5"/>
  <c r="AB73" i="5"/>
  <c r="K74" i="5" s="1"/>
  <c r="W74" i="5" s="1"/>
  <c r="DD73" i="5"/>
  <c r="DE73" i="5"/>
  <c r="DB73" i="5"/>
  <c r="CS71" i="5"/>
  <c r="CQ72" i="5"/>
  <c r="DI71" i="5"/>
  <c r="DJ71" i="5" s="1"/>
  <c r="DG44" i="4"/>
  <c r="DB44" i="4"/>
  <c r="DC44" i="4" s="1"/>
  <c r="CQ30" i="4"/>
  <c r="G49" i="4" s="1"/>
  <c r="CN30" i="4"/>
  <c r="F49" i="4" s="1"/>
  <c r="BR31" i="4"/>
  <c r="BS43" i="4" s="1"/>
  <c r="BT55" i="4" s="1"/>
  <c r="BU67" i="4" s="1"/>
  <c r="CF31" i="4"/>
  <c r="CG31" i="4" s="1"/>
  <c r="CX45" i="4"/>
  <c r="DF45" i="4" s="1"/>
  <c r="W48" i="4"/>
  <c r="C66" i="4"/>
  <c r="CU47" i="4"/>
  <c r="AU73" i="5" l="1"/>
  <c r="BB73" i="5" s="1"/>
  <c r="AV74" i="5"/>
  <c r="CK73" i="5"/>
  <c r="BZ74" i="5"/>
  <c r="CG74" i="5" s="1"/>
  <c r="CB74" i="5"/>
  <c r="CC74" i="5" s="1"/>
  <c r="AX71" i="5"/>
  <c r="AZ71" i="5" s="1"/>
  <c r="AW72" i="5"/>
  <c r="BO74" i="5"/>
  <c r="CJ74" i="5"/>
  <c r="CF74" i="5"/>
  <c r="CI74" i="5" s="1"/>
  <c r="BA74" i="5"/>
  <c r="BE74" i="5"/>
  <c r="AY74" i="5"/>
  <c r="BD70" i="5"/>
  <c r="BF70" i="5" s="1"/>
  <c r="BC70" i="5"/>
  <c r="BG70" i="5" s="1"/>
  <c r="D71" i="5" s="1"/>
  <c r="P71" i="5" s="1"/>
  <c r="AU74" i="5"/>
  <c r="BB74" i="5" s="1"/>
  <c r="CA74" i="5"/>
  <c r="CE73" i="5"/>
  <c r="CH73" i="5" s="1"/>
  <c r="CL73" i="5" s="1"/>
  <c r="AC48" i="4"/>
  <c r="BN74" i="5"/>
  <c r="BW70" i="5"/>
  <c r="E71" i="5" s="1"/>
  <c r="Q71" i="5" s="1"/>
  <c r="BR71" i="5"/>
  <c r="BS71" i="5" s="1"/>
  <c r="BQ74" i="5"/>
  <c r="BL75" i="5" s="1"/>
  <c r="BT74" i="5" s="1"/>
  <c r="BK74" i="5"/>
  <c r="AQ47" i="4"/>
  <c r="AD47" i="4"/>
  <c r="AE47" i="4" s="1"/>
  <c r="AG47" i="4" s="1"/>
  <c r="BJ46" i="4"/>
  <c r="BQ45" i="4"/>
  <c r="BM73" i="5"/>
  <c r="BP73" i="5" s="1"/>
  <c r="BV72" i="5"/>
  <c r="BN47" i="4"/>
  <c r="AW46" i="4"/>
  <c r="AU48" i="4"/>
  <c r="AF48" i="4"/>
  <c r="CE48" i="4"/>
  <c r="Y48" i="4"/>
  <c r="Z48" i="4"/>
  <c r="AA48" i="4"/>
  <c r="AT47" i="4" s="1"/>
  <c r="AB48" i="4"/>
  <c r="AK74" i="5"/>
  <c r="AO74" i="5"/>
  <c r="BU74" i="5"/>
  <c r="AI74" i="5"/>
  <c r="F70" i="5"/>
  <c r="R70" i="5" s="1"/>
  <c r="BK45" i="4"/>
  <c r="CD44" i="4" s="1"/>
  <c r="BM44" i="4"/>
  <c r="BO44" i="4" s="1"/>
  <c r="BL45" i="4"/>
  <c r="AD77" i="5"/>
  <c r="AC78" i="5"/>
  <c r="BJ78" i="5"/>
  <c r="DF73" i="5"/>
  <c r="DG73" i="5" s="1"/>
  <c r="J66" i="4"/>
  <c r="DA46" i="4"/>
  <c r="J73" i="5"/>
  <c r="V73" i="5" s="1"/>
  <c r="CO73" i="5"/>
  <c r="CW72" i="5" s="1"/>
  <c r="CV48" i="4"/>
  <c r="CT48" i="4"/>
  <c r="CZ47" i="4" s="1"/>
  <c r="CY48" i="4"/>
  <c r="CS49" i="4" s="1"/>
  <c r="BP48" i="4"/>
  <c r="BI48" i="4"/>
  <c r="CA48" i="4" s="1"/>
  <c r="X48" i="4"/>
  <c r="K67" i="4" s="1"/>
  <c r="CW47" i="4"/>
  <c r="CX47" i="4" s="1"/>
  <c r="DF47" i="4" s="1"/>
  <c r="CA47" i="4"/>
  <c r="DL74" i="5"/>
  <c r="DZ74" i="5"/>
  <c r="EB71" i="5"/>
  <c r="I72" i="5" s="1"/>
  <c r="U72" i="5" s="1"/>
  <c r="DN71" i="5"/>
  <c r="H72" i="5" s="1"/>
  <c r="T72" i="5" s="1"/>
  <c r="CX74" i="5"/>
  <c r="CY71" i="5"/>
  <c r="N74" i="5"/>
  <c r="CH31" i="4"/>
  <c r="CI31" i="4" s="1"/>
  <c r="CJ31" i="4" s="1"/>
  <c r="CF32" i="4" s="1"/>
  <c r="DE43" i="4"/>
  <c r="H62" i="4" s="1"/>
  <c r="DH43" i="4"/>
  <c r="I62" i="4" s="1"/>
  <c r="DD44" i="4"/>
  <c r="DB46" i="4"/>
  <c r="DC46" i="4" s="1"/>
  <c r="DC73" i="5"/>
  <c r="DK72" i="5" s="1"/>
  <c r="DM72" i="5" s="1"/>
  <c r="DQ73" i="5"/>
  <c r="DY72" i="5" s="1"/>
  <c r="EA72" i="5" s="1"/>
  <c r="CS72" i="5"/>
  <c r="CU72" i="5" s="1"/>
  <c r="CV72" i="5" s="1"/>
  <c r="DT73" i="5"/>
  <c r="DU73" i="5" s="1"/>
  <c r="CR73" i="5"/>
  <c r="DW72" i="5"/>
  <c r="DX72" i="5" s="1"/>
  <c r="DS74" i="5"/>
  <c r="DR74" i="5"/>
  <c r="DP74" i="5"/>
  <c r="CP74" i="5"/>
  <c r="CN74" i="5"/>
  <c r="DI72" i="5"/>
  <c r="DJ72" i="5" s="1"/>
  <c r="DN72" i="5" s="1"/>
  <c r="CU71" i="5"/>
  <c r="CV71" i="5" s="1"/>
  <c r="DB74" i="5"/>
  <c r="DE74" i="5"/>
  <c r="DD74" i="5"/>
  <c r="CQ73" i="5"/>
  <c r="B75" i="5"/>
  <c r="DH74" i="5"/>
  <c r="BY74" i="5"/>
  <c r="CD74" i="5" s="1"/>
  <c r="CT74" i="5"/>
  <c r="AA75" i="5"/>
  <c r="DV74" i="5"/>
  <c r="AB74" i="5"/>
  <c r="K75" i="5" s="1"/>
  <c r="W75" i="5" s="1"/>
  <c r="DG46" i="4"/>
  <c r="DG45" i="4"/>
  <c r="DB45" i="4"/>
  <c r="DC45" i="4" s="1"/>
  <c r="BV31" i="4"/>
  <c r="BX31" i="4" s="1"/>
  <c r="CK31" i="4" s="1"/>
  <c r="CL31" i="4" s="1"/>
  <c r="CC43" i="4"/>
  <c r="C67" i="4"/>
  <c r="W49" i="4"/>
  <c r="CU48" i="4"/>
  <c r="CA75" i="5" l="1"/>
  <c r="CK74" i="5"/>
  <c r="BO75" i="5"/>
  <c r="CJ75" i="5"/>
  <c r="CF75" i="5"/>
  <c r="CI75" i="5" s="1"/>
  <c r="AY75" i="5"/>
  <c r="BE75" i="5"/>
  <c r="BA75" i="5"/>
  <c r="AX72" i="5"/>
  <c r="AZ72" i="5" s="1"/>
  <c r="AW73" i="5"/>
  <c r="BD71" i="5"/>
  <c r="BF71" i="5" s="1"/>
  <c r="BC71" i="5"/>
  <c r="BG71" i="5" s="1"/>
  <c r="D72" i="5" s="1"/>
  <c r="P72" i="5" s="1"/>
  <c r="CE74" i="5"/>
  <c r="CH74" i="5" s="1"/>
  <c r="CL74" i="5" s="1"/>
  <c r="AU75" i="5"/>
  <c r="BB75" i="5" s="1"/>
  <c r="BZ75" i="5"/>
  <c r="CG75" i="5" s="1"/>
  <c r="CB75" i="5"/>
  <c r="CC75" i="5" s="1"/>
  <c r="AV75" i="5"/>
  <c r="BK75" i="5"/>
  <c r="BN75" i="5"/>
  <c r="AC49" i="4"/>
  <c r="BW71" i="5"/>
  <c r="E72" i="5" s="1"/>
  <c r="Q72" i="5" s="1"/>
  <c r="BR72" i="5"/>
  <c r="BS72" i="5" s="1"/>
  <c r="BQ75" i="5"/>
  <c r="BL76" i="5" s="1"/>
  <c r="BT75" i="5" s="1"/>
  <c r="BQ46" i="4"/>
  <c r="BJ47" i="4"/>
  <c r="AQ48" i="4"/>
  <c r="AD48" i="4"/>
  <c r="AE48" i="4" s="1"/>
  <c r="AG48" i="4" s="1"/>
  <c r="BM74" i="5"/>
  <c r="BP74" i="5" s="1"/>
  <c r="AW47" i="4"/>
  <c r="Z49" i="4"/>
  <c r="AA49" i="4"/>
  <c r="AT48" i="4" s="1"/>
  <c r="AB49" i="4"/>
  <c r="AF49" i="4"/>
  <c r="CE49" i="4"/>
  <c r="AU49" i="4"/>
  <c r="Y49" i="4"/>
  <c r="BN48" i="4"/>
  <c r="J67" i="4"/>
  <c r="BU75" i="5"/>
  <c r="AK75" i="5"/>
  <c r="AO75" i="5"/>
  <c r="AI75" i="5"/>
  <c r="F71" i="5"/>
  <c r="R71" i="5" s="1"/>
  <c r="BK46" i="4"/>
  <c r="CD45" i="4" s="1"/>
  <c r="CG32" i="4"/>
  <c r="CH32" i="4" s="1"/>
  <c r="CI32" i="4" s="1"/>
  <c r="BR32" i="4"/>
  <c r="BS44" i="4" s="1"/>
  <c r="BT56" i="4" s="1"/>
  <c r="BU68" i="4" s="1"/>
  <c r="BM45" i="4"/>
  <c r="BO45" i="4" s="1"/>
  <c r="BL46" i="4"/>
  <c r="AD78" i="5"/>
  <c r="AC79" i="5"/>
  <c r="BJ79" i="5"/>
  <c r="CR74" i="5"/>
  <c r="DA47" i="4"/>
  <c r="CO74" i="5"/>
  <c r="CW73" i="5" s="1"/>
  <c r="J74" i="5"/>
  <c r="V74" i="5" s="1"/>
  <c r="CW48" i="4"/>
  <c r="CX48" i="4" s="1"/>
  <c r="DF48" i="4" s="1"/>
  <c r="CT49" i="4"/>
  <c r="CZ48" i="4" s="1"/>
  <c r="BP49" i="4"/>
  <c r="CY49" i="4"/>
  <c r="CS50" i="4" s="1"/>
  <c r="BI49" i="4"/>
  <c r="X49" i="4"/>
  <c r="K68" i="4" s="1"/>
  <c r="CV49" i="4"/>
  <c r="DL75" i="5"/>
  <c r="DZ75" i="5"/>
  <c r="EB72" i="5"/>
  <c r="I73" i="5" s="1"/>
  <c r="U73" i="5" s="1"/>
  <c r="H73" i="5"/>
  <c r="T73" i="5" s="1"/>
  <c r="CZ71" i="5"/>
  <c r="G72" i="5" s="1"/>
  <c r="S72" i="5" s="1"/>
  <c r="CY72" i="5"/>
  <c r="CZ72" i="5"/>
  <c r="G73" i="5" s="1"/>
  <c r="S73" i="5" s="1"/>
  <c r="CX75" i="5"/>
  <c r="N75" i="5"/>
  <c r="DE44" i="4"/>
  <c r="H63" i="4" s="1"/>
  <c r="DH44" i="4"/>
  <c r="I63" i="4" s="1"/>
  <c r="DD45" i="4"/>
  <c r="BY31" i="4"/>
  <c r="CO31" i="4" s="1"/>
  <c r="CP31" i="4" s="1"/>
  <c r="DG47" i="4"/>
  <c r="DC74" i="5"/>
  <c r="DK73" i="5" s="1"/>
  <c r="DM73" i="5" s="1"/>
  <c r="DQ74" i="5"/>
  <c r="DY73" i="5" s="1"/>
  <c r="EA73" i="5" s="1"/>
  <c r="CS73" i="5"/>
  <c r="CU73" i="5" s="1"/>
  <c r="CV73" i="5" s="1"/>
  <c r="DT74" i="5"/>
  <c r="DU74" i="5" s="1"/>
  <c r="DS75" i="5"/>
  <c r="DP75" i="5"/>
  <c r="DR75" i="5"/>
  <c r="DB75" i="5"/>
  <c r="DE75" i="5"/>
  <c r="DD75" i="5"/>
  <c r="DF74" i="5"/>
  <c r="DG74" i="5" s="1"/>
  <c r="AA76" i="5"/>
  <c r="DH75" i="5"/>
  <c r="BY75" i="5"/>
  <c r="CD75" i="5" s="1"/>
  <c r="B76" i="5"/>
  <c r="DV75" i="5"/>
  <c r="CT75" i="5"/>
  <c r="AB75" i="5"/>
  <c r="K76" i="5" s="1"/>
  <c r="W76" i="5" s="1"/>
  <c r="CN75" i="5"/>
  <c r="CP75" i="5"/>
  <c r="DW73" i="5"/>
  <c r="DX73" i="5" s="1"/>
  <c r="EB73" i="5" s="1"/>
  <c r="DI73" i="5"/>
  <c r="DJ73" i="5" s="1"/>
  <c r="CQ74" i="5"/>
  <c r="DB47" i="4"/>
  <c r="DC47" i="4" s="1"/>
  <c r="BZ43" i="4"/>
  <c r="CB43" i="4" s="1"/>
  <c r="CU49" i="4"/>
  <c r="W50" i="4"/>
  <c r="C68" i="4"/>
  <c r="CA76" i="5" l="1"/>
  <c r="AV76" i="5"/>
  <c r="CE75" i="5"/>
  <c r="CH75" i="5" s="1"/>
  <c r="CL75" i="5" s="1"/>
  <c r="AX73" i="5"/>
  <c r="AZ73" i="5" s="1"/>
  <c r="AW74" i="5"/>
  <c r="BZ76" i="5"/>
  <c r="CG76" i="5" s="1"/>
  <c r="CB76" i="5"/>
  <c r="CC76" i="5" s="1"/>
  <c r="BD72" i="5"/>
  <c r="BF72" i="5" s="1"/>
  <c r="BC72" i="5"/>
  <c r="BG72" i="5" s="1"/>
  <c r="D73" i="5" s="1"/>
  <c r="P73" i="5" s="1"/>
  <c r="CK75" i="5"/>
  <c r="BO76" i="5"/>
  <c r="CF76" i="5"/>
  <c r="CI76" i="5" s="1"/>
  <c r="BA76" i="5"/>
  <c r="CJ76" i="5"/>
  <c r="AY76" i="5"/>
  <c r="BE76" i="5"/>
  <c r="AU76" i="5"/>
  <c r="BB76" i="5" s="1"/>
  <c r="AC50" i="4"/>
  <c r="BN76" i="5"/>
  <c r="BW72" i="5"/>
  <c r="E73" i="5" s="1"/>
  <c r="Q73" i="5" s="1"/>
  <c r="BV73" i="5"/>
  <c r="BV74" i="5" s="1"/>
  <c r="BR73" i="5"/>
  <c r="BS73" i="5" s="1"/>
  <c r="BQ76" i="5"/>
  <c r="BL77" i="5" s="1"/>
  <c r="BT76" i="5" s="1"/>
  <c r="BK76" i="5"/>
  <c r="AQ49" i="4"/>
  <c r="AD49" i="4"/>
  <c r="AE49" i="4" s="1"/>
  <c r="AG49" i="4" s="1"/>
  <c r="BQ47" i="4"/>
  <c r="BJ48" i="4"/>
  <c r="BM75" i="5"/>
  <c r="BP75" i="5" s="1"/>
  <c r="BN49" i="4"/>
  <c r="AU50" i="4"/>
  <c r="AF50" i="4"/>
  <c r="CE50" i="4"/>
  <c r="Y50" i="4"/>
  <c r="Z50" i="4"/>
  <c r="AA50" i="4"/>
  <c r="AT49" i="4" s="1"/>
  <c r="AB50" i="4"/>
  <c r="J68" i="4"/>
  <c r="BU76" i="5"/>
  <c r="AK76" i="5"/>
  <c r="AO76" i="5"/>
  <c r="AI76" i="5"/>
  <c r="BV32" i="4"/>
  <c r="BX32" i="4" s="1"/>
  <c r="CK32" i="4" s="1"/>
  <c r="CL32" i="4" s="1"/>
  <c r="CJ32" i="4"/>
  <c r="CF33" i="4" s="1"/>
  <c r="BR33" i="4"/>
  <c r="BS45" i="4" s="1"/>
  <c r="BT57" i="4" s="1"/>
  <c r="BU69" i="4" s="1"/>
  <c r="F72" i="5"/>
  <c r="R72" i="5" s="1"/>
  <c r="BM46" i="4"/>
  <c r="BO46" i="4" s="1"/>
  <c r="BL47" i="4"/>
  <c r="BK47" i="4"/>
  <c r="CD46" i="4" s="1"/>
  <c r="AD79" i="5"/>
  <c r="AC80" i="5"/>
  <c r="BJ80" i="5"/>
  <c r="CS74" i="5"/>
  <c r="CU74" i="5" s="1"/>
  <c r="CV74" i="5" s="1"/>
  <c r="DF75" i="5"/>
  <c r="DG75" i="5" s="1"/>
  <c r="CO75" i="5"/>
  <c r="CW74" i="5" s="1"/>
  <c r="DA48" i="4"/>
  <c r="J75" i="5"/>
  <c r="V75" i="5" s="1"/>
  <c r="BP50" i="4"/>
  <c r="CY50" i="4"/>
  <c r="CS51" i="4" s="1"/>
  <c r="BI50" i="4"/>
  <c r="BN50" i="4" s="1"/>
  <c r="X50" i="4"/>
  <c r="K69" i="4" s="1"/>
  <c r="CT50" i="4"/>
  <c r="CZ49" i="4" s="1"/>
  <c r="CV50" i="4"/>
  <c r="CW49" i="4"/>
  <c r="CX49" i="4" s="1"/>
  <c r="DF49" i="4" s="1"/>
  <c r="CA49" i="4"/>
  <c r="DL76" i="5"/>
  <c r="DZ76" i="5"/>
  <c r="I74" i="5"/>
  <c r="U74" i="5" s="1"/>
  <c r="DN73" i="5"/>
  <c r="H74" i="5" s="1"/>
  <c r="T74" i="5" s="1"/>
  <c r="CX76" i="5"/>
  <c r="CZ73" i="5"/>
  <c r="G74" i="5" s="1"/>
  <c r="S74" i="5" s="1"/>
  <c r="CY73" i="5"/>
  <c r="N76" i="5"/>
  <c r="DE45" i="4"/>
  <c r="H64" i="4" s="1"/>
  <c r="DD46" i="4"/>
  <c r="DE46" i="4" s="1"/>
  <c r="H65" i="4" s="1"/>
  <c r="DH45" i="4"/>
  <c r="I64" i="4" s="1"/>
  <c r="DG48" i="4"/>
  <c r="DC75" i="5"/>
  <c r="DK74" i="5" s="1"/>
  <c r="DM74" i="5" s="1"/>
  <c r="DQ75" i="5"/>
  <c r="DY74" i="5" s="1"/>
  <c r="EA74" i="5" s="1"/>
  <c r="DI74" i="5"/>
  <c r="DJ74" i="5" s="1"/>
  <c r="DN74" i="5" s="1"/>
  <c r="DP76" i="5"/>
  <c r="DR76" i="5"/>
  <c r="DS76" i="5"/>
  <c r="AA77" i="5"/>
  <c r="CT76" i="5"/>
  <c r="DV76" i="5"/>
  <c r="DH76" i="5"/>
  <c r="BY76" i="5"/>
  <c r="CD76" i="5" s="1"/>
  <c r="B77" i="5"/>
  <c r="AB76" i="5"/>
  <c r="K77" i="5" s="1"/>
  <c r="W77" i="5" s="1"/>
  <c r="CR75" i="5"/>
  <c r="CQ75" i="5"/>
  <c r="DT75" i="5"/>
  <c r="DU75" i="5" s="1"/>
  <c r="DD76" i="5"/>
  <c r="DB76" i="5"/>
  <c r="DE76" i="5"/>
  <c r="CP76" i="5"/>
  <c r="CN76" i="5"/>
  <c r="DW74" i="5"/>
  <c r="DX74" i="5" s="1"/>
  <c r="DB48" i="4"/>
  <c r="DC48" i="4" s="1"/>
  <c r="CM31" i="4"/>
  <c r="CN31" i="4" s="1"/>
  <c r="F50" i="4" s="1"/>
  <c r="W51" i="4"/>
  <c r="C69" i="4"/>
  <c r="CU50" i="4"/>
  <c r="AV77" i="5" l="1"/>
  <c r="BZ77" i="5"/>
  <c r="CB77" i="5"/>
  <c r="CC77" i="5" s="1"/>
  <c r="AX74" i="5"/>
  <c r="AZ74" i="5" s="1"/>
  <c r="AW75" i="5"/>
  <c r="CK76" i="5"/>
  <c r="BD73" i="5"/>
  <c r="BF73" i="5" s="1"/>
  <c r="BC73" i="5"/>
  <c r="BG73" i="5" s="1"/>
  <c r="D74" i="5" s="1"/>
  <c r="P74" i="5" s="1"/>
  <c r="BO77" i="5"/>
  <c r="CF77" i="5"/>
  <c r="CI77" i="5" s="1"/>
  <c r="CJ77" i="5"/>
  <c r="BE77" i="5"/>
  <c r="AY77" i="5"/>
  <c r="BA77" i="5"/>
  <c r="CG77" i="5"/>
  <c r="CA77" i="5"/>
  <c r="CA78" i="5" s="1"/>
  <c r="AU77" i="5"/>
  <c r="BB77" i="5" s="1"/>
  <c r="CE76" i="5"/>
  <c r="CH76" i="5" s="1"/>
  <c r="CL76" i="5" s="1"/>
  <c r="BK77" i="5"/>
  <c r="BN77" i="5"/>
  <c r="AC51" i="4"/>
  <c r="BW73" i="5"/>
  <c r="E74" i="5" s="1"/>
  <c r="Q74" i="5" s="1"/>
  <c r="BR74" i="5"/>
  <c r="BS74" i="5" s="1"/>
  <c r="BQ77" i="5"/>
  <c r="BL78" i="5" s="1"/>
  <c r="BT77" i="5" s="1"/>
  <c r="AQ50" i="4"/>
  <c r="AD50" i="4"/>
  <c r="AE50" i="4" s="1"/>
  <c r="AG50" i="4" s="1"/>
  <c r="BQ48" i="4"/>
  <c r="BJ49" i="4"/>
  <c r="BM76" i="5"/>
  <c r="BP76" i="5" s="1"/>
  <c r="BV75" i="5"/>
  <c r="J69" i="4"/>
  <c r="AF51" i="4"/>
  <c r="AU51" i="4"/>
  <c r="CE51" i="4"/>
  <c r="Y51" i="4"/>
  <c r="AW49" i="4"/>
  <c r="Z51" i="4"/>
  <c r="AB51" i="4"/>
  <c r="AA51" i="4"/>
  <c r="AT50" i="4" s="1"/>
  <c r="CC44" i="4"/>
  <c r="BZ44" i="4"/>
  <c r="CB44" i="4" s="1"/>
  <c r="BV33" i="4"/>
  <c r="BX33" i="4" s="1"/>
  <c r="CK33" i="4" s="1"/>
  <c r="CL33" i="4" s="1"/>
  <c r="BU77" i="5"/>
  <c r="AK77" i="5"/>
  <c r="AO77" i="5"/>
  <c r="AI77" i="5"/>
  <c r="BY32" i="4"/>
  <c r="CO32" i="4" s="1"/>
  <c r="CP32" i="4" s="1"/>
  <c r="F73" i="5"/>
  <c r="R73" i="5" s="1"/>
  <c r="BM47" i="4"/>
  <c r="BO47" i="4" s="1"/>
  <c r="BL48" i="4"/>
  <c r="BK48" i="4"/>
  <c r="CD47" i="4" s="1"/>
  <c r="CG33" i="4"/>
  <c r="CH33" i="4" s="1"/>
  <c r="CI33" i="4" s="1"/>
  <c r="CJ33" i="4" s="1"/>
  <c r="CF34" i="4" s="1"/>
  <c r="AD80" i="5"/>
  <c r="AC81" i="5"/>
  <c r="BJ81" i="5"/>
  <c r="DT76" i="5"/>
  <c r="DU76" i="5" s="1"/>
  <c r="DW76" i="5" s="1"/>
  <c r="DX76" i="5" s="1"/>
  <c r="CO76" i="5"/>
  <c r="CW75" i="5" s="1"/>
  <c r="DA49" i="4"/>
  <c r="J76" i="5"/>
  <c r="V76" i="5" s="1"/>
  <c r="CW50" i="4"/>
  <c r="CX50" i="4" s="1"/>
  <c r="DF50" i="4" s="1"/>
  <c r="CA50" i="4"/>
  <c r="CV51" i="4"/>
  <c r="CT51" i="4"/>
  <c r="BP51" i="4"/>
  <c r="CY51" i="4"/>
  <c r="CS52" i="4" s="1"/>
  <c r="BI51" i="4"/>
  <c r="BN51" i="4" s="1"/>
  <c r="X51" i="4"/>
  <c r="K70" i="4" s="1"/>
  <c r="DL77" i="5"/>
  <c r="DZ77" i="5"/>
  <c r="EB74" i="5"/>
  <c r="I75" i="5" s="1"/>
  <c r="U75" i="5" s="1"/>
  <c r="H75" i="5"/>
  <c r="T75" i="5" s="1"/>
  <c r="CX77" i="5"/>
  <c r="CY74" i="5"/>
  <c r="CZ74" i="5"/>
  <c r="G75" i="5" s="1"/>
  <c r="S75" i="5" s="1"/>
  <c r="N77" i="5"/>
  <c r="DD47" i="4"/>
  <c r="DH47" i="4" s="1"/>
  <c r="I66" i="4" s="1"/>
  <c r="DH46" i="4"/>
  <c r="I65" i="4" s="1"/>
  <c r="DG49" i="4"/>
  <c r="DC76" i="5"/>
  <c r="DK75" i="5" s="1"/>
  <c r="DM75" i="5" s="1"/>
  <c r="DQ76" i="5"/>
  <c r="DY75" i="5" s="1"/>
  <c r="EA75" i="5" s="1"/>
  <c r="DF76" i="5"/>
  <c r="DG76" i="5" s="1"/>
  <c r="DI76" i="5" s="1"/>
  <c r="DJ76" i="5" s="1"/>
  <c r="CS75" i="5"/>
  <c r="CU75" i="5" s="1"/>
  <c r="CV75" i="5" s="1"/>
  <c r="CR76" i="5"/>
  <c r="DS77" i="5"/>
  <c r="DR77" i="5"/>
  <c r="DP77" i="5"/>
  <c r="CP77" i="5"/>
  <c r="CN77" i="5"/>
  <c r="DI75" i="5"/>
  <c r="DJ75" i="5" s="1"/>
  <c r="DW75" i="5"/>
  <c r="DX75" i="5" s="1"/>
  <c r="CQ76" i="5"/>
  <c r="B78" i="5"/>
  <c r="AA78" i="5"/>
  <c r="BY77" i="5"/>
  <c r="CD77" i="5" s="1"/>
  <c r="CT77" i="5"/>
  <c r="DH77" i="5"/>
  <c r="DV77" i="5"/>
  <c r="AB77" i="5"/>
  <c r="K78" i="5" s="1"/>
  <c r="W78" i="5" s="1"/>
  <c r="DE77" i="5"/>
  <c r="DD77" i="5"/>
  <c r="DB77" i="5"/>
  <c r="DB49" i="4"/>
  <c r="DC49" i="4" s="1"/>
  <c r="CQ31" i="4"/>
  <c r="G50" i="4" s="1"/>
  <c r="CM32" i="4"/>
  <c r="CN32" i="4" s="1"/>
  <c r="F51" i="4" s="1"/>
  <c r="BZ45" i="4"/>
  <c r="CB45" i="4" s="1"/>
  <c r="CU51" i="4"/>
  <c r="W52" i="4"/>
  <c r="C70" i="4"/>
  <c r="BD74" i="5" l="1"/>
  <c r="BF74" i="5" s="1"/>
  <c r="BC74" i="5"/>
  <c r="BG74" i="5" s="1"/>
  <c r="D75" i="5" s="1"/>
  <c r="P75" i="5" s="1"/>
  <c r="AX75" i="5"/>
  <c r="AZ75" i="5" s="1"/>
  <c r="AW76" i="5"/>
  <c r="BZ78" i="5"/>
  <c r="CG78" i="5" s="1"/>
  <c r="CB78" i="5"/>
  <c r="CC78" i="5" s="1"/>
  <c r="CE77" i="5"/>
  <c r="CH77" i="5" s="1"/>
  <c r="CL77" i="5" s="1"/>
  <c r="BO78" i="5"/>
  <c r="CF78" i="5"/>
  <c r="CI78" i="5" s="1"/>
  <c r="BA78" i="5"/>
  <c r="AY78" i="5"/>
  <c r="CJ78" i="5"/>
  <c r="BE78" i="5"/>
  <c r="CK77" i="5"/>
  <c r="AU78" i="5"/>
  <c r="BB78" i="5" s="1"/>
  <c r="AV78" i="5"/>
  <c r="AC52" i="4"/>
  <c r="BN78" i="5"/>
  <c r="BW74" i="5"/>
  <c r="E75" i="5" s="1"/>
  <c r="Q75" i="5" s="1"/>
  <c r="BR75" i="5"/>
  <c r="BS75" i="5" s="1"/>
  <c r="BQ78" i="5"/>
  <c r="BL79" i="5" s="1"/>
  <c r="BT78" i="5" s="1"/>
  <c r="BK78" i="5"/>
  <c r="AQ51" i="4"/>
  <c r="AD51" i="4"/>
  <c r="AE51" i="4" s="1"/>
  <c r="AG51" i="4" s="1"/>
  <c r="BQ49" i="4"/>
  <c r="BJ50" i="4"/>
  <c r="BM77" i="5"/>
  <c r="BP77" i="5" s="1"/>
  <c r="BV76" i="5"/>
  <c r="J70" i="4"/>
  <c r="AW50" i="4"/>
  <c r="CE52" i="4"/>
  <c r="AF52" i="4"/>
  <c r="AU52" i="4"/>
  <c r="Y52" i="4"/>
  <c r="Z52" i="4"/>
  <c r="AA52" i="4"/>
  <c r="AT51" i="4" s="1"/>
  <c r="AB52" i="4"/>
  <c r="CC45" i="4"/>
  <c r="BY33" i="4"/>
  <c r="CO33" i="4" s="1"/>
  <c r="CP33" i="4" s="1"/>
  <c r="BU78" i="5"/>
  <c r="AK78" i="5"/>
  <c r="AO78" i="5"/>
  <c r="AI78" i="5"/>
  <c r="CG34" i="4"/>
  <c r="BM48" i="4"/>
  <c r="BO48" i="4" s="1"/>
  <c r="BL49" i="4"/>
  <c r="F74" i="5"/>
  <c r="R74" i="5" s="1"/>
  <c r="BR34" i="4"/>
  <c r="BS46" i="4" s="1"/>
  <c r="BT58" i="4" s="1"/>
  <c r="BU70" i="4" s="1"/>
  <c r="BK49" i="4"/>
  <c r="AD81" i="5"/>
  <c r="AC82" i="5"/>
  <c r="BJ82" i="5"/>
  <c r="DT77" i="5"/>
  <c r="DU77" i="5" s="1"/>
  <c r="CO77" i="5"/>
  <c r="CW76" i="5" s="1"/>
  <c r="DE47" i="4"/>
  <c r="H66" i="4" s="1"/>
  <c r="J77" i="5"/>
  <c r="V77" i="5" s="1"/>
  <c r="CT52" i="4"/>
  <c r="CZ51" i="4" s="1"/>
  <c r="BP52" i="4"/>
  <c r="CY52" i="4"/>
  <c r="CS53" i="4" s="1"/>
  <c r="BI52" i="4"/>
  <c r="CW52" i="4" s="1"/>
  <c r="X52" i="4"/>
  <c r="K71" i="4" s="1"/>
  <c r="CV52" i="4"/>
  <c r="CZ50" i="4"/>
  <c r="DA50" i="4" s="1"/>
  <c r="CW51" i="4"/>
  <c r="CX51" i="4" s="1"/>
  <c r="DF51" i="4" s="1"/>
  <c r="CA51" i="4"/>
  <c r="DL78" i="5"/>
  <c r="DZ78" i="5"/>
  <c r="EB76" i="5"/>
  <c r="I77" i="5" s="1"/>
  <c r="U77" i="5" s="1"/>
  <c r="EB75" i="5"/>
  <c r="I76" i="5" s="1"/>
  <c r="U76" i="5" s="1"/>
  <c r="DN76" i="5"/>
  <c r="H77" i="5" s="1"/>
  <c r="T77" i="5" s="1"/>
  <c r="DN75" i="5"/>
  <c r="H76" i="5" s="1"/>
  <c r="T76" i="5" s="1"/>
  <c r="CX78" i="5"/>
  <c r="CY75" i="5"/>
  <c r="CZ75" i="5"/>
  <c r="G76" i="5" s="1"/>
  <c r="S76" i="5" s="1"/>
  <c r="N78" i="5"/>
  <c r="DD48" i="4"/>
  <c r="DH48" i="4" s="1"/>
  <c r="I67" i="4" s="1"/>
  <c r="DC77" i="5"/>
  <c r="DK76" i="5" s="1"/>
  <c r="DM76" i="5" s="1"/>
  <c r="DQ77" i="5"/>
  <c r="DY76" i="5" s="1"/>
  <c r="EA76" i="5" s="1"/>
  <c r="CS76" i="5"/>
  <c r="CU76" i="5" s="1"/>
  <c r="CV76" i="5" s="1"/>
  <c r="CR77" i="5"/>
  <c r="DR78" i="5"/>
  <c r="DP78" i="5"/>
  <c r="DS78" i="5"/>
  <c r="CP78" i="5"/>
  <c r="CN78" i="5"/>
  <c r="DF77" i="5"/>
  <c r="DG77" i="5" s="1"/>
  <c r="B79" i="5"/>
  <c r="DH78" i="5"/>
  <c r="BY78" i="5"/>
  <c r="CD78" i="5" s="1"/>
  <c r="AA79" i="5"/>
  <c r="CT78" i="5"/>
  <c r="DV78" i="5"/>
  <c r="AB78" i="5"/>
  <c r="K79" i="5" s="1"/>
  <c r="W79" i="5" s="1"/>
  <c r="DB78" i="5"/>
  <c r="DE78" i="5"/>
  <c r="DD78" i="5"/>
  <c r="CQ77" i="5"/>
  <c r="DG50" i="4"/>
  <c r="DB50" i="4"/>
  <c r="DC50" i="4" s="1"/>
  <c r="CQ32" i="4"/>
  <c r="G51" i="4" s="1"/>
  <c r="CM33" i="4"/>
  <c r="CN33" i="4" s="1"/>
  <c r="F52" i="4" s="1"/>
  <c r="W53" i="4"/>
  <c r="C71" i="4"/>
  <c r="CU52" i="4"/>
  <c r="AV79" i="5" l="1"/>
  <c r="CA79" i="5"/>
  <c r="BD75" i="5"/>
  <c r="BF75" i="5" s="1"/>
  <c r="BC75" i="5"/>
  <c r="BG75" i="5" s="1"/>
  <c r="D76" i="5" s="1"/>
  <c r="P76" i="5" s="1"/>
  <c r="AX76" i="5"/>
  <c r="AZ76" i="5" s="1"/>
  <c r="AW77" i="5"/>
  <c r="CK78" i="5"/>
  <c r="BZ79" i="5"/>
  <c r="CG79" i="5" s="1"/>
  <c r="CB79" i="5"/>
  <c r="CC79" i="5" s="1"/>
  <c r="CF79" i="5"/>
  <c r="CJ79" i="5"/>
  <c r="AY79" i="5"/>
  <c r="BA79" i="5"/>
  <c r="BE79" i="5"/>
  <c r="AU79" i="5"/>
  <c r="BB79" i="5" s="1"/>
  <c r="CE78" i="5"/>
  <c r="CH78" i="5" s="1"/>
  <c r="CL78" i="5" s="1"/>
  <c r="BK79" i="5"/>
  <c r="BQ79" i="5"/>
  <c r="BO79" i="5"/>
  <c r="BN79" i="5"/>
  <c r="AC53" i="4"/>
  <c r="BW75" i="5"/>
  <c r="E76" i="5" s="1"/>
  <c r="Q76" i="5" s="1"/>
  <c r="BR76" i="5"/>
  <c r="BS76" i="5" s="1"/>
  <c r="AL79" i="5"/>
  <c r="BR79" i="5"/>
  <c r="BQ50" i="4"/>
  <c r="BJ51" i="4"/>
  <c r="AQ52" i="4"/>
  <c r="AD52" i="4"/>
  <c r="AE52" i="4" s="1"/>
  <c r="AG52" i="4" s="1"/>
  <c r="BM78" i="5"/>
  <c r="BP78" i="5" s="1"/>
  <c r="BV77" i="5"/>
  <c r="J71" i="4"/>
  <c r="BN52" i="4"/>
  <c r="Z53" i="4"/>
  <c r="AA53" i="4"/>
  <c r="AT52" i="4" s="1"/>
  <c r="AB53" i="4"/>
  <c r="AF53" i="4"/>
  <c r="AU53" i="4"/>
  <c r="CE53" i="4"/>
  <c r="Y53" i="4"/>
  <c r="AW51" i="4"/>
  <c r="CD48" i="4"/>
  <c r="BU79" i="5"/>
  <c r="AK79" i="5"/>
  <c r="AO79" i="5"/>
  <c r="AI79" i="5"/>
  <c r="BM49" i="4"/>
  <c r="BO49" i="4" s="1"/>
  <c r="BL50" i="4"/>
  <c r="BK50" i="4"/>
  <c r="CD49" i="4" s="1"/>
  <c r="F75" i="5"/>
  <c r="R75" i="5" s="1"/>
  <c r="CH34" i="4"/>
  <c r="CI34" i="4" s="1"/>
  <c r="CJ34" i="4" s="1"/>
  <c r="CF35" i="4" s="1"/>
  <c r="BV34" i="4"/>
  <c r="BX34" i="4" s="1"/>
  <c r="AD82" i="5"/>
  <c r="AC83" i="5"/>
  <c r="BJ83" i="5"/>
  <c r="DT78" i="5"/>
  <c r="DU78" i="5" s="1"/>
  <c r="CO78" i="5"/>
  <c r="CW77" i="5" s="1"/>
  <c r="J78" i="5"/>
  <c r="V78" i="5" s="1"/>
  <c r="DA51" i="4"/>
  <c r="CA52" i="4"/>
  <c r="CT53" i="4"/>
  <c r="CZ52" i="4" s="1"/>
  <c r="BP53" i="4"/>
  <c r="CY53" i="4"/>
  <c r="CS54" i="4" s="1"/>
  <c r="BI53" i="4"/>
  <c r="BN53" i="4" s="1"/>
  <c r="X53" i="4"/>
  <c r="K72" i="4" s="1"/>
  <c r="CV53" i="4"/>
  <c r="DL79" i="5"/>
  <c r="DZ79" i="5"/>
  <c r="CY76" i="5"/>
  <c r="CZ76" i="5"/>
  <c r="G77" i="5" s="1"/>
  <c r="S77" i="5" s="1"/>
  <c r="CX79" i="5"/>
  <c r="N79" i="5"/>
  <c r="DE48" i="4"/>
  <c r="H67" i="4" s="1"/>
  <c r="DD49" i="4"/>
  <c r="DH49" i="4" s="1"/>
  <c r="I68" i="4" s="1"/>
  <c r="DG51" i="4"/>
  <c r="DC78" i="5"/>
  <c r="DK77" i="5" s="1"/>
  <c r="DM77" i="5" s="1"/>
  <c r="DQ78" i="5"/>
  <c r="DY77" i="5" s="1"/>
  <c r="EA77" i="5" s="1"/>
  <c r="CS77" i="5"/>
  <c r="CU77" i="5" s="1"/>
  <c r="CV77" i="5" s="1"/>
  <c r="DF78" i="5"/>
  <c r="DG78" i="5" s="1"/>
  <c r="CR78" i="5"/>
  <c r="DI77" i="5"/>
  <c r="DJ77" i="5" s="1"/>
  <c r="DN77" i="5" s="1"/>
  <c r="DS79" i="5"/>
  <c r="DP79" i="5"/>
  <c r="DR79" i="5"/>
  <c r="B80" i="5"/>
  <c r="A69" i="5" s="1"/>
  <c r="BY79" i="5"/>
  <c r="CD79" i="5" s="1"/>
  <c r="AA80" i="5"/>
  <c r="DV79" i="5"/>
  <c r="DH79" i="5"/>
  <c r="CT79" i="5"/>
  <c r="AB79" i="5"/>
  <c r="K80" i="5" s="1"/>
  <c r="W80" i="5" s="1"/>
  <c r="DW77" i="5"/>
  <c r="DX77" i="5" s="1"/>
  <c r="DB79" i="5"/>
  <c r="DE79" i="5"/>
  <c r="DD79" i="5"/>
  <c r="CP79" i="5"/>
  <c r="CN79" i="5"/>
  <c r="CQ78" i="5"/>
  <c r="DB51" i="4"/>
  <c r="DC51" i="4" s="1"/>
  <c r="CQ33" i="4"/>
  <c r="G52" i="4" s="1"/>
  <c r="CX52" i="4"/>
  <c r="DF52" i="4" s="1"/>
  <c r="CU53" i="4"/>
  <c r="W54" i="4"/>
  <c r="AG54" i="4" s="1"/>
  <c r="C72" i="4"/>
  <c r="AU80" i="5" l="1"/>
  <c r="AX77" i="5"/>
  <c r="AZ77" i="5" s="1"/>
  <c r="AW78" i="5"/>
  <c r="BD76" i="5"/>
  <c r="BF76" i="5" s="1"/>
  <c r="BC76" i="5"/>
  <c r="BG76" i="5" s="1"/>
  <c r="D77" i="5" s="1"/>
  <c r="P77" i="5" s="1"/>
  <c r="BO80" i="5"/>
  <c r="CJ80" i="5"/>
  <c r="CF80" i="5"/>
  <c r="CI80" i="5" s="1"/>
  <c r="BA80" i="5"/>
  <c r="BE80" i="5"/>
  <c r="AY80" i="5"/>
  <c r="BB80" i="5"/>
  <c r="BZ80" i="5"/>
  <c r="CG80" i="5" s="1"/>
  <c r="CB80" i="5"/>
  <c r="CC80" i="5" s="1"/>
  <c r="CA80" i="5"/>
  <c r="AV80" i="5"/>
  <c r="AV81" i="5" s="1"/>
  <c r="CE79" i="5"/>
  <c r="CI79" i="5" s="1"/>
  <c r="AC54" i="4"/>
  <c r="BW76" i="5"/>
  <c r="E77" i="5" s="1"/>
  <c r="Q77" i="5" s="1"/>
  <c r="BR77" i="5"/>
  <c r="BS77" i="5" s="1"/>
  <c r="BQ80" i="5"/>
  <c r="BM79" i="5"/>
  <c r="BP79" i="5" s="1"/>
  <c r="BV78" i="5"/>
  <c r="AQ53" i="4"/>
  <c r="AD53" i="4"/>
  <c r="AE53" i="4" s="1"/>
  <c r="AG53" i="4" s="1"/>
  <c r="BQ51" i="4"/>
  <c r="BJ52" i="4"/>
  <c r="J72" i="4"/>
  <c r="AW52" i="4"/>
  <c r="AF54" i="4"/>
  <c r="Y54" i="4"/>
  <c r="Z54" i="4"/>
  <c r="AA54" i="4"/>
  <c r="AT53" i="4" s="1"/>
  <c r="AB54" i="4"/>
  <c r="AI80" i="5"/>
  <c r="BU80" i="5"/>
  <c r="AK80" i="5"/>
  <c r="AO80" i="5"/>
  <c r="BK51" i="4"/>
  <c r="CD50" i="4" s="1"/>
  <c r="CG35" i="4"/>
  <c r="BR35" i="4"/>
  <c r="BS47" i="4" s="1"/>
  <c r="BT59" i="4" s="1"/>
  <c r="BU71" i="4" s="1"/>
  <c r="CC46" i="4"/>
  <c r="BZ46" i="4"/>
  <c r="CB46" i="4" s="1"/>
  <c r="F76" i="5"/>
  <c r="R76" i="5" s="1"/>
  <c r="CK34" i="4"/>
  <c r="BY34" i="4"/>
  <c r="CO34" i="4" s="1"/>
  <c r="BM50" i="4"/>
  <c r="BO50" i="4" s="1"/>
  <c r="BL51" i="4"/>
  <c r="AD83" i="5"/>
  <c r="AC84" i="5"/>
  <c r="BJ84" i="5"/>
  <c r="CO79" i="5"/>
  <c r="CW78" i="5" s="1"/>
  <c r="DA52" i="4"/>
  <c r="J79" i="5"/>
  <c r="V79" i="5" s="1"/>
  <c r="CT54" i="4"/>
  <c r="CZ53" i="4" s="1"/>
  <c r="CV54" i="4"/>
  <c r="BP54" i="4"/>
  <c r="CY54" i="4"/>
  <c r="CS55" i="4" s="1"/>
  <c r="BI54" i="4"/>
  <c r="BN54" i="4" s="1"/>
  <c r="X54" i="4"/>
  <c r="K73" i="4" s="1"/>
  <c r="CW53" i="4"/>
  <c r="CX53" i="4" s="1"/>
  <c r="DF53" i="4" s="1"/>
  <c r="CA53" i="4"/>
  <c r="DL80" i="5"/>
  <c r="DZ80" i="5"/>
  <c r="EB77" i="5"/>
  <c r="I78" i="5" s="1"/>
  <c r="U78" i="5" s="1"/>
  <c r="H78" i="5"/>
  <c r="T78" i="5" s="1"/>
  <c r="CX80" i="5"/>
  <c r="CY77" i="5"/>
  <c r="CZ77" i="5"/>
  <c r="G78" i="5" s="1"/>
  <c r="S78" i="5" s="1"/>
  <c r="N80" i="5"/>
  <c r="DD50" i="4"/>
  <c r="DE50" i="4" s="1"/>
  <c r="H69" i="4" s="1"/>
  <c r="DE49" i="4"/>
  <c r="H68" i="4" s="1"/>
  <c r="DC79" i="5"/>
  <c r="DK78" i="5" s="1"/>
  <c r="DM78" i="5" s="1"/>
  <c r="DQ79" i="5"/>
  <c r="DY78" i="5" s="1"/>
  <c r="EA78" i="5" s="1"/>
  <c r="CS78" i="5"/>
  <c r="CU78" i="5" s="1"/>
  <c r="CV78" i="5" s="1"/>
  <c r="DT79" i="5"/>
  <c r="DU79" i="5" s="1"/>
  <c r="CR79" i="5"/>
  <c r="DF79" i="5"/>
  <c r="DG79" i="5" s="1"/>
  <c r="CP80" i="5"/>
  <c r="CN80" i="5"/>
  <c r="DR80" i="5"/>
  <c r="DP80" i="5"/>
  <c r="DV80" i="5"/>
  <c r="CT80" i="5"/>
  <c r="DH80" i="5"/>
  <c r="BY80" i="5"/>
  <c r="DT80" i="5" s="1"/>
  <c r="AA81" i="5"/>
  <c r="B81" i="5"/>
  <c r="AB80" i="5"/>
  <c r="K81" i="5" s="1"/>
  <c r="W81" i="5" s="1"/>
  <c r="DW78" i="5"/>
  <c r="DX78" i="5" s="1"/>
  <c r="DI78" i="5"/>
  <c r="DJ78" i="5" s="1"/>
  <c r="CQ79" i="5"/>
  <c r="DD80" i="5"/>
  <c r="DB80" i="5"/>
  <c r="DG52" i="4"/>
  <c r="DB52" i="4"/>
  <c r="DC52" i="4" s="1"/>
  <c r="CU54" i="4"/>
  <c r="W55" i="4"/>
  <c r="AD55" i="4" s="1"/>
  <c r="C73" i="4"/>
  <c r="CA81" i="5" l="1"/>
  <c r="CK79" i="5"/>
  <c r="CH79" i="5"/>
  <c r="CL79" i="5" s="1"/>
  <c r="AU81" i="5"/>
  <c r="BB81" i="5" s="1"/>
  <c r="AX78" i="5"/>
  <c r="AZ78" i="5" s="1"/>
  <c r="AW79" i="5"/>
  <c r="BZ81" i="5"/>
  <c r="CG81" i="5" s="1"/>
  <c r="CB81" i="5"/>
  <c r="CC81" i="5" s="1"/>
  <c r="BD77" i="5"/>
  <c r="BF77" i="5" s="1"/>
  <c r="BC77" i="5"/>
  <c r="BG77" i="5" s="1"/>
  <c r="D78" i="5" s="1"/>
  <c r="P78" i="5" s="1"/>
  <c r="BO81" i="5"/>
  <c r="CJ81" i="5"/>
  <c r="CF81" i="5"/>
  <c r="CI81" i="5" s="1"/>
  <c r="AY81" i="5"/>
  <c r="BE81" i="5"/>
  <c r="BA81" i="5"/>
  <c r="CD80" i="5"/>
  <c r="CE80" i="5" s="1"/>
  <c r="CH80" i="5" s="1"/>
  <c r="BW77" i="5"/>
  <c r="E78" i="5" s="1"/>
  <c r="Q78" i="5" s="1"/>
  <c r="BR78" i="5"/>
  <c r="BS78" i="5" s="1"/>
  <c r="BQ81" i="5"/>
  <c r="J73" i="4"/>
  <c r="BQ52" i="4"/>
  <c r="BJ53" i="4"/>
  <c r="AQ54" i="4"/>
  <c r="AD54" i="4"/>
  <c r="AE54" i="4" s="1"/>
  <c r="AF55" i="4"/>
  <c r="CE55" i="4"/>
  <c r="AU55" i="4"/>
  <c r="Y55" i="4"/>
  <c r="AQ55" i="4" s="1"/>
  <c r="AW53" i="4"/>
  <c r="CL34" i="4"/>
  <c r="CM34" i="4" s="1"/>
  <c r="CN34" i="4" s="1"/>
  <c r="F53" i="4" s="1"/>
  <c r="BS79" i="5"/>
  <c r="BK80" i="5" s="1"/>
  <c r="BU81" i="5"/>
  <c r="AK81" i="5"/>
  <c r="AO81" i="5"/>
  <c r="AI81" i="5"/>
  <c r="CP34" i="4"/>
  <c r="BV35" i="4"/>
  <c r="BX35" i="4" s="1"/>
  <c r="CK35" i="4" s="1"/>
  <c r="BK52" i="4"/>
  <c r="CD51" i="4" s="1"/>
  <c r="F77" i="5"/>
  <c r="R77" i="5" s="1"/>
  <c r="CH35" i="4"/>
  <c r="CI35" i="4" s="1"/>
  <c r="CJ35" i="4" s="1"/>
  <c r="CF36" i="4" s="1"/>
  <c r="BM51" i="4"/>
  <c r="BO51" i="4" s="1"/>
  <c r="BL52" i="4"/>
  <c r="AD84" i="5"/>
  <c r="AC85" i="5"/>
  <c r="BJ85" i="5"/>
  <c r="CO80" i="5"/>
  <c r="CW79" i="5" s="1"/>
  <c r="DA53" i="4"/>
  <c r="N81" i="5"/>
  <c r="J80" i="5"/>
  <c r="V80" i="5" s="1"/>
  <c r="CW54" i="4"/>
  <c r="CX54" i="4" s="1"/>
  <c r="DF54" i="4" s="1"/>
  <c r="CA54" i="4"/>
  <c r="CY55" i="4"/>
  <c r="CS56" i="4" s="1"/>
  <c r="BP55" i="4"/>
  <c r="BI55" i="4"/>
  <c r="BN55" i="4" s="1"/>
  <c r="X55" i="4"/>
  <c r="K74" i="4" s="1"/>
  <c r="CT55" i="4"/>
  <c r="CZ54" i="4" s="1"/>
  <c r="DL81" i="5"/>
  <c r="DZ81" i="5"/>
  <c r="EB78" i="5"/>
  <c r="I79" i="5" s="1"/>
  <c r="U79" i="5" s="1"/>
  <c r="DN78" i="5"/>
  <c r="H79" i="5" s="1"/>
  <c r="T79" i="5" s="1"/>
  <c r="CX81" i="5"/>
  <c r="CY78" i="5"/>
  <c r="CZ78" i="5"/>
  <c r="G79" i="5" s="1"/>
  <c r="S79" i="5" s="1"/>
  <c r="DD51" i="4"/>
  <c r="DH51" i="4" s="1"/>
  <c r="I70" i="4" s="1"/>
  <c r="DH50" i="4"/>
  <c r="I69" i="4" s="1"/>
  <c r="DG53" i="4"/>
  <c r="DC80" i="5"/>
  <c r="DK79" i="5" s="1"/>
  <c r="DM79" i="5" s="1"/>
  <c r="DQ80" i="5"/>
  <c r="DY79" i="5" s="1"/>
  <c r="EA79" i="5" s="1"/>
  <c r="CS79" i="5"/>
  <c r="CQ80" i="5" s="1"/>
  <c r="CQ81" i="5" s="1"/>
  <c r="DE80" i="5"/>
  <c r="DI79" i="5"/>
  <c r="DJ79" i="5" s="1"/>
  <c r="DR81" i="5"/>
  <c r="DP81" i="5"/>
  <c r="B82" i="5"/>
  <c r="BY81" i="5"/>
  <c r="DT81" i="5" s="1"/>
  <c r="DH81" i="5"/>
  <c r="CT81" i="5"/>
  <c r="AA82" i="5"/>
  <c r="DV81" i="5"/>
  <c r="AB81" i="5"/>
  <c r="K82" i="5" s="1"/>
  <c r="W82" i="5" s="1"/>
  <c r="DW79" i="5"/>
  <c r="DX79" i="5" s="1"/>
  <c r="DS80" i="5"/>
  <c r="DU80" i="5" s="1"/>
  <c r="DF80" i="5"/>
  <c r="DD81" i="5"/>
  <c r="DB81" i="5"/>
  <c r="CN81" i="5"/>
  <c r="CP81" i="5"/>
  <c r="CR80" i="5"/>
  <c r="DB53" i="4"/>
  <c r="DC53" i="4" s="1"/>
  <c r="CU55" i="4"/>
  <c r="W56" i="4"/>
  <c r="AD56" i="4" s="1"/>
  <c r="C74" i="4"/>
  <c r="B73" i="4" s="1"/>
  <c r="CL80" i="5" l="1"/>
  <c r="BZ82" i="5"/>
  <c r="CG82" i="5" s="1"/>
  <c r="CB82" i="5"/>
  <c r="CC82" i="5" s="1"/>
  <c r="AX79" i="5"/>
  <c r="AZ79" i="5" s="1"/>
  <c r="AW80" i="5"/>
  <c r="BD78" i="5"/>
  <c r="BF78" i="5" s="1"/>
  <c r="BC78" i="5"/>
  <c r="BG78" i="5" s="1"/>
  <c r="D79" i="5" s="1"/>
  <c r="P79" i="5" s="1"/>
  <c r="AU82" i="5"/>
  <c r="BB82" i="5" s="1"/>
  <c r="AV82" i="5"/>
  <c r="CK80" i="5"/>
  <c r="BO82" i="5"/>
  <c r="CF82" i="5"/>
  <c r="CI82" i="5" s="1"/>
  <c r="CJ82" i="5"/>
  <c r="BA82" i="5"/>
  <c r="BE82" i="5"/>
  <c r="AY82" i="5"/>
  <c r="CD81" i="5"/>
  <c r="CE81" i="5" s="1"/>
  <c r="CH81" i="5" s="1"/>
  <c r="CA82" i="5"/>
  <c r="BW78" i="5"/>
  <c r="E79" i="5" s="1"/>
  <c r="Q79" i="5" s="1"/>
  <c r="BW79" i="5"/>
  <c r="E80" i="5" s="1"/>
  <c r="Q80" i="5" s="1"/>
  <c r="BQ82" i="5"/>
  <c r="BL80" i="5"/>
  <c r="BT79" i="5" s="1"/>
  <c r="BK81" i="5"/>
  <c r="BK82" i="5" s="1"/>
  <c r="BQ53" i="4"/>
  <c r="BJ54" i="4"/>
  <c r="BQ54" i="4" s="1"/>
  <c r="Z55" i="4"/>
  <c r="Z56" i="4" s="1"/>
  <c r="CE56" i="4"/>
  <c r="AU56" i="4"/>
  <c r="AF56" i="4"/>
  <c r="Y56" i="4"/>
  <c r="AQ56" i="4" s="1"/>
  <c r="CQ34" i="4"/>
  <c r="G53" i="4" s="1"/>
  <c r="CL35" i="4"/>
  <c r="CM35" i="4" s="1"/>
  <c r="CN35" i="4" s="1"/>
  <c r="F54" i="4" s="1"/>
  <c r="BU82" i="5"/>
  <c r="AK82" i="5"/>
  <c r="AO82" i="5"/>
  <c r="AI82" i="5"/>
  <c r="BR36" i="4"/>
  <c r="BS48" i="4" s="1"/>
  <c r="BT60" i="4" s="1"/>
  <c r="BU72" i="4" s="1"/>
  <c r="CC47" i="4"/>
  <c r="BZ47" i="4"/>
  <c r="CB47" i="4" s="1"/>
  <c r="BM52" i="4"/>
  <c r="BO52" i="4" s="1"/>
  <c r="BL53" i="4"/>
  <c r="F78" i="5"/>
  <c r="R78" i="5" s="1"/>
  <c r="CG36" i="4"/>
  <c r="CH36" i="4" s="1"/>
  <c r="CI36" i="4" s="1"/>
  <c r="CJ36" i="4" s="1"/>
  <c r="CF37" i="4" s="1"/>
  <c r="BK53" i="4"/>
  <c r="CD52" i="4" s="1"/>
  <c r="BY35" i="4"/>
  <c r="CO35" i="4" s="1"/>
  <c r="DE81" i="5"/>
  <c r="DE82" i="5" s="1"/>
  <c r="AD85" i="5"/>
  <c r="AC86" i="5"/>
  <c r="BJ86" i="5"/>
  <c r="CO81" i="5"/>
  <c r="CW80" i="5" s="1"/>
  <c r="DA54" i="4"/>
  <c r="J81" i="5"/>
  <c r="V81" i="5" s="1"/>
  <c r="J74" i="4"/>
  <c r="CW55" i="4"/>
  <c r="CA55" i="4"/>
  <c r="CY56" i="4"/>
  <c r="CS57" i="4" s="1"/>
  <c r="BP56" i="4"/>
  <c r="BI56" i="4"/>
  <c r="CA56" i="4" s="1"/>
  <c r="X56" i="4"/>
  <c r="K75" i="4" s="1"/>
  <c r="CT56" i="4"/>
  <c r="CZ55" i="4" s="1"/>
  <c r="DL82" i="5"/>
  <c r="DZ82" i="5"/>
  <c r="EB79" i="5"/>
  <c r="I80" i="5" s="1"/>
  <c r="U80" i="5" s="1"/>
  <c r="DN79" i="5"/>
  <c r="H80" i="5" s="1"/>
  <c r="T80" i="5" s="1"/>
  <c r="CY79" i="5"/>
  <c r="CX82" i="5"/>
  <c r="N82" i="5"/>
  <c r="DD52" i="4"/>
  <c r="DE52" i="4" s="1"/>
  <c r="H71" i="4" s="1"/>
  <c r="DE51" i="4"/>
  <c r="H70" i="4" s="1"/>
  <c r="CV55" i="4"/>
  <c r="CV56" i="4" s="1"/>
  <c r="DG54" i="4"/>
  <c r="DC81" i="5"/>
  <c r="DK80" i="5" s="1"/>
  <c r="DM80" i="5" s="1"/>
  <c r="DG80" i="5"/>
  <c r="DI80" i="5" s="1"/>
  <c r="DJ80" i="5" s="1"/>
  <c r="DN80" i="5" s="1"/>
  <c r="DQ81" i="5"/>
  <c r="DY80" i="5" s="1"/>
  <c r="EA80" i="5" s="1"/>
  <c r="CU79" i="5"/>
  <c r="CV79" i="5" s="1"/>
  <c r="CS80" i="5"/>
  <c r="CU80" i="5" s="1"/>
  <c r="CV80" i="5" s="1"/>
  <c r="DF81" i="5"/>
  <c r="CR81" i="5"/>
  <c r="CS81" i="5" s="1"/>
  <c r="B83" i="5"/>
  <c r="AA83" i="5"/>
  <c r="DV82" i="5"/>
  <c r="CT82" i="5"/>
  <c r="BY82" i="5"/>
  <c r="DT82" i="5" s="1"/>
  <c r="DH82" i="5"/>
  <c r="AB82" i="5"/>
  <c r="K83" i="5" s="1"/>
  <c r="W83" i="5" s="1"/>
  <c r="DW80" i="5"/>
  <c r="DX80" i="5" s="1"/>
  <c r="CN82" i="5"/>
  <c r="CP82" i="5"/>
  <c r="CQ82" i="5"/>
  <c r="DS81" i="5"/>
  <c r="DU81" i="5" s="1"/>
  <c r="DD82" i="5"/>
  <c r="DB82" i="5"/>
  <c r="DP82" i="5"/>
  <c r="DR82" i="5"/>
  <c r="DB54" i="4"/>
  <c r="DC54" i="4" s="1"/>
  <c r="W57" i="4"/>
  <c r="AD57" i="4" s="1"/>
  <c r="C75" i="4"/>
  <c r="CU56" i="4"/>
  <c r="CL81" i="5" l="1"/>
  <c r="BZ83" i="5"/>
  <c r="CB83" i="5"/>
  <c r="CC83" i="5" s="1"/>
  <c r="CK81" i="5"/>
  <c r="AX80" i="5"/>
  <c r="AZ80" i="5" s="1"/>
  <c r="AW81" i="5"/>
  <c r="BD79" i="5"/>
  <c r="BF79" i="5" s="1"/>
  <c r="BC79" i="5"/>
  <c r="BG79" i="5" s="1"/>
  <c r="D80" i="5" s="1"/>
  <c r="P80" i="5" s="1"/>
  <c r="BO83" i="5"/>
  <c r="CF83" i="5"/>
  <c r="CI83" i="5" s="1"/>
  <c r="CJ83" i="5"/>
  <c r="AY83" i="5"/>
  <c r="BE83" i="5"/>
  <c r="BA83" i="5"/>
  <c r="CG83" i="5"/>
  <c r="AV83" i="5"/>
  <c r="AU83" i="5"/>
  <c r="BB83" i="5" s="1"/>
  <c r="CA83" i="5"/>
  <c r="CD82" i="5"/>
  <c r="CE82" i="5" s="1"/>
  <c r="CH82" i="5" s="1"/>
  <c r="BK83" i="5"/>
  <c r="BQ83" i="5"/>
  <c r="BL81" i="5"/>
  <c r="BT80" i="5" s="1"/>
  <c r="E11" i="5"/>
  <c r="E27" i="5" s="1"/>
  <c r="Z57" i="4"/>
  <c r="AU57" i="4"/>
  <c r="AF57" i="4"/>
  <c r="CE57" i="4"/>
  <c r="Y57" i="4"/>
  <c r="AQ57" i="4" s="1"/>
  <c r="BN56" i="4"/>
  <c r="AB55" i="4"/>
  <c r="AC55" i="4" s="1"/>
  <c r="AC56" i="4" s="1"/>
  <c r="AC57" i="4" s="1"/>
  <c r="AA55" i="4"/>
  <c r="AT54" i="4" s="1"/>
  <c r="BM80" i="5"/>
  <c r="BN80" i="5" s="1"/>
  <c r="BN81" i="5" s="1"/>
  <c r="BN82" i="5" s="1"/>
  <c r="BN83" i="5" s="1"/>
  <c r="BU83" i="5"/>
  <c r="AO83" i="5"/>
  <c r="AK83" i="5"/>
  <c r="AI83" i="5"/>
  <c r="BV36" i="4"/>
  <c r="BX36" i="4" s="1"/>
  <c r="CK36" i="4" s="1"/>
  <c r="F79" i="5"/>
  <c r="R79" i="5" s="1"/>
  <c r="BM53" i="4"/>
  <c r="BO53" i="4" s="1"/>
  <c r="BL54" i="4"/>
  <c r="BM54" i="4" s="1"/>
  <c r="BO54" i="4" s="1"/>
  <c r="CC48" i="4"/>
  <c r="BZ48" i="4"/>
  <c r="CB48" i="4" s="1"/>
  <c r="BK54" i="4"/>
  <c r="CD53" i="4" s="1"/>
  <c r="CP35" i="4"/>
  <c r="CQ35" i="4" s="1"/>
  <c r="G54" i="4" s="1"/>
  <c r="BR37" i="4"/>
  <c r="BS49" i="4" s="1"/>
  <c r="BT61" i="4" s="1"/>
  <c r="BU73" i="4" s="1"/>
  <c r="CG37" i="4"/>
  <c r="DG81" i="5"/>
  <c r="DI81" i="5" s="1"/>
  <c r="DJ81" i="5" s="1"/>
  <c r="DN81" i="5" s="1"/>
  <c r="H82" i="5" s="1"/>
  <c r="T82" i="5" s="1"/>
  <c r="AD86" i="5"/>
  <c r="AC87" i="5"/>
  <c r="BJ87" i="5"/>
  <c r="CO82" i="5"/>
  <c r="CW81" i="5" s="1"/>
  <c r="DA55" i="4"/>
  <c r="J75" i="4"/>
  <c r="J82" i="5"/>
  <c r="V82" i="5" s="1"/>
  <c r="CW56" i="4"/>
  <c r="CV57" i="4"/>
  <c r="CT57" i="4"/>
  <c r="CZ56" i="4" s="1"/>
  <c r="BP57" i="4"/>
  <c r="CY57" i="4"/>
  <c r="CS58" i="4" s="1"/>
  <c r="BI57" i="4"/>
  <c r="BN57" i="4" s="1"/>
  <c r="X57" i="4"/>
  <c r="K76" i="4" s="1"/>
  <c r="DL83" i="5"/>
  <c r="DZ83" i="5"/>
  <c r="EB80" i="5"/>
  <c r="I81" i="5" s="1"/>
  <c r="U81" i="5" s="1"/>
  <c r="H81" i="5"/>
  <c r="T81" i="5" s="1"/>
  <c r="CZ79" i="5"/>
  <c r="G80" i="5" s="1"/>
  <c r="S80" i="5" s="1"/>
  <c r="CZ80" i="5"/>
  <c r="G81" i="5" s="1"/>
  <c r="S81" i="5" s="1"/>
  <c r="CY80" i="5"/>
  <c r="CX83" i="5"/>
  <c r="N83" i="5"/>
  <c r="DH52" i="4"/>
  <c r="I71" i="4" s="1"/>
  <c r="DD53" i="4"/>
  <c r="DH53" i="4" s="1"/>
  <c r="I72" i="4" s="1"/>
  <c r="DC82" i="5"/>
  <c r="DK81" i="5" s="1"/>
  <c r="DM81" i="5" s="1"/>
  <c r="DQ82" i="5"/>
  <c r="DY81" i="5" s="1"/>
  <c r="EA81" i="5" s="1"/>
  <c r="DS82" i="5"/>
  <c r="DS83" i="5" s="1"/>
  <c r="DF82" i="5"/>
  <c r="DG82" i="5" s="1"/>
  <c r="DI82" i="5" s="1"/>
  <c r="DJ82" i="5" s="1"/>
  <c r="CU81" i="5"/>
  <c r="CV81" i="5" s="1"/>
  <c r="CQ83" i="5"/>
  <c r="CP83" i="5"/>
  <c r="CN83" i="5"/>
  <c r="DR83" i="5"/>
  <c r="DP83" i="5"/>
  <c r="B84" i="5"/>
  <c r="AA84" i="5"/>
  <c r="CT83" i="5"/>
  <c r="DH83" i="5"/>
  <c r="BY83" i="5"/>
  <c r="DT83" i="5" s="1"/>
  <c r="DV83" i="5"/>
  <c r="AB83" i="5"/>
  <c r="K84" i="5" s="1"/>
  <c r="W84" i="5" s="1"/>
  <c r="DW81" i="5"/>
  <c r="DX81" i="5" s="1"/>
  <c r="EB81" i="5" s="1"/>
  <c r="CR82" i="5"/>
  <c r="CS82" i="5" s="1"/>
  <c r="DE83" i="5"/>
  <c r="DD83" i="5"/>
  <c r="DB83" i="5"/>
  <c r="CX55" i="4"/>
  <c r="DF55" i="4" s="1"/>
  <c r="CU57" i="4"/>
  <c r="C76" i="4"/>
  <c r="W58" i="4"/>
  <c r="AD58" i="4" s="1"/>
  <c r="BK84" i="5" l="1"/>
  <c r="AV84" i="5"/>
  <c r="CK82" i="5"/>
  <c r="CK83" i="5" s="1"/>
  <c r="CL82" i="5"/>
  <c r="AX81" i="5"/>
  <c r="AZ81" i="5" s="1"/>
  <c r="AW82" i="5"/>
  <c r="CD83" i="5"/>
  <c r="CE83" i="5" s="1"/>
  <c r="CH83" i="5" s="1"/>
  <c r="BD80" i="5"/>
  <c r="BF80" i="5" s="1"/>
  <c r="BC80" i="5"/>
  <c r="BG80" i="5" s="1"/>
  <c r="D81" i="5" s="1"/>
  <c r="P81" i="5" s="1"/>
  <c r="BO84" i="5"/>
  <c r="CF84" i="5"/>
  <c r="CI84" i="5" s="1"/>
  <c r="CJ84" i="5"/>
  <c r="BA84" i="5"/>
  <c r="AY84" i="5"/>
  <c r="BE84" i="5"/>
  <c r="BZ84" i="5"/>
  <c r="CG84" i="5" s="1"/>
  <c r="CB84" i="5"/>
  <c r="CC84" i="5" s="1"/>
  <c r="CA84" i="5"/>
  <c r="CA85" i="5" s="1"/>
  <c r="AU84" i="5"/>
  <c r="BB84" i="5" s="1"/>
  <c r="BN84" i="5"/>
  <c r="AC58" i="4"/>
  <c r="BQ84" i="5"/>
  <c r="BK85" i="5" s="1"/>
  <c r="BL82" i="5"/>
  <c r="BT81" i="5" s="1"/>
  <c r="Z58" i="4"/>
  <c r="CE58" i="4"/>
  <c r="AU58" i="4"/>
  <c r="AF58" i="4"/>
  <c r="Y58" i="4"/>
  <c r="AQ58" i="4" s="1"/>
  <c r="AA56" i="4"/>
  <c r="AT55" i="4" s="1"/>
  <c r="AE55" i="4"/>
  <c r="AG55" i="4" s="1"/>
  <c r="AB56" i="4"/>
  <c r="BP80" i="5"/>
  <c r="BM81" i="5"/>
  <c r="BV79" i="5"/>
  <c r="CL36" i="4"/>
  <c r="CM36" i="4" s="1"/>
  <c r="CN36" i="4" s="1"/>
  <c r="F55" i="4" s="1"/>
  <c r="BU84" i="5"/>
  <c r="AK84" i="5"/>
  <c r="AO84" i="5"/>
  <c r="AI84" i="5"/>
  <c r="BY36" i="4"/>
  <c r="CO36" i="4" s="1"/>
  <c r="CP36" i="4" s="1"/>
  <c r="F80" i="5"/>
  <c r="R80" i="5" s="1"/>
  <c r="BJ55" i="4"/>
  <c r="BQ55" i="4" s="1"/>
  <c r="CH37" i="4"/>
  <c r="CI37" i="4" s="1"/>
  <c r="CJ37" i="4" s="1"/>
  <c r="CF38" i="4" s="1"/>
  <c r="BV37" i="4"/>
  <c r="BX37" i="4" s="1"/>
  <c r="CK37" i="4" s="1"/>
  <c r="CL37" i="4" s="1"/>
  <c r="AD87" i="5"/>
  <c r="AC88" i="5"/>
  <c r="BJ88" i="5"/>
  <c r="CO83" i="5"/>
  <c r="CW82" i="5" s="1"/>
  <c r="DA56" i="4"/>
  <c r="J76" i="4"/>
  <c r="J83" i="5"/>
  <c r="V83" i="5" s="1"/>
  <c r="CT58" i="4"/>
  <c r="CZ57" i="4" s="1"/>
  <c r="CV58" i="4"/>
  <c r="BP58" i="4"/>
  <c r="CY58" i="4"/>
  <c r="CS59" i="4" s="1"/>
  <c r="BI58" i="4"/>
  <c r="BN58" i="4" s="1"/>
  <c r="X58" i="4"/>
  <c r="K77" i="4" s="1"/>
  <c r="CW57" i="4"/>
  <c r="CA57" i="4"/>
  <c r="DL84" i="5"/>
  <c r="DZ84" i="5"/>
  <c r="I82" i="5"/>
  <c r="U82" i="5" s="1"/>
  <c r="DN82" i="5"/>
  <c r="H83" i="5" s="1"/>
  <c r="T83" i="5" s="1"/>
  <c r="CZ81" i="5"/>
  <c r="G82" i="5" s="1"/>
  <c r="S82" i="5" s="1"/>
  <c r="CY81" i="5"/>
  <c r="CX84" i="5"/>
  <c r="N84" i="5"/>
  <c r="DE53" i="4"/>
  <c r="H72" i="4" s="1"/>
  <c r="DD54" i="4"/>
  <c r="DC83" i="5"/>
  <c r="DK82" i="5" s="1"/>
  <c r="DM82" i="5" s="1"/>
  <c r="DQ83" i="5"/>
  <c r="DY82" i="5" s="1"/>
  <c r="EA82" i="5" s="1"/>
  <c r="DU82" i="5"/>
  <c r="DW82" i="5" s="1"/>
  <c r="DX82" i="5" s="1"/>
  <c r="CR83" i="5"/>
  <c r="CS83" i="5" s="1"/>
  <c r="DU83" i="5"/>
  <c r="DF83" i="5"/>
  <c r="DG83" i="5" s="1"/>
  <c r="DD84" i="5"/>
  <c r="DE84" i="5"/>
  <c r="DB84" i="5"/>
  <c r="CP84" i="5"/>
  <c r="CN84" i="5"/>
  <c r="CQ84" i="5"/>
  <c r="CU82" i="5"/>
  <c r="CV82" i="5" s="1"/>
  <c r="DR84" i="5"/>
  <c r="DP84" i="5"/>
  <c r="DS84" i="5"/>
  <c r="B85" i="5"/>
  <c r="DH84" i="5"/>
  <c r="BY84" i="5"/>
  <c r="DF84" i="5" s="1"/>
  <c r="AA85" i="5"/>
  <c r="DV84" i="5"/>
  <c r="CT84" i="5"/>
  <c r="AB84" i="5"/>
  <c r="K85" i="5" s="1"/>
  <c r="W85" i="5" s="1"/>
  <c r="DG55" i="4"/>
  <c r="DB55" i="4"/>
  <c r="DC55" i="4" s="1"/>
  <c r="CX56" i="4"/>
  <c r="DF56" i="4" s="1"/>
  <c r="CU58" i="4"/>
  <c r="W59" i="4"/>
  <c r="AD59" i="4" s="1"/>
  <c r="C77" i="4"/>
  <c r="CL83" i="5" l="1"/>
  <c r="CK84" i="5"/>
  <c r="AU85" i="5"/>
  <c r="AV85" i="5"/>
  <c r="CD84" i="5"/>
  <c r="CE84" i="5" s="1"/>
  <c r="CH84" i="5" s="1"/>
  <c r="CL84" i="5" s="1"/>
  <c r="BZ85" i="5"/>
  <c r="CG85" i="5" s="1"/>
  <c r="CB85" i="5"/>
  <c r="CC85" i="5" s="1"/>
  <c r="AX82" i="5"/>
  <c r="AZ82" i="5" s="1"/>
  <c r="AW83" i="5"/>
  <c r="BO85" i="5"/>
  <c r="CF85" i="5"/>
  <c r="CI85" i="5" s="1"/>
  <c r="CJ85" i="5"/>
  <c r="BE85" i="5"/>
  <c r="AY85" i="5"/>
  <c r="BA85" i="5"/>
  <c r="BB85" i="5"/>
  <c r="BD81" i="5"/>
  <c r="BF81" i="5" s="1"/>
  <c r="BC81" i="5"/>
  <c r="BG81" i="5" s="1"/>
  <c r="D82" i="5" s="1"/>
  <c r="P82" i="5" s="1"/>
  <c r="AC59" i="4"/>
  <c r="BN85" i="5"/>
  <c r="BQ85" i="5"/>
  <c r="BK86" i="5" s="1"/>
  <c r="BR80" i="5"/>
  <c r="BS80" i="5" s="1"/>
  <c r="BL83" i="5"/>
  <c r="BT82" i="5" s="1"/>
  <c r="AE56" i="4"/>
  <c r="AG56" i="4" s="1"/>
  <c r="AB57" i="4"/>
  <c r="AA57" i="4"/>
  <c r="AT56" i="4" s="1"/>
  <c r="Z59" i="4"/>
  <c r="AF59" i="4"/>
  <c r="AU59" i="4"/>
  <c r="CE59" i="4"/>
  <c r="Y59" i="4"/>
  <c r="AQ59" i="4" s="1"/>
  <c r="BV80" i="5"/>
  <c r="BM82" i="5"/>
  <c r="BP81" i="5"/>
  <c r="CQ36" i="4"/>
  <c r="G55" i="4" s="1"/>
  <c r="BU85" i="5"/>
  <c r="AK85" i="5"/>
  <c r="AO85" i="5"/>
  <c r="AI85" i="5"/>
  <c r="BY37" i="4"/>
  <c r="CO37" i="4" s="1"/>
  <c r="CP37" i="4" s="1"/>
  <c r="BR38" i="4"/>
  <c r="BS50" i="4" s="1"/>
  <c r="BT62" i="4" s="1"/>
  <c r="BU74" i="4" s="1"/>
  <c r="BK55" i="4"/>
  <c r="CD54" i="4" s="1"/>
  <c r="BL55" i="4"/>
  <c r="BJ56" i="4"/>
  <c r="BQ56" i="4" s="1"/>
  <c r="CG38" i="4"/>
  <c r="CC49" i="4"/>
  <c r="BZ49" i="4"/>
  <c r="CB49" i="4" s="1"/>
  <c r="CM37" i="4"/>
  <c r="CN37" i="4" s="1"/>
  <c r="F56" i="4" s="1"/>
  <c r="AD88" i="5"/>
  <c r="AC89" i="5"/>
  <c r="BJ89" i="5"/>
  <c r="J77" i="4"/>
  <c r="CO84" i="5"/>
  <c r="CW83" i="5" s="1"/>
  <c r="DA57" i="4"/>
  <c r="J84" i="5"/>
  <c r="V84" i="5" s="1"/>
  <c r="CV59" i="4"/>
  <c r="CT59" i="4"/>
  <c r="CZ58" i="4" s="1"/>
  <c r="BP59" i="4"/>
  <c r="CY59" i="4"/>
  <c r="CS60" i="4" s="1"/>
  <c r="BI59" i="4"/>
  <c r="BN59" i="4" s="1"/>
  <c r="X59" i="4"/>
  <c r="K78" i="4" s="1"/>
  <c r="CW58" i="4"/>
  <c r="CX58" i="4" s="1"/>
  <c r="DF58" i="4" s="1"/>
  <c r="CA58" i="4"/>
  <c r="DL85" i="5"/>
  <c r="DZ85" i="5"/>
  <c r="EB82" i="5"/>
  <c r="I83" i="5" s="1"/>
  <c r="U83" i="5" s="1"/>
  <c r="CY82" i="5"/>
  <c r="CZ82" i="5"/>
  <c r="G83" i="5" s="1"/>
  <c r="S83" i="5" s="1"/>
  <c r="CX85" i="5"/>
  <c r="N85" i="5"/>
  <c r="DE54" i="4"/>
  <c r="H73" i="4" s="1"/>
  <c r="DH54" i="4"/>
  <c r="I73" i="4" s="1"/>
  <c r="DD55" i="4"/>
  <c r="DC84" i="5"/>
  <c r="DK83" i="5" s="1"/>
  <c r="DM83" i="5" s="1"/>
  <c r="DQ84" i="5"/>
  <c r="DY83" i="5" s="1"/>
  <c r="EA83" i="5" s="1"/>
  <c r="DI83" i="5"/>
  <c r="DJ83" i="5" s="1"/>
  <c r="DT84" i="5"/>
  <c r="DU84" i="5" s="1"/>
  <c r="CU83" i="5"/>
  <c r="CV83" i="5" s="1"/>
  <c r="CR84" i="5"/>
  <c r="CS84" i="5" s="1"/>
  <c r="DB85" i="5"/>
  <c r="DD85" i="5"/>
  <c r="DE85" i="5"/>
  <c r="CN85" i="5"/>
  <c r="CQ85" i="5"/>
  <c r="CP85" i="5"/>
  <c r="DP85" i="5"/>
  <c r="DS85" i="5"/>
  <c r="DR85" i="5"/>
  <c r="DG84" i="5"/>
  <c r="DW83" i="5"/>
  <c r="DX83" i="5" s="1"/>
  <c r="B86" i="5"/>
  <c r="AA86" i="5"/>
  <c r="DV85" i="5"/>
  <c r="CT85" i="5"/>
  <c r="DH85" i="5"/>
  <c r="BY85" i="5"/>
  <c r="DF85" i="5" s="1"/>
  <c r="AB85" i="5"/>
  <c r="K86" i="5" s="1"/>
  <c r="W86" i="5" s="1"/>
  <c r="DG56" i="4"/>
  <c r="DB56" i="4"/>
  <c r="DC56" i="4" s="1"/>
  <c r="CU59" i="4"/>
  <c r="W60" i="4"/>
  <c r="AD60" i="4" s="1"/>
  <c r="C78" i="4"/>
  <c r="CX57" i="4"/>
  <c r="DF57" i="4" s="1"/>
  <c r="CD85" i="5" l="1"/>
  <c r="CE85" i="5" s="1"/>
  <c r="CH85" i="5" s="1"/>
  <c r="CL85" i="5" s="1"/>
  <c r="BZ86" i="5"/>
  <c r="CG86" i="5" s="1"/>
  <c r="CB86" i="5"/>
  <c r="CC86" i="5" s="1"/>
  <c r="CK85" i="5"/>
  <c r="AV86" i="5"/>
  <c r="AU86" i="5"/>
  <c r="BB86" i="5" s="1"/>
  <c r="AX83" i="5"/>
  <c r="AZ83" i="5" s="1"/>
  <c r="AW84" i="5"/>
  <c r="BD82" i="5"/>
  <c r="BF82" i="5" s="1"/>
  <c r="BC82" i="5"/>
  <c r="BG82" i="5" s="1"/>
  <c r="D83" i="5" s="1"/>
  <c r="P83" i="5" s="1"/>
  <c r="CA86" i="5"/>
  <c r="BO86" i="5"/>
  <c r="CF86" i="5"/>
  <c r="CI86" i="5" s="1"/>
  <c r="BE86" i="5"/>
  <c r="CJ86" i="5"/>
  <c r="BA86" i="5"/>
  <c r="AY86" i="5"/>
  <c r="BN86" i="5"/>
  <c r="AC60" i="4"/>
  <c r="BW80" i="5"/>
  <c r="E81" i="5" s="1"/>
  <c r="Q81" i="5" s="1"/>
  <c r="BQ86" i="5"/>
  <c r="BK87" i="5" s="1"/>
  <c r="BR81" i="5"/>
  <c r="BS81" i="5" s="1"/>
  <c r="BL84" i="5"/>
  <c r="BT83" i="5" s="1"/>
  <c r="AU60" i="4"/>
  <c r="AF60" i="4"/>
  <c r="CE60" i="4"/>
  <c r="Y60" i="4"/>
  <c r="AQ60" i="4" s="1"/>
  <c r="AE57" i="4"/>
  <c r="AG57" i="4" s="1"/>
  <c r="AB58" i="4"/>
  <c r="Z60" i="4"/>
  <c r="AA58" i="4"/>
  <c r="AT57" i="4" s="1"/>
  <c r="AW55" i="4"/>
  <c r="BM83" i="5"/>
  <c r="BP82" i="5"/>
  <c r="BV81" i="5"/>
  <c r="J78" i="4"/>
  <c r="BU86" i="5"/>
  <c r="AK86" i="5"/>
  <c r="AO86" i="5"/>
  <c r="AI86" i="5"/>
  <c r="CQ37" i="4"/>
  <c r="G56" i="4" s="1"/>
  <c r="CH38" i="4"/>
  <c r="CI38" i="4" s="1"/>
  <c r="CJ38" i="4" s="1"/>
  <c r="CF39" i="4" s="1"/>
  <c r="F81" i="5"/>
  <c r="R81" i="5" s="1"/>
  <c r="BJ57" i="4"/>
  <c r="BV38" i="4"/>
  <c r="BX38" i="4" s="1"/>
  <c r="CK38" i="4" s="1"/>
  <c r="CL38" i="4" s="1"/>
  <c r="BM55" i="4"/>
  <c r="BO55" i="4" s="1"/>
  <c r="BL56" i="4"/>
  <c r="BK56" i="4"/>
  <c r="CD55" i="4" s="1"/>
  <c r="AD89" i="5"/>
  <c r="AC90" i="5"/>
  <c r="BJ90" i="5"/>
  <c r="DA58" i="4"/>
  <c r="CO85" i="5"/>
  <c r="CW84" i="5" s="1"/>
  <c r="J85" i="5"/>
  <c r="V85" i="5" s="1"/>
  <c r="CT60" i="4"/>
  <c r="CZ59" i="4" s="1"/>
  <c r="BP60" i="4"/>
  <c r="CY60" i="4"/>
  <c r="CS61" i="4" s="1"/>
  <c r="BI60" i="4"/>
  <c r="CA60" i="4" s="1"/>
  <c r="X60" i="4"/>
  <c r="K79" i="4" s="1"/>
  <c r="CV60" i="4"/>
  <c r="CW59" i="4"/>
  <c r="CX59" i="4" s="1"/>
  <c r="DF59" i="4" s="1"/>
  <c r="CA59" i="4"/>
  <c r="DL86" i="5"/>
  <c r="DZ86" i="5"/>
  <c r="EB83" i="5"/>
  <c r="I84" i="5" s="1"/>
  <c r="U84" i="5" s="1"/>
  <c r="DN83" i="5"/>
  <c r="H84" i="5" s="1"/>
  <c r="T84" i="5" s="1"/>
  <c r="CX86" i="5"/>
  <c r="CY83" i="5"/>
  <c r="CZ83" i="5"/>
  <c r="G84" i="5" s="1"/>
  <c r="S84" i="5" s="1"/>
  <c r="N86" i="5"/>
  <c r="DE55" i="4"/>
  <c r="H74" i="4" s="1"/>
  <c r="DH55" i="4"/>
  <c r="I74" i="4" s="1"/>
  <c r="DB58" i="4"/>
  <c r="DC58" i="4" s="1"/>
  <c r="DC85" i="5"/>
  <c r="DK84" i="5" s="1"/>
  <c r="DM84" i="5" s="1"/>
  <c r="DQ85" i="5"/>
  <c r="DY84" i="5" s="1"/>
  <c r="EA84" i="5" s="1"/>
  <c r="CU84" i="5"/>
  <c r="CV84" i="5" s="1"/>
  <c r="DR86" i="5"/>
  <c r="DS86" i="5"/>
  <c r="DP86" i="5"/>
  <c r="DG85" i="5"/>
  <c r="CR85" i="5"/>
  <c r="CS85" i="5" s="1"/>
  <c r="DE86" i="5"/>
  <c r="DD86" i="5"/>
  <c r="DB86" i="5"/>
  <c r="DT85" i="5"/>
  <c r="DU85" i="5" s="1"/>
  <c r="DW84" i="5"/>
  <c r="DX84" i="5" s="1"/>
  <c r="B87" i="5"/>
  <c r="DH86" i="5"/>
  <c r="BY86" i="5"/>
  <c r="CD86" i="5" s="1"/>
  <c r="AA87" i="5"/>
  <c r="DV86" i="5"/>
  <c r="CT86" i="5"/>
  <c r="AB86" i="5"/>
  <c r="K87" i="5" s="1"/>
  <c r="W87" i="5" s="1"/>
  <c r="DI84" i="5"/>
  <c r="DJ84" i="5" s="1"/>
  <c r="CN86" i="5"/>
  <c r="CQ86" i="5"/>
  <c r="CP86" i="5"/>
  <c r="DG58" i="4"/>
  <c r="DD56" i="4"/>
  <c r="DH56" i="4" s="1"/>
  <c r="I75" i="4" s="1"/>
  <c r="DG57" i="4"/>
  <c r="DB57" i="4"/>
  <c r="DC57" i="4" s="1"/>
  <c r="CU60" i="4"/>
  <c r="W61" i="4"/>
  <c r="C79" i="4"/>
  <c r="CK86" i="5" l="1"/>
  <c r="BZ87" i="5"/>
  <c r="CG87" i="5" s="1"/>
  <c r="CB87" i="5"/>
  <c r="CC87" i="5" s="1"/>
  <c r="AV87" i="5"/>
  <c r="CA87" i="5"/>
  <c r="AU87" i="5"/>
  <c r="BB87" i="5" s="1"/>
  <c r="CE86" i="5"/>
  <c r="CH86" i="5" s="1"/>
  <c r="CL86" i="5" s="1"/>
  <c r="AX84" i="5"/>
  <c r="AZ84" i="5" s="1"/>
  <c r="AW85" i="5"/>
  <c r="BO87" i="5"/>
  <c r="CJ87" i="5"/>
  <c r="CF87" i="5"/>
  <c r="CI87" i="5" s="1"/>
  <c r="AY87" i="5"/>
  <c r="BA87" i="5"/>
  <c r="BE87" i="5"/>
  <c r="BD83" i="5"/>
  <c r="BF83" i="5" s="1"/>
  <c r="BC83" i="5"/>
  <c r="BG83" i="5" s="1"/>
  <c r="D84" i="5" s="1"/>
  <c r="P84" i="5" s="1"/>
  <c r="AC61" i="4"/>
  <c r="BN87" i="5"/>
  <c r="BW81" i="5"/>
  <c r="E82" i="5" s="1"/>
  <c r="Q82" i="5" s="1"/>
  <c r="BQ87" i="5"/>
  <c r="BK88" i="5" s="1"/>
  <c r="BL85" i="5"/>
  <c r="BT84" i="5" s="1"/>
  <c r="BJ58" i="4"/>
  <c r="BQ57" i="4"/>
  <c r="Z61" i="4"/>
  <c r="AA59" i="4"/>
  <c r="AT58" i="4" s="1"/>
  <c r="AE58" i="4"/>
  <c r="AG58" i="4" s="1"/>
  <c r="AB59" i="4"/>
  <c r="J79" i="4"/>
  <c r="AF61" i="4"/>
  <c r="AU61" i="4"/>
  <c r="CE61" i="4"/>
  <c r="Y61" i="4"/>
  <c r="AW56" i="4"/>
  <c r="BN60" i="4"/>
  <c r="BV82" i="5"/>
  <c r="BP83" i="5"/>
  <c r="BM84" i="5"/>
  <c r="BU87" i="5"/>
  <c r="AK87" i="5"/>
  <c r="AO87" i="5"/>
  <c r="AI87" i="5"/>
  <c r="BY38" i="4"/>
  <c r="CO38" i="4" s="1"/>
  <c r="CP38" i="4" s="1"/>
  <c r="BM56" i="4"/>
  <c r="BO56" i="4" s="1"/>
  <c r="BL57" i="4"/>
  <c r="F82" i="5"/>
  <c r="R82" i="5" s="1"/>
  <c r="CG39" i="4"/>
  <c r="CC50" i="4"/>
  <c r="BZ50" i="4"/>
  <c r="CB50" i="4" s="1"/>
  <c r="CM38" i="4"/>
  <c r="CN38" i="4" s="1"/>
  <c r="F57" i="4" s="1"/>
  <c r="BR39" i="4"/>
  <c r="BS51" i="4" s="1"/>
  <c r="BT63" i="4" s="1"/>
  <c r="BU75" i="4" s="1"/>
  <c r="BK57" i="4"/>
  <c r="CD56" i="4" s="1"/>
  <c r="AD90" i="5"/>
  <c r="AC91" i="5"/>
  <c r="BJ91" i="5"/>
  <c r="DT86" i="5"/>
  <c r="DU86" i="5" s="1"/>
  <c r="DA59" i="4"/>
  <c r="CO86" i="5"/>
  <c r="CW85" i="5" s="1"/>
  <c r="J86" i="5"/>
  <c r="V86" i="5" s="1"/>
  <c r="BP61" i="4"/>
  <c r="CY61" i="4"/>
  <c r="CS62" i="4" s="1"/>
  <c r="BI61" i="4"/>
  <c r="X61" i="4"/>
  <c r="K80" i="4" s="1"/>
  <c r="CV61" i="4"/>
  <c r="CT61" i="4"/>
  <c r="CZ60" i="4" s="1"/>
  <c r="CW60" i="4"/>
  <c r="CX60" i="4" s="1"/>
  <c r="DF60" i="4" s="1"/>
  <c r="DL87" i="5"/>
  <c r="DZ87" i="5"/>
  <c r="EB84" i="5"/>
  <c r="I85" i="5" s="1"/>
  <c r="U85" i="5" s="1"/>
  <c r="DN84" i="5"/>
  <c r="H85" i="5" s="1"/>
  <c r="T85" i="5" s="1"/>
  <c r="CY84" i="5"/>
  <c r="CZ84" i="5"/>
  <c r="G85" i="5" s="1"/>
  <c r="S85" i="5" s="1"/>
  <c r="CX87" i="5"/>
  <c r="N87" i="5"/>
  <c r="DG59" i="4"/>
  <c r="DC86" i="5"/>
  <c r="DK85" i="5" s="1"/>
  <c r="DM85" i="5" s="1"/>
  <c r="DQ86" i="5"/>
  <c r="DY85" i="5" s="1"/>
  <c r="EA85" i="5" s="1"/>
  <c r="DF86" i="5"/>
  <c r="DG86" i="5" s="1"/>
  <c r="DW85" i="5"/>
  <c r="DX85" i="5" s="1"/>
  <c r="CU85" i="5"/>
  <c r="CV85" i="5" s="1"/>
  <c r="DH87" i="5"/>
  <c r="BY87" i="5"/>
  <c r="CD87" i="5" s="1"/>
  <c r="B88" i="5"/>
  <c r="DV87" i="5"/>
  <c r="CT87" i="5"/>
  <c r="AA88" i="5"/>
  <c r="AB87" i="5"/>
  <c r="K88" i="5" s="1"/>
  <c r="W88" i="5" s="1"/>
  <c r="CR86" i="5"/>
  <c r="CS86" i="5" s="1"/>
  <c r="CP87" i="5"/>
  <c r="CN87" i="5"/>
  <c r="CQ87" i="5"/>
  <c r="DD87" i="5"/>
  <c r="DB87" i="5"/>
  <c r="DE87" i="5"/>
  <c r="DR87" i="5"/>
  <c r="DS87" i="5"/>
  <c r="DP87" i="5"/>
  <c r="DI85" i="5"/>
  <c r="DJ85" i="5" s="1"/>
  <c r="DD57" i="4"/>
  <c r="DD58" i="4" s="1"/>
  <c r="DE56" i="4"/>
  <c r="H75" i="4" s="1"/>
  <c r="DB59" i="4"/>
  <c r="DC59" i="4" s="1"/>
  <c r="C80" i="4"/>
  <c r="W62" i="4"/>
  <c r="CU61" i="4"/>
  <c r="BZ88" i="5" l="1"/>
  <c r="CB88" i="5"/>
  <c r="CC88" i="5" s="1"/>
  <c r="CA88" i="5"/>
  <c r="BO88" i="5"/>
  <c r="CF88" i="5"/>
  <c r="CI88" i="5" s="1"/>
  <c r="CJ88" i="5"/>
  <c r="BA88" i="5"/>
  <c r="BE88" i="5"/>
  <c r="AY88" i="5"/>
  <c r="CG88" i="5"/>
  <c r="AC62" i="4"/>
  <c r="CK87" i="5"/>
  <c r="AV88" i="5"/>
  <c r="CE87" i="5"/>
  <c r="CH87" i="5" s="1"/>
  <c r="CL87" i="5" s="1"/>
  <c r="AX85" i="5"/>
  <c r="AZ85" i="5" s="1"/>
  <c r="AW86" i="5"/>
  <c r="AU88" i="5"/>
  <c r="BB88" i="5" s="1"/>
  <c r="BD84" i="5"/>
  <c r="BF84" i="5" s="1"/>
  <c r="BC84" i="5"/>
  <c r="BG84" i="5" s="1"/>
  <c r="D85" i="5" s="1"/>
  <c r="P85" i="5" s="1"/>
  <c r="BN88" i="5"/>
  <c r="BQ88" i="5"/>
  <c r="BK89" i="5" s="1"/>
  <c r="BR82" i="5"/>
  <c r="BS82" i="5" s="1"/>
  <c r="BL86" i="5"/>
  <c r="BT85" i="5" s="1"/>
  <c r="AQ61" i="4"/>
  <c r="AD61" i="4"/>
  <c r="BJ59" i="4"/>
  <c r="BQ58" i="4"/>
  <c r="J80" i="4"/>
  <c r="Z62" i="4"/>
  <c r="BN61" i="4"/>
  <c r="AE59" i="4"/>
  <c r="AG59" i="4" s="1"/>
  <c r="AB60" i="4"/>
  <c r="AA60" i="4"/>
  <c r="AT59" i="4" s="1"/>
  <c r="AU62" i="4"/>
  <c r="AF62" i="4"/>
  <c r="CE62" i="4"/>
  <c r="Y62" i="4"/>
  <c r="AW57" i="4"/>
  <c r="BV83" i="5"/>
  <c r="BP84" i="5"/>
  <c r="BM85" i="5"/>
  <c r="AK88" i="5"/>
  <c r="AO88" i="5"/>
  <c r="BU88" i="5"/>
  <c r="AI88" i="5"/>
  <c r="F83" i="5"/>
  <c r="R83" i="5" s="1"/>
  <c r="BK58" i="4"/>
  <c r="CD57" i="4" s="1"/>
  <c r="CQ38" i="4"/>
  <c r="G57" i="4" s="1"/>
  <c r="BM57" i="4"/>
  <c r="BO57" i="4" s="1"/>
  <c r="BL58" i="4"/>
  <c r="BV39" i="4"/>
  <c r="BX39" i="4" s="1"/>
  <c r="CK39" i="4" s="1"/>
  <c r="CL39" i="4" s="1"/>
  <c r="CH39" i="4"/>
  <c r="CI39" i="4" s="1"/>
  <c r="CJ39" i="4" s="1"/>
  <c r="CF40" i="4" s="1"/>
  <c r="AD91" i="5"/>
  <c r="AC92" i="5"/>
  <c r="BJ92" i="5"/>
  <c r="DF87" i="5"/>
  <c r="DG87" i="5" s="1"/>
  <c r="DA60" i="4"/>
  <c r="CO87" i="5"/>
  <c r="CW86" i="5" s="1"/>
  <c r="J87" i="5"/>
  <c r="V87" i="5" s="1"/>
  <c r="CW61" i="4"/>
  <c r="CX61" i="4" s="1"/>
  <c r="DF61" i="4" s="1"/>
  <c r="CA61" i="4"/>
  <c r="CT62" i="4"/>
  <c r="CV62" i="4"/>
  <c r="BP62" i="4"/>
  <c r="CY62" i="4"/>
  <c r="CS63" i="4" s="1"/>
  <c r="BI62" i="4"/>
  <c r="BN62" i="4" s="1"/>
  <c r="X62" i="4"/>
  <c r="K81" i="4" s="1"/>
  <c r="DL88" i="5"/>
  <c r="DZ88" i="5"/>
  <c r="EB85" i="5"/>
  <c r="I86" i="5" s="1"/>
  <c r="U86" i="5" s="1"/>
  <c r="DN85" i="5"/>
  <c r="H86" i="5" s="1"/>
  <c r="T86" i="5" s="1"/>
  <c r="CX88" i="5"/>
  <c r="CY85" i="5"/>
  <c r="CZ85" i="5"/>
  <c r="G86" i="5" s="1"/>
  <c r="S86" i="5" s="1"/>
  <c r="N88" i="5"/>
  <c r="DC87" i="5"/>
  <c r="DK86" i="5" s="1"/>
  <c r="DM86" i="5" s="1"/>
  <c r="DQ87" i="5"/>
  <c r="DY86" i="5" s="1"/>
  <c r="EA86" i="5" s="1"/>
  <c r="DT87" i="5"/>
  <c r="DU87" i="5" s="1"/>
  <c r="CR87" i="5"/>
  <c r="CS87" i="5" s="1"/>
  <c r="B89" i="5"/>
  <c r="DV88" i="5"/>
  <c r="CT88" i="5"/>
  <c r="BY88" i="5"/>
  <c r="CD88" i="5" s="1"/>
  <c r="DH88" i="5"/>
  <c r="AA89" i="5"/>
  <c r="AB88" i="5"/>
  <c r="K89" i="5" s="1"/>
  <c r="W89" i="5" s="1"/>
  <c r="DE88" i="5"/>
  <c r="DB88" i="5"/>
  <c r="DD88" i="5"/>
  <c r="DI86" i="5"/>
  <c r="DJ86" i="5" s="1"/>
  <c r="CU86" i="5"/>
  <c r="CV86" i="5" s="1"/>
  <c r="DW86" i="5"/>
  <c r="DX86" i="5" s="1"/>
  <c r="CQ88" i="5"/>
  <c r="CN88" i="5"/>
  <c r="CP88" i="5"/>
  <c r="DS88" i="5"/>
  <c r="DR88" i="5"/>
  <c r="DP88" i="5"/>
  <c r="DE58" i="4"/>
  <c r="H77" i="4" s="1"/>
  <c r="DH58" i="4"/>
  <c r="I77" i="4" s="1"/>
  <c r="DD59" i="4"/>
  <c r="DE59" i="4" s="1"/>
  <c r="H78" i="4" s="1"/>
  <c r="DE57" i="4"/>
  <c r="H76" i="4" s="1"/>
  <c r="DH57" i="4"/>
  <c r="I76" i="4" s="1"/>
  <c r="DG60" i="4"/>
  <c r="DB60" i="4"/>
  <c r="DC60" i="4" s="1"/>
  <c r="CU62" i="4"/>
  <c r="W63" i="4"/>
  <c r="C81" i="4"/>
  <c r="AV89" i="5" l="1"/>
  <c r="BZ89" i="5"/>
  <c r="CG89" i="5" s="1"/>
  <c r="CB89" i="5"/>
  <c r="CC89" i="5" s="1"/>
  <c r="CK88" i="5"/>
  <c r="AX86" i="5"/>
  <c r="AZ86" i="5" s="1"/>
  <c r="AW87" i="5"/>
  <c r="CA89" i="5"/>
  <c r="CA90" i="5" s="1"/>
  <c r="BO89" i="5"/>
  <c r="CF89" i="5"/>
  <c r="CI89" i="5" s="1"/>
  <c r="CJ89" i="5"/>
  <c r="AY89" i="5"/>
  <c r="BE89" i="5"/>
  <c r="BA89" i="5"/>
  <c r="BD85" i="5"/>
  <c r="BF85" i="5" s="1"/>
  <c r="BC85" i="5"/>
  <c r="BG85" i="5" s="1"/>
  <c r="D86" i="5" s="1"/>
  <c r="P86" i="5" s="1"/>
  <c r="CE88" i="5"/>
  <c r="CH88" i="5" s="1"/>
  <c r="CL88" i="5" s="1"/>
  <c r="AU89" i="5"/>
  <c r="BB89" i="5" s="1"/>
  <c r="AC63" i="4"/>
  <c r="BN89" i="5"/>
  <c r="BW82" i="5"/>
  <c r="E83" i="5" s="1"/>
  <c r="Q83" i="5" s="1"/>
  <c r="BQ89" i="5"/>
  <c r="BK90" i="5" s="1"/>
  <c r="BL87" i="5"/>
  <c r="BT86" i="5" s="1"/>
  <c r="BR83" i="5"/>
  <c r="BS83" i="5" s="1"/>
  <c r="J81" i="4"/>
  <c r="AQ62" i="4"/>
  <c r="AD62" i="4"/>
  <c r="BJ60" i="4"/>
  <c r="BQ59" i="4"/>
  <c r="AE60" i="4"/>
  <c r="AG60" i="4" s="1"/>
  <c r="AB61" i="4"/>
  <c r="AF63" i="4"/>
  <c r="CE63" i="4"/>
  <c r="AU63" i="4"/>
  <c r="Y63" i="4"/>
  <c r="AA61" i="4"/>
  <c r="AW58" i="4"/>
  <c r="Z63" i="4"/>
  <c r="BV84" i="5"/>
  <c r="BP85" i="5"/>
  <c r="BM86" i="5"/>
  <c r="BU89" i="5"/>
  <c r="AO89" i="5"/>
  <c r="AK89" i="5"/>
  <c r="AI89" i="5"/>
  <c r="BY39" i="4"/>
  <c r="CO39" i="4" s="1"/>
  <c r="CP39" i="4" s="1"/>
  <c r="BR40" i="4"/>
  <c r="BS52" i="4" s="1"/>
  <c r="BT64" i="4" s="1"/>
  <c r="BU76" i="4" s="1"/>
  <c r="CM39" i="4"/>
  <c r="CN39" i="4" s="1"/>
  <c r="F58" i="4" s="1"/>
  <c r="CG40" i="4"/>
  <c r="CC51" i="4"/>
  <c r="BZ51" i="4"/>
  <c r="CB51" i="4" s="1"/>
  <c r="BM58" i="4"/>
  <c r="BO58" i="4" s="1"/>
  <c r="BL59" i="4"/>
  <c r="BK59" i="4"/>
  <c r="CD58" i="4" s="1"/>
  <c r="F84" i="5"/>
  <c r="R84" i="5" s="1"/>
  <c r="AD92" i="5"/>
  <c r="AC93" i="5"/>
  <c r="BJ93" i="5"/>
  <c r="DT88" i="5"/>
  <c r="DU88" i="5" s="1"/>
  <c r="CO88" i="5"/>
  <c r="CW87" i="5" s="1"/>
  <c r="CT63" i="4"/>
  <c r="CZ62" i="4" s="1"/>
  <c r="J88" i="5"/>
  <c r="V88" i="5" s="1"/>
  <c r="CV63" i="4"/>
  <c r="CW62" i="4"/>
  <c r="CX62" i="4" s="1"/>
  <c r="DF62" i="4" s="1"/>
  <c r="CA62" i="4"/>
  <c r="CY63" i="4"/>
  <c r="CS64" i="4" s="1"/>
  <c r="BP63" i="4"/>
  <c r="BI63" i="4"/>
  <c r="BN63" i="4" s="1"/>
  <c r="X63" i="4"/>
  <c r="K82" i="4" s="1"/>
  <c r="CZ61" i="4"/>
  <c r="DA61" i="4" s="1"/>
  <c r="DL89" i="5"/>
  <c r="DZ89" i="5"/>
  <c r="EB86" i="5"/>
  <c r="I87" i="5" s="1"/>
  <c r="U87" i="5" s="1"/>
  <c r="DN86" i="5"/>
  <c r="H87" i="5" s="1"/>
  <c r="T87" i="5" s="1"/>
  <c r="CX89" i="5"/>
  <c r="CY86" i="5"/>
  <c r="CZ86" i="5"/>
  <c r="G87" i="5" s="1"/>
  <c r="S87" i="5" s="1"/>
  <c r="N89" i="5"/>
  <c r="DG61" i="4"/>
  <c r="DC88" i="5"/>
  <c r="DK87" i="5" s="1"/>
  <c r="DM87" i="5" s="1"/>
  <c r="DQ88" i="5"/>
  <c r="DY87" i="5" s="1"/>
  <c r="EA87" i="5" s="1"/>
  <c r="CU87" i="5"/>
  <c r="CV87" i="5" s="1"/>
  <c r="DW87" i="5"/>
  <c r="DX87" i="5" s="1"/>
  <c r="EB87" i="5" s="1"/>
  <c r="B90" i="5"/>
  <c r="AA90" i="5"/>
  <c r="DH89" i="5"/>
  <c r="BY89" i="5"/>
  <c r="CD89" i="5" s="1"/>
  <c r="DV89" i="5"/>
  <c r="CT89" i="5"/>
  <c r="AB89" i="5"/>
  <c r="K90" i="5" s="1"/>
  <c r="W90" i="5" s="1"/>
  <c r="DI87" i="5"/>
  <c r="DJ87" i="5" s="1"/>
  <c r="DN87" i="5" s="1"/>
  <c r="DB89" i="5"/>
  <c r="DE89" i="5"/>
  <c r="DD89" i="5"/>
  <c r="DF88" i="5"/>
  <c r="DG88" i="5" s="1"/>
  <c r="CN89" i="5"/>
  <c r="CP89" i="5"/>
  <c r="CQ89" i="5"/>
  <c r="CR88" i="5"/>
  <c r="CS88" i="5" s="1"/>
  <c r="DP89" i="5"/>
  <c r="DS89" i="5"/>
  <c r="DR89" i="5"/>
  <c r="DH59" i="4"/>
  <c r="I78" i="4" s="1"/>
  <c r="DD60" i="4"/>
  <c r="DE60" i="4" s="1"/>
  <c r="H79" i="4" s="1"/>
  <c r="DB61" i="4"/>
  <c r="DC61" i="4" s="1"/>
  <c r="CU63" i="4"/>
  <c r="W64" i="4"/>
  <c r="C82" i="4"/>
  <c r="CK89" i="5" l="1"/>
  <c r="AC64" i="4"/>
  <c r="AU90" i="5"/>
  <c r="BB90" i="5" s="1"/>
  <c r="AX87" i="5"/>
  <c r="AZ87" i="5" s="1"/>
  <c r="AW88" i="5"/>
  <c r="BD86" i="5"/>
  <c r="BF86" i="5" s="1"/>
  <c r="BC86" i="5"/>
  <c r="BG86" i="5" s="1"/>
  <c r="D87" i="5" s="1"/>
  <c r="P87" i="5" s="1"/>
  <c r="BO90" i="5"/>
  <c r="CJ90" i="5"/>
  <c r="CF90" i="5"/>
  <c r="CI90" i="5" s="1"/>
  <c r="BA90" i="5"/>
  <c r="BE90" i="5"/>
  <c r="AY90" i="5"/>
  <c r="CE89" i="5"/>
  <c r="CH89" i="5" s="1"/>
  <c r="CL89" i="5" s="1"/>
  <c r="BZ90" i="5"/>
  <c r="CG90" i="5" s="1"/>
  <c r="CB90" i="5"/>
  <c r="CC90" i="5" s="1"/>
  <c r="AV90" i="5"/>
  <c r="BN90" i="5"/>
  <c r="BW83" i="5"/>
  <c r="E84" i="5" s="1"/>
  <c r="Q84" i="5" s="1"/>
  <c r="AA62" i="4"/>
  <c r="AT61" i="4" s="1"/>
  <c r="AW61" i="4" s="1"/>
  <c r="AT60" i="4"/>
  <c r="BQ90" i="5"/>
  <c r="BK91" i="5" s="1"/>
  <c r="BR84" i="5"/>
  <c r="BS84" i="5" s="1"/>
  <c r="BV85" i="5"/>
  <c r="BL88" i="5"/>
  <c r="BT87" i="5" s="1"/>
  <c r="J82" i="4"/>
  <c r="AQ63" i="4"/>
  <c r="AD63" i="4"/>
  <c r="BQ60" i="4"/>
  <c r="BJ61" i="4"/>
  <c r="Z64" i="4"/>
  <c r="AW59" i="4"/>
  <c r="AE61" i="4"/>
  <c r="AG61" i="4" s="1"/>
  <c r="AB62" i="4"/>
  <c r="AF64" i="4"/>
  <c r="AU64" i="4"/>
  <c r="CE64" i="4"/>
  <c r="Y64" i="4"/>
  <c r="BM87" i="5"/>
  <c r="BV40" i="4"/>
  <c r="BX40" i="4" s="1"/>
  <c r="CK40" i="4" s="1"/>
  <c r="CL40" i="4" s="1"/>
  <c r="CM40" i="4" s="1"/>
  <c r="CN40" i="4" s="1"/>
  <c r="F59" i="4" s="1"/>
  <c r="AK90" i="5"/>
  <c r="AO90" i="5"/>
  <c r="BU90" i="5"/>
  <c r="AI90" i="5"/>
  <c r="BK60" i="4"/>
  <c r="CD59" i="4" s="1"/>
  <c r="BM59" i="4"/>
  <c r="BO59" i="4" s="1"/>
  <c r="BL60" i="4"/>
  <c r="CH40" i="4"/>
  <c r="CI40" i="4" s="1"/>
  <c r="CJ40" i="4" s="1"/>
  <c r="CF41" i="4" s="1"/>
  <c r="F85" i="5"/>
  <c r="R85" i="5" s="1"/>
  <c r="CQ39" i="4"/>
  <c r="G58" i="4" s="1"/>
  <c r="CO89" i="5"/>
  <c r="CW88" i="5" s="1"/>
  <c r="AD93" i="5"/>
  <c r="AC94" i="5"/>
  <c r="BJ94" i="5"/>
  <c r="DT89" i="5"/>
  <c r="DU89" i="5" s="1"/>
  <c r="DA62" i="4"/>
  <c r="J89" i="5"/>
  <c r="V89" i="5" s="1"/>
  <c r="BP64" i="4"/>
  <c r="CY64" i="4"/>
  <c r="CS65" i="4" s="1"/>
  <c r="BI64" i="4"/>
  <c r="CA64" i="4" s="1"/>
  <c r="X64" i="4"/>
  <c r="K83" i="4" s="1"/>
  <c r="CV64" i="4"/>
  <c r="CT64" i="4"/>
  <c r="CZ63" i="4" s="1"/>
  <c r="CW63" i="4"/>
  <c r="CX63" i="4" s="1"/>
  <c r="DF63" i="4" s="1"/>
  <c r="CA63" i="4"/>
  <c r="DL90" i="5"/>
  <c r="DZ90" i="5"/>
  <c r="I88" i="5"/>
  <c r="U88" i="5" s="1"/>
  <c r="H88" i="5"/>
  <c r="T88" i="5" s="1"/>
  <c r="CY87" i="5"/>
  <c r="CZ87" i="5"/>
  <c r="G88" i="5" s="1"/>
  <c r="S88" i="5" s="1"/>
  <c r="CX90" i="5"/>
  <c r="N90" i="5"/>
  <c r="DC89" i="5"/>
  <c r="DK88" i="5" s="1"/>
  <c r="DM88" i="5" s="1"/>
  <c r="DQ89" i="5"/>
  <c r="DY88" i="5" s="1"/>
  <c r="EA88" i="5" s="1"/>
  <c r="CU88" i="5"/>
  <c r="CV88" i="5" s="1"/>
  <c r="CQ90" i="5"/>
  <c r="CN90" i="5"/>
  <c r="CP90" i="5"/>
  <c r="DD90" i="5"/>
  <c r="DE90" i="5"/>
  <c r="DB90" i="5"/>
  <c r="DF89" i="5"/>
  <c r="DG89" i="5" s="1"/>
  <c r="DP90" i="5"/>
  <c r="DS90" i="5"/>
  <c r="DR90" i="5"/>
  <c r="B91" i="5"/>
  <c r="DV90" i="5"/>
  <c r="BY90" i="5"/>
  <c r="CD90" i="5" s="1"/>
  <c r="DH90" i="5"/>
  <c r="AA91" i="5"/>
  <c r="CF91" i="5" s="1"/>
  <c r="CT90" i="5"/>
  <c r="AB90" i="5"/>
  <c r="K91" i="5" s="1"/>
  <c r="W91" i="5" s="1"/>
  <c r="DI88" i="5"/>
  <c r="DJ88" i="5" s="1"/>
  <c r="CR89" i="5"/>
  <c r="CS89" i="5" s="1"/>
  <c r="DW88" i="5"/>
  <c r="DX88" i="5" s="1"/>
  <c r="DH60" i="4"/>
  <c r="I79" i="4" s="1"/>
  <c r="DD61" i="4"/>
  <c r="DE61" i="4" s="1"/>
  <c r="H80" i="4" s="1"/>
  <c r="DG62" i="4"/>
  <c r="DB62" i="4"/>
  <c r="DC62" i="4" s="1"/>
  <c r="CU64" i="4"/>
  <c r="W65" i="4"/>
  <c r="C83" i="4"/>
  <c r="AV91" i="5" l="1"/>
  <c r="AX88" i="5"/>
  <c r="AZ88" i="5" s="1"/>
  <c r="AW89" i="5"/>
  <c r="BD87" i="5"/>
  <c r="BF87" i="5" s="1"/>
  <c r="BC87" i="5"/>
  <c r="BG87" i="5" s="1"/>
  <c r="D88" i="5" s="1"/>
  <c r="P88" i="5" s="1"/>
  <c r="BZ91" i="5"/>
  <c r="CB91" i="5"/>
  <c r="CC91" i="5" s="1"/>
  <c r="CE90" i="5"/>
  <c r="CH90" i="5" s="1"/>
  <c r="CL90" i="5" s="1"/>
  <c r="AC65" i="4"/>
  <c r="CA91" i="5"/>
  <c r="AU91" i="5"/>
  <c r="CJ91" i="5"/>
  <c r="CG91" i="5"/>
  <c r="AY91" i="5"/>
  <c r="BE91" i="5"/>
  <c r="BA91" i="5"/>
  <c r="BB91" i="5"/>
  <c r="CK90" i="5"/>
  <c r="AA63" i="4"/>
  <c r="AT62" i="4" s="1"/>
  <c r="AW62" i="4" s="1"/>
  <c r="BQ91" i="5"/>
  <c r="BK92" i="5" s="1"/>
  <c r="BO91" i="5"/>
  <c r="BN91" i="5"/>
  <c r="BW84" i="5"/>
  <c r="E85" i="5" s="1"/>
  <c r="Q85" i="5" s="1"/>
  <c r="BP86" i="5"/>
  <c r="BR86" i="5" s="1"/>
  <c r="BS86" i="5" s="1"/>
  <c r="BL89" i="5"/>
  <c r="BT88" i="5" s="1"/>
  <c r="BR85" i="5"/>
  <c r="BS85" i="5" s="1"/>
  <c r="J83" i="4"/>
  <c r="AL91" i="5"/>
  <c r="BQ61" i="4"/>
  <c r="BJ62" i="4"/>
  <c r="AQ64" i="4"/>
  <c r="AD64" i="4"/>
  <c r="AE62" i="4"/>
  <c r="AG62" i="4" s="1"/>
  <c r="AB63" i="4"/>
  <c r="Z65" i="4"/>
  <c r="BN64" i="4"/>
  <c r="AU65" i="4"/>
  <c r="AF65" i="4"/>
  <c r="CE65" i="4"/>
  <c r="Y65" i="4"/>
  <c r="BV86" i="5"/>
  <c r="BM88" i="5"/>
  <c r="BY40" i="4"/>
  <c r="CO40" i="4" s="1"/>
  <c r="CP40" i="4" s="1"/>
  <c r="BZ52" i="4"/>
  <c r="CB52" i="4" s="1"/>
  <c r="BU91" i="5"/>
  <c r="AK91" i="5"/>
  <c r="AO91" i="5"/>
  <c r="AI91" i="5"/>
  <c r="CC52" i="4"/>
  <c r="CO90" i="5"/>
  <c r="CW89" i="5" s="1"/>
  <c r="BR41" i="4"/>
  <c r="BS53" i="4" s="1"/>
  <c r="BT65" i="4" s="1"/>
  <c r="BU77" i="4" s="1"/>
  <c r="F86" i="5"/>
  <c r="R86" i="5" s="1"/>
  <c r="BK61" i="4"/>
  <c r="BM60" i="4"/>
  <c r="BO60" i="4" s="1"/>
  <c r="BL61" i="4"/>
  <c r="CG41" i="4"/>
  <c r="CH41" i="4" s="1"/>
  <c r="CI41" i="4" s="1"/>
  <c r="CJ41" i="4" s="1"/>
  <c r="AD94" i="5"/>
  <c r="AC95" i="5"/>
  <c r="BJ95" i="5"/>
  <c r="DA63" i="4"/>
  <c r="J90" i="5"/>
  <c r="V90" i="5" s="1"/>
  <c r="CT65" i="4"/>
  <c r="CZ64" i="4" s="1"/>
  <c r="CV65" i="4"/>
  <c r="CW64" i="4"/>
  <c r="CX64" i="4" s="1"/>
  <c r="DF64" i="4" s="1"/>
  <c r="BP65" i="4"/>
  <c r="CY65" i="4"/>
  <c r="CS66" i="4" s="1"/>
  <c r="BI65" i="4"/>
  <c r="X65" i="4"/>
  <c r="K84" i="4" s="1"/>
  <c r="DL91" i="5"/>
  <c r="DZ91" i="5"/>
  <c r="EB88" i="5"/>
  <c r="I89" i="5" s="1"/>
  <c r="U89" i="5" s="1"/>
  <c r="DN88" i="5"/>
  <c r="H89" i="5" s="1"/>
  <c r="T89" i="5" s="1"/>
  <c r="CX91" i="5"/>
  <c r="CZ88" i="5"/>
  <c r="G89" i="5" s="1"/>
  <c r="S89" i="5" s="1"/>
  <c r="CY88" i="5"/>
  <c r="N91" i="5"/>
  <c r="DG63" i="4"/>
  <c r="DC90" i="5"/>
  <c r="DK89" i="5" s="1"/>
  <c r="DM89" i="5" s="1"/>
  <c r="DQ90" i="5"/>
  <c r="DY89" i="5" s="1"/>
  <c r="EA89" i="5" s="1"/>
  <c r="CU89" i="5"/>
  <c r="CV89" i="5" s="1"/>
  <c r="DI89" i="5"/>
  <c r="DJ89" i="5" s="1"/>
  <c r="DF90" i="5"/>
  <c r="DG90" i="5" s="1"/>
  <c r="CP91" i="5"/>
  <c r="CQ91" i="5"/>
  <c r="CN91" i="5"/>
  <c r="DD91" i="5"/>
  <c r="DB91" i="5"/>
  <c r="DE91" i="5"/>
  <c r="DW89" i="5"/>
  <c r="DX89" i="5" s="1"/>
  <c r="DV91" i="5"/>
  <c r="CT91" i="5"/>
  <c r="DH91" i="5"/>
  <c r="BY91" i="5"/>
  <c r="CD91" i="5" s="1"/>
  <c r="B92" i="5"/>
  <c r="A81" i="5" s="1"/>
  <c r="AA92" i="5"/>
  <c r="AB91" i="5"/>
  <c r="K92" i="5" s="1"/>
  <c r="W92" i="5" s="1"/>
  <c r="DR91" i="5"/>
  <c r="DS91" i="5"/>
  <c r="DP91" i="5"/>
  <c r="CR90" i="5"/>
  <c r="CS90" i="5" s="1"/>
  <c r="DT90" i="5"/>
  <c r="DU90" i="5" s="1"/>
  <c r="DD62" i="4"/>
  <c r="DE62" i="4" s="1"/>
  <c r="H81" i="4" s="1"/>
  <c r="DH61" i="4"/>
  <c r="I80" i="4" s="1"/>
  <c r="DB63" i="4"/>
  <c r="DC63" i="4" s="1"/>
  <c r="CU65" i="4"/>
  <c r="W66" i="4"/>
  <c r="BQ66" i="4" s="1"/>
  <c r="C84" i="4"/>
  <c r="AA64" i="4" l="1"/>
  <c r="AA65" i="4" s="1"/>
  <c r="BO92" i="5"/>
  <c r="CF92" i="5"/>
  <c r="CI92" i="5" s="1"/>
  <c r="CD92" i="5"/>
  <c r="CJ92" i="5"/>
  <c r="BA92" i="5"/>
  <c r="AY92" i="5"/>
  <c r="BE92" i="5"/>
  <c r="AC66" i="4"/>
  <c r="AX89" i="5"/>
  <c r="AZ89" i="5" s="1"/>
  <c r="AW90" i="5"/>
  <c r="BD88" i="5"/>
  <c r="BF88" i="5" s="1"/>
  <c r="BC88" i="5"/>
  <c r="BG88" i="5" s="1"/>
  <c r="D89" i="5" s="1"/>
  <c r="P89" i="5" s="1"/>
  <c r="CE91" i="5"/>
  <c r="BW85" i="5"/>
  <c r="E86" i="5" s="1"/>
  <c r="Q86" i="5" s="1"/>
  <c r="BW86" i="5"/>
  <c r="E87" i="5" s="1"/>
  <c r="Q87" i="5" s="1"/>
  <c r="BP87" i="5"/>
  <c r="BR87" i="5" s="1"/>
  <c r="BS87" i="5" s="1"/>
  <c r="BQ92" i="5"/>
  <c r="BK93" i="5" s="1"/>
  <c r="BL90" i="5"/>
  <c r="BT89" i="5" s="1"/>
  <c r="J84" i="4"/>
  <c r="AQ65" i="4"/>
  <c r="AD65" i="4"/>
  <c r="BQ62" i="4"/>
  <c r="BJ63" i="4"/>
  <c r="BN65" i="4"/>
  <c r="AF66" i="4"/>
  <c r="Y66" i="4"/>
  <c r="AE63" i="4"/>
  <c r="AG63" i="4" s="1"/>
  <c r="AB64" i="4"/>
  <c r="Z66" i="4"/>
  <c r="CQ40" i="4"/>
  <c r="G59" i="4" s="1"/>
  <c r="CD60" i="4"/>
  <c r="BM89" i="5"/>
  <c r="BV87" i="5"/>
  <c r="BV41" i="4"/>
  <c r="BX41" i="4" s="1"/>
  <c r="CK41" i="4" s="1"/>
  <c r="CL41" i="4" s="1"/>
  <c r="CM41" i="4" s="1"/>
  <c r="CN41" i="4" s="1"/>
  <c r="F60" i="4" s="1"/>
  <c r="AI92" i="5"/>
  <c r="BU92" i="5"/>
  <c r="AK92" i="5"/>
  <c r="AO92" i="5"/>
  <c r="CO91" i="5"/>
  <c r="CW90" i="5" s="1"/>
  <c r="BK62" i="4"/>
  <c r="CD61" i="4" s="1"/>
  <c r="BM61" i="4"/>
  <c r="BO61" i="4" s="1"/>
  <c r="BL62" i="4"/>
  <c r="F87" i="5"/>
  <c r="R87" i="5" s="1"/>
  <c r="BR42" i="4"/>
  <c r="BS54" i="4" s="1"/>
  <c r="BT66" i="4" s="1"/>
  <c r="BU78" i="4" s="1"/>
  <c r="AD95" i="5"/>
  <c r="AC96" i="5"/>
  <c r="BJ96" i="5"/>
  <c r="DT91" i="5"/>
  <c r="DU91" i="5" s="1"/>
  <c r="DS92" i="5" s="1"/>
  <c r="DA64" i="4"/>
  <c r="CV66" i="4"/>
  <c r="J91" i="5"/>
  <c r="V91" i="5" s="1"/>
  <c r="CT66" i="4"/>
  <c r="CZ65" i="4" s="1"/>
  <c r="BP66" i="4"/>
  <c r="CY66" i="4"/>
  <c r="CS67" i="4" s="1"/>
  <c r="BI66" i="4"/>
  <c r="X66" i="4"/>
  <c r="K85" i="4" s="1"/>
  <c r="CW65" i="4"/>
  <c r="CX65" i="4" s="1"/>
  <c r="DF65" i="4" s="1"/>
  <c r="CA65" i="4"/>
  <c r="DL92" i="5"/>
  <c r="DZ92" i="5"/>
  <c r="EB89" i="5"/>
  <c r="I90" i="5" s="1"/>
  <c r="U90" i="5" s="1"/>
  <c r="DN89" i="5"/>
  <c r="H90" i="5" s="1"/>
  <c r="T90" i="5" s="1"/>
  <c r="CZ89" i="5"/>
  <c r="G90" i="5" s="1"/>
  <c r="S90" i="5" s="1"/>
  <c r="CY89" i="5"/>
  <c r="CX92" i="5"/>
  <c r="N92" i="5"/>
  <c r="DC91" i="5"/>
  <c r="DK90" i="5" s="1"/>
  <c r="DM90" i="5" s="1"/>
  <c r="DQ91" i="5"/>
  <c r="DY90" i="5" s="1"/>
  <c r="EA90" i="5" s="1"/>
  <c r="CR91" i="5"/>
  <c r="CS91" i="5" s="1"/>
  <c r="DI90" i="5"/>
  <c r="DJ90" i="5" s="1"/>
  <c r="DN90" i="5" s="1"/>
  <c r="CU90" i="5"/>
  <c r="CV90" i="5" s="1"/>
  <c r="DW90" i="5"/>
  <c r="DX90" i="5" s="1"/>
  <c r="DV92" i="5"/>
  <c r="CT92" i="5"/>
  <c r="B93" i="5"/>
  <c r="BY92" i="5"/>
  <c r="AA93" i="5"/>
  <c r="DH92" i="5"/>
  <c r="AB92" i="5"/>
  <c r="K93" i="5" s="1"/>
  <c r="W93" i="5" s="1"/>
  <c r="DD92" i="5"/>
  <c r="DB92" i="5"/>
  <c r="DF91" i="5"/>
  <c r="DG91" i="5" s="1"/>
  <c r="CP92" i="5"/>
  <c r="CN92" i="5"/>
  <c r="DR92" i="5"/>
  <c r="DP92" i="5"/>
  <c r="DH62" i="4"/>
  <c r="I81" i="4" s="1"/>
  <c r="DD63" i="4"/>
  <c r="DH63" i="4" s="1"/>
  <c r="I82" i="4" s="1"/>
  <c r="DG64" i="4"/>
  <c r="DB64" i="4"/>
  <c r="DC64" i="4" s="1"/>
  <c r="CU66" i="4"/>
  <c r="W67" i="4"/>
  <c r="C85" i="4"/>
  <c r="AT63" i="4" l="1"/>
  <c r="AW63" i="4" s="1"/>
  <c r="CH91" i="5"/>
  <c r="CI91" i="5" s="1"/>
  <c r="BO93" i="5"/>
  <c r="CF93" i="5"/>
  <c r="CI93" i="5" s="1"/>
  <c r="CD93" i="5"/>
  <c r="CJ93" i="5"/>
  <c r="BA93" i="5"/>
  <c r="BE93" i="5"/>
  <c r="AY93" i="5"/>
  <c r="AX90" i="5"/>
  <c r="AZ90" i="5" s="1"/>
  <c r="AW91" i="5"/>
  <c r="AX91" i="5" s="1"/>
  <c r="AZ91" i="5" s="1"/>
  <c r="BD89" i="5"/>
  <c r="BF89" i="5" s="1"/>
  <c r="BC89" i="5"/>
  <c r="BG89" i="5" s="1"/>
  <c r="D90" i="5" s="1"/>
  <c r="P90" i="5" s="1"/>
  <c r="J85" i="4"/>
  <c r="BW87" i="5"/>
  <c r="E88" i="5" s="1"/>
  <c r="Q88" i="5" s="1"/>
  <c r="AT64" i="4"/>
  <c r="AW64" i="4" s="1"/>
  <c r="BP88" i="5"/>
  <c r="BR88" i="5" s="1"/>
  <c r="BS88" i="5" s="1"/>
  <c r="BW88" i="5" s="1"/>
  <c r="E89" i="5" s="1"/>
  <c r="Q89" i="5" s="1"/>
  <c r="BQ93" i="5"/>
  <c r="BK94" i="5" s="1"/>
  <c r="BL91" i="5"/>
  <c r="BT90" i="5" s="1"/>
  <c r="BQ63" i="4"/>
  <c r="BJ64" i="4"/>
  <c r="AQ66" i="4"/>
  <c r="AD66" i="4"/>
  <c r="AA66" i="4"/>
  <c r="BN66" i="4"/>
  <c r="AE64" i="4"/>
  <c r="AG64" i="4" s="1"/>
  <c r="AB65" i="4"/>
  <c r="Z67" i="4"/>
  <c r="AF67" i="4"/>
  <c r="CE67" i="4"/>
  <c r="AU67" i="4"/>
  <c r="Y67" i="4"/>
  <c r="BN67" i="4"/>
  <c r="BY41" i="4"/>
  <c r="CO41" i="4" s="1"/>
  <c r="CP41" i="4" s="1"/>
  <c r="CQ41" i="4" s="1"/>
  <c r="G60" i="4" s="1"/>
  <c r="BV88" i="5"/>
  <c r="BM90" i="5"/>
  <c r="CC53" i="4"/>
  <c r="BU93" i="5"/>
  <c r="AK93" i="5"/>
  <c r="AO93" i="5"/>
  <c r="AI93" i="5"/>
  <c r="BZ53" i="4"/>
  <c r="CB53" i="4" s="1"/>
  <c r="CO92" i="5"/>
  <c r="CW91" i="5" s="1"/>
  <c r="BM62" i="4"/>
  <c r="BO62" i="4" s="1"/>
  <c r="BL63" i="4"/>
  <c r="F88" i="5"/>
  <c r="R88" i="5" s="1"/>
  <c r="BK63" i="4"/>
  <c r="CD62" i="4" s="1"/>
  <c r="BV42" i="4"/>
  <c r="BX42" i="4" s="1"/>
  <c r="AD96" i="5"/>
  <c r="AC97" i="5"/>
  <c r="BJ97" i="5"/>
  <c r="DT92" i="5"/>
  <c r="DU92" i="5" s="1"/>
  <c r="DA65" i="4"/>
  <c r="N93" i="5"/>
  <c r="J92" i="5"/>
  <c r="V92" i="5" s="1"/>
  <c r="CT67" i="4"/>
  <c r="CZ66" i="4" s="1"/>
  <c r="BP67" i="4"/>
  <c r="CY67" i="4"/>
  <c r="CS68" i="4" s="1"/>
  <c r="BI67" i="4"/>
  <c r="X67" i="4"/>
  <c r="K86" i="4" s="1"/>
  <c r="CW66" i="4"/>
  <c r="CX66" i="4" s="1"/>
  <c r="DF66" i="4" s="1"/>
  <c r="CA66" i="4"/>
  <c r="DL93" i="5"/>
  <c r="DZ93" i="5"/>
  <c r="EB90" i="5"/>
  <c r="I91" i="5" s="1"/>
  <c r="U91" i="5" s="1"/>
  <c r="H91" i="5"/>
  <c r="T91" i="5" s="1"/>
  <c r="CY90" i="5"/>
  <c r="CZ90" i="5"/>
  <c r="G91" i="5" s="1"/>
  <c r="S91" i="5" s="1"/>
  <c r="CX93" i="5"/>
  <c r="DB65" i="4"/>
  <c r="DC65" i="4" s="1"/>
  <c r="DC92" i="5"/>
  <c r="DK91" i="5" s="1"/>
  <c r="DM91" i="5" s="1"/>
  <c r="DQ92" i="5"/>
  <c r="DY91" i="5" s="1"/>
  <c r="EA91" i="5" s="1"/>
  <c r="DI91" i="5"/>
  <c r="DJ91" i="5" s="1"/>
  <c r="DE92" i="5"/>
  <c r="DF92" i="5"/>
  <c r="CR92" i="5"/>
  <c r="CU91" i="5"/>
  <c r="CV91" i="5" s="1"/>
  <c r="DB93" i="5"/>
  <c r="DD93" i="5"/>
  <c r="B94" i="5"/>
  <c r="AA94" i="5"/>
  <c r="DV93" i="5"/>
  <c r="DH93" i="5"/>
  <c r="CT93" i="5"/>
  <c r="BY93" i="5"/>
  <c r="AB93" i="5"/>
  <c r="K94" i="5" s="1"/>
  <c r="W94" i="5" s="1"/>
  <c r="CN93" i="5"/>
  <c r="CP93" i="5"/>
  <c r="DP93" i="5"/>
  <c r="DS93" i="5"/>
  <c r="DR93" i="5"/>
  <c r="CQ92" i="5"/>
  <c r="CQ93" i="5" s="1"/>
  <c r="DW91" i="5"/>
  <c r="DX91" i="5" s="1"/>
  <c r="DD64" i="4"/>
  <c r="DE64" i="4" s="1"/>
  <c r="H83" i="4" s="1"/>
  <c r="DE63" i="4"/>
  <c r="H82" i="4" s="1"/>
  <c r="DG65" i="4"/>
  <c r="CU67" i="4"/>
  <c r="W68" i="4"/>
  <c r="C86" i="4"/>
  <c r="B85" i="4" s="1"/>
  <c r="CK91" i="5" l="1"/>
  <c r="BZ92" i="5" s="1"/>
  <c r="CL91" i="5"/>
  <c r="BD90" i="5"/>
  <c r="BF90" i="5" s="1"/>
  <c r="BC90" i="5"/>
  <c r="BG90" i="5" s="1"/>
  <c r="D91" i="5" s="1"/>
  <c r="P91" i="5" s="1"/>
  <c r="BD91" i="5"/>
  <c r="BC91" i="5"/>
  <c r="BO94" i="5"/>
  <c r="CF94" i="5"/>
  <c r="CI94" i="5" s="1"/>
  <c r="CD94" i="5"/>
  <c r="BA94" i="5"/>
  <c r="AY94" i="5"/>
  <c r="BE94" i="5"/>
  <c r="CJ94" i="5"/>
  <c r="CA92" i="5"/>
  <c r="CA93" i="5" s="1"/>
  <c r="CA94" i="5" s="1"/>
  <c r="AT65" i="4"/>
  <c r="AW65" i="4" s="1"/>
  <c r="BP89" i="5"/>
  <c r="BR89" i="5" s="1"/>
  <c r="BS89" i="5" s="1"/>
  <c r="BW89" i="5" s="1"/>
  <c r="E90" i="5" s="1"/>
  <c r="Q90" i="5" s="1"/>
  <c r="BQ94" i="5"/>
  <c r="BK95" i="5" s="1"/>
  <c r="BL92" i="5"/>
  <c r="BT91" i="5" s="1"/>
  <c r="AQ67" i="4"/>
  <c r="AD67" i="4"/>
  <c r="BQ64" i="4"/>
  <c r="BJ65" i="4"/>
  <c r="AA67" i="4"/>
  <c r="Z68" i="4"/>
  <c r="AE65" i="4"/>
  <c r="AG65" i="4" s="1"/>
  <c r="AB66" i="4"/>
  <c r="AU68" i="4"/>
  <c r="AF68" i="4"/>
  <c r="CE68" i="4"/>
  <c r="BN68" i="4"/>
  <c r="Y68" i="4"/>
  <c r="BV89" i="5"/>
  <c r="BM91" i="5"/>
  <c r="BY42" i="4"/>
  <c r="CO42" i="4" s="1"/>
  <c r="CE42" i="4"/>
  <c r="CF42" i="4" s="1"/>
  <c r="CG42" i="4" s="1"/>
  <c r="CH42" i="4" s="1"/>
  <c r="CO93" i="5"/>
  <c r="CW92" i="5" s="1"/>
  <c r="BU94" i="5"/>
  <c r="AK94" i="5"/>
  <c r="AO94" i="5"/>
  <c r="AI94" i="5"/>
  <c r="CC54" i="4"/>
  <c r="BZ54" i="4"/>
  <c r="CB54" i="4" s="1"/>
  <c r="BM63" i="4"/>
  <c r="BO63" i="4" s="1"/>
  <c r="BL64" i="4"/>
  <c r="CK42" i="4"/>
  <c r="F89" i="5"/>
  <c r="R89" i="5" s="1"/>
  <c r="BK64" i="4"/>
  <c r="CD63" i="4" s="1"/>
  <c r="DE93" i="5"/>
  <c r="AD97" i="5"/>
  <c r="AC98" i="5"/>
  <c r="BJ98" i="5"/>
  <c r="CR93" i="5"/>
  <c r="CS93" i="5" s="1"/>
  <c r="DA66" i="4"/>
  <c r="J93" i="5"/>
  <c r="V93" i="5" s="1"/>
  <c r="J86" i="4"/>
  <c r="CW67" i="4"/>
  <c r="CA67" i="4"/>
  <c r="CY68" i="4"/>
  <c r="CS69" i="4" s="1"/>
  <c r="BP68" i="4"/>
  <c r="BI68" i="4"/>
  <c r="X68" i="4"/>
  <c r="K87" i="4" s="1"/>
  <c r="CT68" i="4"/>
  <c r="CZ67" i="4" s="1"/>
  <c r="DL94" i="5"/>
  <c r="DZ94" i="5"/>
  <c r="EB91" i="5"/>
  <c r="I92" i="5" s="1"/>
  <c r="U92" i="5" s="1"/>
  <c r="DN91" i="5"/>
  <c r="H92" i="5" s="1"/>
  <c r="T92" i="5" s="1"/>
  <c r="CX94" i="5"/>
  <c r="CY91" i="5"/>
  <c r="CZ91" i="5"/>
  <c r="G92" i="5" s="1"/>
  <c r="S92" i="5" s="1"/>
  <c r="N94" i="5"/>
  <c r="CV67" i="4"/>
  <c r="CV68" i="4" s="1"/>
  <c r="DG66" i="4"/>
  <c r="DC93" i="5"/>
  <c r="DK92" i="5" s="1"/>
  <c r="DM92" i="5" s="1"/>
  <c r="DQ93" i="5"/>
  <c r="DY92" i="5" s="1"/>
  <c r="EA92" i="5" s="1"/>
  <c r="DD65" i="4"/>
  <c r="DH65" i="4" s="1"/>
  <c r="I84" i="4" s="1"/>
  <c r="DH64" i="4"/>
  <c r="I83" i="4" s="1"/>
  <c r="CS92" i="5"/>
  <c r="CU92" i="5" s="1"/>
  <c r="CV92" i="5" s="1"/>
  <c r="DT93" i="5"/>
  <c r="DU93" i="5" s="1"/>
  <c r="CQ94" i="5"/>
  <c r="CN94" i="5"/>
  <c r="CP94" i="5"/>
  <c r="DG92" i="5"/>
  <c r="DB94" i="5"/>
  <c r="DD94" i="5"/>
  <c r="DF93" i="5"/>
  <c r="DR94" i="5"/>
  <c r="DS94" i="5"/>
  <c r="DP94" i="5"/>
  <c r="B95" i="5"/>
  <c r="DV94" i="5"/>
  <c r="BY94" i="5"/>
  <c r="DH94" i="5"/>
  <c r="CT94" i="5"/>
  <c r="AA95" i="5"/>
  <c r="AB94" i="5"/>
  <c r="K95" i="5" s="1"/>
  <c r="W95" i="5" s="1"/>
  <c r="DW92" i="5"/>
  <c r="DX92" i="5" s="1"/>
  <c r="DB66" i="4"/>
  <c r="DC66" i="4" s="1"/>
  <c r="W69" i="4"/>
  <c r="C87" i="4"/>
  <c r="CU68" i="4"/>
  <c r="CA95" i="5" l="1"/>
  <c r="CK92" i="5"/>
  <c r="CK93" i="5" s="1"/>
  <c r="CK94" i="5" s="1"/>
  <c r="BF91" i="5"/>
  <c r="AU92" i="5" s="1"/>
  <c r="BG91" i="5"/>
  <c r="D92" i="5" s="1"/>
  <c r="P92" i="5" s="1"/>
  <c r="BO95" i="5"/>
  <c r="CF95" i="5"/>
  <c r="CI95" i="5" s="1"/>
  <c r="CD95" i="5"/>
  <c r="CJ95" i="5"/>
  <c r="BE95" i="5"/>
  <c r="AY95" i="5"/>
  <c r="BA95" i="5"/>
  <c r="BZ93" i="5"/>
  <c r="BZ94" i="5" s="1"/>
  <c r="BZ95" i="5" s="1"/>
  <c r="CB92" i="5"/>
  <c r="AA68" i="4"/>
  <c r="AT67" i="4" s="1"/>
  <c r="AW67" i="4" s="1"/>
  <c r="AT66" i="4"/>
  <c r="BP90" i="5"/>
  <c r="BR90" i="5" s="1"/>
  <c r="BS90" i="5" s="1"/>
  <c r="BW90" i="5" s="1"/>
  <c r="E91" i="5" s="1"/>
  <c r="Q91" i="5" s="1"/>
  <c r="BP91" i="5"/>
  <c r="BQ95" i="5"/>
  <c r="BK96" i="5" s="1"/>
  <c r="BL93" i="5"/>
  <c r="BT92" i="5" s="1"/>
  <c r="AQ68" i="4"/>
  <c r="AD68" i="4"/>
  <c r="BQ65" i="4"/>
  <c r="BJ66" i="4"/>
  <c r="CO94" i="5"/>
  <c r="CW93" i="5" s="1"/>
  <c r="AF69" i="4"/>
  <c r="AU69" i="4"/>
  <c r="CE69" i="4"/>
  <c r="BN69" i="4"/>
  <c r="Y69" i="4"/>
  <c r="AE66" i="4"/>
  <c r="AB67" i="4"/>
  <c r="Z69" i="4"/>
  <c r="BV90" i="5"/>
  <c r="CP42" i="4"/>
  <c r="CL42" i="4"/>
  <c r="CM42" i="4" s="1"/>
  <c r="BU95" i="5"/>
  <c r="AO95" i="5"/>
  <c r="AK95" i="5"/>
  <c r="AI95" i="5"/>
  <c r="F90" i="5"/>
  <c r="R90" i="5" s="1"/>
  <c r="BM64" i="4"/>
  <c r="BO64" i="4" s="1"/>
  <c r="BL65" i="4"/>
  <c r="BK65" i="4"/>
  <c r="CD64" i="4" s="1"/>
  <c r="CI42" i="4"/>
  <c r="BR43" i="4" s="1"/>
  <c r="BS55" i="4" s="1"/>
  <c r="BT67" i="4" s="1"/>
  <c r="BU79" i="4" s="1"/>
  <c r="DE94" i="5"/>
  <c r="DE95" i="5" s="1"/>
  <c r="AD98" i="5"/>
  <c r="AC99" i="5"/>
  <c r="DG93" i="5"/>
  <c r="DI93" i="5" s="1"/>
  <c r="DJ93" i="5" s="1"/>
  <c r="BJ99" i="5"/>
  <c r="CR94" i="5"/>
  <c r="CS94" i="5" s="1"/>
  <c r="DA67" i="4"/>
  <c r="J87" i="4"/>
  <c r="J17" i="4" s="1"/>
  <c r="J94" i="5"/>
  <c r="V94" i="5" s="1"/>
  <c r="CV69" i="4"/>
  <c r="CW68" i="4"/>
  <c r="CA68" i="4"/>
  <c r="CY69" i="4"/>
  <c r="CS70" i="4" s="1"/>
  <c r="BP69" i="4"/>
  <c r="BI69" i="4"/>
  <c r="X69" i="4"/>
  <c r="K88" i="4" s="1"/>
  <c r="CT69" i="4"/>
  <c r="CZ68" i="4" s="1"/>
  <c r="DL95" i="5"/>
  <c r="DZ95" i="5"/>
  <c r="EB92" i="5"/>
  <c r="I93" i="5" s="1"/>
  <c r="U93" i="5" s="1"/>
  <c r="CY92" i="5"/>
  <c r="CZ92" i="5"/>
  <c r="G93" i="5" s="1"/>
  <c r="S93" i="5" s="1"/>
  <c r="CX95" i="5"/>
  <c r="DC94" i="5"/>
  <c r="DK93" i="5" s="1"/>
  <c r="DM93" i="5" s="1"/>
  <c r="N95" i="5"/>
  <c r="DE65" i="4"/>
  <c r="H84" i="4" s="1"/>
  <c r="DD66" i="4"/>
  <c r="DE66" i="4" s="1"/>
  <c r="H85" i="4" s="1"/>
  <c r="DQ94" i="5"/>
  <c r="DY93" i="5" s="1"/>
  <c r="EA93" i="5" s="1"/>
  <c r="DF94" i="5"/>
  <c r="DT94" i="5"/>
  <c r="DU94" i="5" s="1"/>
  <c r="B96" i="5"/>
  <c r="DV95" i="5"/>
  <c r="CT95" i="5"/>
  <c r="DH95" i="5"/>
  <c r="BY95" i="5"/>
  <c r="AA96" i="5"/>
  <c r="AB95" i="5"/>
  <c r="K96" i="5" s="1"/>
  <c r="W96" i="5" s="1"/>
  <c r="DW93" i="5"/>
  <c r="DX93" i="5" s="1"/>
  <c r="CP95" i="5"/>
  <c r="CN95" i="5"/>
  <c r="CQ95" i="5"/>
  <c r="DI92" i="5"/>
  <c r="DJ92" i="5" s="1"/>
  <c r="CU93" i="5"/>
  <c r="CV93" i="5" s="1"/>
  <c r="DD95" i="5"/>
  <c r="DB95" i="5"/>
  <c r="DR95" i="5"/>
  <c r="DS95" i="5"/>
  <c r="DP95" i="5"/>
  <c r="CX67" i="4"/>
  <c r="DF67" i="4" s="1"/>
  <c r="CU69" i="4"/>
  <c r="C88" i="4"/>
  <c r="W70" i="4"/>
  <c r="BZ96" i="5" l="1"/>
  <c r="CK95" i="5"/>
  <c r="BO96" i="5"/>
  <c r="CJ96" i="5"/>
  <c r="CF96" i="5"/>
  <c r="CI96" i="5" s="1"/>
  <c r="CD96" i="5"/>
  <c r="BA96" i="5"/>
  <c r="AY96" i="5"/>
  <c r="BE96" i="5"/>
  <c r="CC92" i="5"/>
  <c r="CE92" i="5" s="1"/>
  <c r="CB93" i="5"/>
  <c r="AU93" i="5"/>
  <c r="AW92" i="5"/>
  <c r="CA96" i="5"/>
  <c r="CA97" i="5" s="1"/>
  <c r="BZ97" i="5"/>
  <c r="AV92" i="5"/>
  <c r="AV93" i="5" s="1"/>
  <c r="AV94" i="5" s="1"/>
  <c r="AV95" i="5" s="1"/>
  <c r="AV96" i="5" s="1"/>
  <c r="AA69" i="4"/>
  <c r="AT68" i="4" s="1"/>
  <c r="AW68" i="4" s="1"/>
  <c r="BR91" i="5"/>
  <c r="BS91" i="5" s="1"/>
  <c r="BW91" i="5" s="1"/>
  <c r="E92" i="5" s="1"/>
  <c r="Q92" i="5" s="1"/>
  <c r="BN92" i="5"/>
  <c r="BN93" i="5" s="1"/>
  <c r="BN94" i="5" s="1"/>
  <c r="BN95" i="5" s="1"/>
  <c r="BN96" i="5" s="1"/>
  <c r="AG66" i="4"/>
  <c r="AC67" i="4"/>
  <c r="AC68" i="4" s="1"/>
  <c r="AC69" i="4" s="1"/>
  <c r="AC70" i="4" s="1"/>
  <c r="BQ96" i="5"/>
  <c r="BK97" i="5" s="1"/>
  <c r="BL94" i="5"/>
  <c r="BT93" i="5" s="1"/>
  <c r="AQ69" i="4"/>
  <c r="AD69" i="4"/>
  <c r="Z70" i="4"/>
  <c r="CO95" i="5"/>
  <c r="CW94" i="5" s="1"/>
  <c r="CQ42" i="4"/>
  <c r="G61" i="4" s="1"/>
  <c r="AB68" i="4"/>
  <c r="AF70" i="4"/>
  <c r="CE70" i="4"/>
  <c r="AU70" i="4"/>
  <c r="BN70" i="4"/>
  <c r="Y70" i="4"/>
  <c r="BU96" i="5"/>
  <c r="AK96" i="5"/>
  <c r="AO96" i="5"/>
  <c r="AI96" i="5"/>
  <c r="CJ42" i="4"/>
  <c r="CF43" i="4" s="1"/>
  <c r="BV43" i="4"/>
  <c r="BX43" i="4" s="1"/>
  <c r="F91" i="5"/>
  <c r="R91" i="5" s="1"/>
  <c r="BM65" i="4"/>
  <c r="BO65" i="4" s="1"/>
  <c r="BL66" i="4"/>
  <c r="BM66" i="4" s="1"/>
  <c r="BO66" i="4" s="1"/>
  <c r="CN42" i="4"/>
  <c r="F61" i="4" s="1"/>
  <c r="BK66" i="4"/>
  <c r="CD65" i="4" s="1"/>
  <c r="DG94" i="5"/>
  <c r="DI94" i="5" s="1"/>
  <c r="DJ94" i="5" s="1"/>
  <c r="AD99" i="5"/>
  <c r="AC100" i="5"/>
  <c r="BJ100" i="5"/>
  <c r="DF95" i="5"/>
  <c r="DG95" i="5" s="1"/>
  <c r="DI95" i="5" s="1"/>
  <c r="DJ95" i="5" s="1"/>
  <c r="DA68" i="4"/>
  <c r="J88" i="4"/>
  <c r="J95" i="5"/>
  <c r="V95" i="5" s="1"/>
  <c r="CV70" i="4"/>
  <c r="CT70" i="4"/>
  <c r="CZ69" i="4" s="1"/>
  <c r="CW69" i="4"/>
  <c r="CA69" i="4"/>
  <c r="CY70" i="4"/>
  <c r="CS71" i="4" s="1"/>
  <c r="BP70" i="4"/>
  <c r="BI70" i="4"/>
  <c r="X70" i="4"/>
  <c r="K89" i="4" s="1"/>
  <c r="DL96" i="5"/>
  <c r="DZ96" i="5"/>
  <c r="EB93" i="5"/>
  <c r="I94" i="5" s="1"/>
  <c r="U94" i="5" s="1"/>
  <c r="DN92" i="5"/>
  <c r="H93" i="5" s="1"/>
  <c r="T93" i="5" s="1"/>
  <c r="DN93" i="5"/>
  <c r="H94" i="5" s="1"/>
  <c r="T94" i="5" s="1"/>
  <c r="CX96" i="5"/>
  <c r="CY93" i="5"/>
  <c r="CZ93" i="5"/>
  <c r="G94" i="5" s="1"/>
  <c r="S94" i="5" s="1"/>
  <c r="DC95" i="5"/>
  <c r="DK94" i="5" s="1"/>
  <c r="DM94" i="5" s="1"/>
  <c r="N96" i="5"/>
  <c r="DH66" i="4"/>
  <c r="I85" i="4" s="1"/>
  <c r="DQ95" i="5"/>
  <c r="DY94" i="5" s="1"/>
  <c r="EA94" i="5" s="1"/>
  <c r="DT95" i="5"/>
  <c r="DU95" i="5" s="1"/>
  <c r="DW95" i="5" s="1"/>
  <c r="DX95" i="5" s="1"/>
  <c r="CR95" i="5"/>
  <c r="CS95" i="5" s="1"/>
  <c r="DE96" i="5"/>
  <c r="DB96" i="5"/>
  <c r="DD96" i="5"/>
  <c r="CQ96" i="5"/>
  <c r="CN96" i="5"/>
  <c r="CP96" i="5"/>
  <c r="DS96" i="5"/>
  <c r="DR96" i="5"/>
  <c r="DP96" i="5"/>
  <c r="B97" i="5"/>
  <c r="AA97" i="5"/>
  <c r="CT96" i="5"/>
  <c r="DV96" i="5"/>
  <c r="DH96" i="5"/>
  <c r="BY96" i="5"/>
  <c r="AB96" i="5"/>
  <c r="K97" i="5" s="1"/>
  <c r="W97" i="5" s="1"/>
  <c r="DW94" i="5"/>
  <c r="DX94" i="5" s="1"/>
  <c r="CU94" i="5"/>
  <c r="CV94" i="5" s="1"/>
  <c r="DG67" i="4"/>
  <c r="DB67" i="4"/>
  <c r="DC67" i="4" s="1"/>
  <c r="CX68" i="4"/>
  <c r="DF68" i="4" s="1"/>
  <c r="CU70" i="4"/>
  <c r="W71" i="4"/>
  <c r="C89" i="4"/>
  <c r="BB93" i="5" l="1"/>
  <c r="AU94" i="5"/>
  <c r="BO97" i="5"/>
  <c r="CF97" i="5"/>
  <c r="CI97" i="5" s="1"/>
  <c r="CJ97" i="5"/>
  <c r="CD97" i="5"/>
  <c r="BA97" i="5"/>
  <c r="BE97" i="5"/>
  <c r="AY97" i="5"/>
  <c r="AA70" i="4"/>
  <c r="AT69" i="4" s="1"/>
  <c r="AW69" i="4" s="1"/>
  <c r="AV97" i="5"/>
  <c r="CC93" i="5"/>
  <c r="CE93" i="5" s="1"/>
  <c r="CB94" i="5"/>
  <c r="CK96" i="5"/>
  <c r="CG92" i="5"/>
  <c r="CH92" i="5" s="1"/>
  <c r="CL92" i="5" s="1"/>
  <c r="CA98" i="5"/>
  <c r="AX92" i="5"/>
  <c r="AZ92" i="5" s="1"/>
  <c r="AW93" i="5"/>
  <c r="BN97" i="5"/>
  <c r="AC71" i="4"/>
  <c r="AE67" i="4"/>
  <c r="AG67" i="4" s="1"/>
  <c r="BQ97" i="5"/>
  <c r="BK98" i="5" s="1"/>
  <c r="BL95" i="5"/>
  <c r="BT94" i="5" s="1"/>
  <c r="CO96" i="5"/>
  <c r="CW95" i="5" s="1"/>
  <c r="AQ70" i="4"/>
  <c r="AD70" i="4"/>
  <c r="E12" i="5"/>
  <c r="E28" i="5" s="1"/>
  <c r="AE68" i="4"/>
  <c r="AG68" i="4" s="1"/>
  <c r="AB69" i="4"/>
  <c r="AF71" i="4"/>
  <c r="AU71" i="4"/>
  <c r="CE71" i="4"/>
  <c r="BN71" i="4"/>
  <c r="Y71" i="4"/>
  <c r="Z71" i="4"/>
  <c r="BM92" i="5"/>
  <c r="CK43" i="4"/>
  <c r="CL43" i="4" s="1"/>
  <c r="CM43" i="4" s="1"/>
  <c r="BU97" i="5"/>
  <c r="AK97" i="5"/>
  <c r="AO97" i="5"/>
  <c r="AI97" i="5"/>
  <c r="BY43" i="4"/>
  <c r="CO43" i="4" s="1"/>
  <c r="F92" i="5"/>
  <c r="R92" i="5" s="1"/>
  <c r="CC55" i="4"/>
  <c r="BZ55" i="4"/>
  <c r="CB55" i="4" s="1"/>
  <c r="CG43" i="4"/>
  <c r="BJ67" i="4"/>
  <c r="AD100" i="5"/>
  <c r="AC101" i="5"/>
  <c r="BJ101" i="5"/>
  <c r="DF96" i="5"/>
  <c r="DG96" i="5" s="1"/>
  <c r="DA69" i="4"/>
  <c r="J89" i="4"/>
  <c r="J96" i="5"/>
  <c r="V96" i="5" s="1"/>
  <c r="CT71" i="4"/>
  <c r="CZ70" i="4" s="1"/>
  <c r="CW70" i="4"/>
  <c r="CA70" i="4"/>
  <c r="CV71" i="4"/>
  <c r="CY71" i="4"/>
  <c r="CS72" i="4" s="1"/>
  <c r="BP71" i="4"/>
  <c r="BI71" i="4"/>
  <c r="X71" i="4"/>
  <c r="K90" i="4" s="1"/>
  <c r="DL97" i="5"/>
  <c r="DZ97" i="5"/>
  <c r="EB95" i="5"/>
  <c r="I96" i="5" s="1"/>
  <c r="U96" i="5" s="1"/>
  <c r="EB94" i="5"/>
  <c r="I95" i="5" s="1"/>
  <c r="U95" i="5" s="1"/>
  <c r="DN95" i="5"/>
  <c r="H96" i="5" s="1"/>
  <c r="T96" i="5" s="1"/>
  <c r="DN94" i="5"/>
  <c r="H95" i="5" s="1"/>
  <c r="T95" i="5" s="1"/>
  <c r="CY94" i="5"/>
  <c r="CZ94" i="5"/>
  <c r="G95" i="5" s="1"/>
  <c r="S95" i="5" s="1"/>
  <c r="CX97" i="5"/>
  <c r="DC96" i="5"/>
  <c r="DK95" i="5" s="1"/>
  <c r="DM95" i="5" s="1"/>
  <c r="N97" i="5"/>
  <c r="DD67" i="4"/>
  <c r="DQ96" i="5"/>
  <c r="DY95" i="5" s="1"/>
  <c r="EA95" i="5" s="1"/>
  <c r="CU95" i="5"/>
  <c r="CV95" i="5" s="1"/>
  <c r="DS97" i="5"/>
  <c r="DR97" i="5"/>
  <c r="DP97" i="5"/>
  <c r="CQ97" i="5"/>
  <c r="CN97" i="5"/>
  <c r="CP97" i="5"/>
  <c r="DT96" i="5"/>
  <c r="DU96" i="5" s="1"/>
  <c r="CR96" i="5"/>
  <c r="CS96" i="5" s="1"/>
  <c r="B98" i="5"/>
  <c r="CT97" i="5"/>
  <c r="DH97" i="5"/>
  <c r="AA98" i="5"/>
  <c r="DV97" i="5"/>
  <c r="BY97" i="5"/>
  <c r="AB97" i="5"/>
  <c r="K98" i="5" s="1"/>
  <c r="W98" i="5" s="1"/>
  <c r="DE97" i="5"/>
  <c r="DB97" i="5"/>
  <c r="DD97" i="5"/>
  <c r="DG68" i="4"/>
  <c r="DB68" i="4"/>
  <c r="DC68" i="4" s="1"/>
  <c r="CX69" i="4"/>
  <c r="DF69" i="4" s="1"/>
  <c r="W72" i="4"/>
  <c r="C90" i="4"/>
  <c r="CU71" i="4"/>
  <c r="AA71" i="4" l="1"/>
  <c r="AT70" i="4" s="1"/>
  <c r="BZ98" i="5"/>
  <c r="CK97" i="5"/>
  <c r="BB94" i="5"/>
  <c r="AU95" i="5"/>
  <c r="BO98" i="5"/>
  <c r="CF98" i="5"/>
  <c r="CD98" i="5"/>
  <c r="CJ98" i="5"/>
  <c r="BA98" i="5"/>
  <c r="AY98" i="5"/>
  <c r="BE98" i="5"/>
  <c r="CC94" i="5"/>
  <c r="CE94" i="5" s="1"/>
  <c r="CB95" i="5"/>
  <c r="AX93" i="5"/>
  <c r="AZ93" i="5" s="1"/>
  <c r="AW94" i="5"/>
  <c r="CG93" i="5"/>
  <c r="CH93" i="5" s="1"/>
  <c r="CL93" i="5" s="1"/>
  <c r="BB92" i="5"/>
  <c r="BC92" i="5" s="1"/>
  <c r="BG92" i="5" s="1"/>
  <c r="D93" i="5" s="1"/>
  <c r="P93" i="5" s="1"/>
  <c r="BD92" i="5"/>
  <c r="BF92" i="5" s="1"/>
  <c r="AV98" i="5"/>
  <c r="AV99" i="5" s="1"/>
  <c r="AC72" i="4"/>
  <c r="BN98" i="5"/>
  <c r="BQ98" i="5"/>
  <c r="BK99" i="5" s="1"/>
  <c r="BL96" i="5"/>
  <c r="BT95" i="5" s="1"/>
  <c r="CO97" i="5"/>
  <c r="CW96" i="5" s="1"/>
  <c r="AQ71" i="4"/>
  <c r="AD71" i="4"/>
  <c r="AW70" i="4"/>
  <c r="Z72" i="4"/>
  <c r="AE69" i="4"/>
  <c r="AG69" i="4" s="1"/>
  <c r="AB70" i="4"/>
  <c r="AA72" i="4"/>
  <c r="AT71" i="4" s="1"/>
  <c r="CE72" i="4"/>
  <c r="AU72" i="4"/>
  <c r="AF72" i="4"/>
  <c r="BN72" i="4"/>
  <c r="Y72" i="4"/>
  <c r="BM93" i="5"/>
  <c r="BV91" i="5"/>
  <c r="J90" i="4"/>
  <c r="CP43" i="4"/>
  <c r="CQ43" i="4" s="1"/>
  <c r="G62" i="4" s="1"/>
  <c r="AK98" i="5"/>
  <c r="AO98" i="5"/>
  <c r="BU98" i="5"/>
  <c r="AI98" i="5"/>
  <c r="CH43" i="4"/>
  <c r="CI43" i="4" s="1"/>
  <c r="CJ43" i="4" s="1"/>
  <c r="CF44" i="4" s="1"/>
  <c r="BK67" i="4"/>
  <c r="CD66" i="4" s="1"/>
  <c r="BJ68" i="4"/>
  <c r="BJ69" i="4" s="1"/>
  <c r="BJ70" i="4" s="1"/>
  <c r="BJ71" i="4" s="1"/>
  <c r="BJ72" i="4" s="1"/>
  <c r="CN43" i="4"/>
  <c r="F62" i="4" s="1"/>
  <c r="AD101" i="5"/>
  <c r="AC102" i="5"/>
  <c r="BJ102" i="5"/>
  <c r="DT97" i="5"/>
  <c r="DU97" i="5" s="1"/>
  <c r="DA70" i="4"/>
  <c r="J97" i="5"/>
  <c r="V97" i="5" s="1"/>
  <c r="CV72" i="4"/>
  <c r="CW71" i="4"/>
  <c r="CA71" i="4"/>
  <c r="CT72" i="4"/>
  <c r="CZ71" i="4" s="1"/>
  <c r="CY72" i="4"/>
  <c r="CS73" i="4" s="1"/>
  <c r="BP72" i="4"/>
  <c r="BI72" i="4"/>
  <c r="X72" i="4"/>
  <c r="K91" i="4" s="1"/>
  <c r="DL98" i="5"/>
  <c r="DZ98" i="5"/>
  <c r="CY95" i="5"/>
  <c r="CZ95" i="5"/>
  <c r="G96" i="5" s="1"/>
  <c r="S96" i="5" s="1"/>
  <c r="CX98" i="5"/>
  <c r="DC97" i="5"/>
  <c r="DK96" i="5" s="1"/>
  <c r="DM96" i="5" s="1"/>
  <c r="N98" i="5"/>
  <c r="DE67" i="4"/>
  <c r="H86" i="4" s="1"/>
  <c r="DH67" i="4"/>
  <c r="I86" i="4" s="1"/>
  <c r="DD68" i="4"/>
  <c r="DQ97" i="5"/>
  <c r="DY96" i="5" s="1"/>
  <c r="EA96" i="5" s="1"/>
  <c r="DF97" i="5"/>
  <c r="DG97" i="5" s="1"/>
  <c r="CR97" i="5"/>
  <c r="CS97" i="5" s="1"/>
  <c r="DW96" i="5"/>
  <c r="DX96" i="5" s="1"/>
  <c r="EB96" i="5" s="1"/>
  <c r="CU96" i="5"/>
  <c r="CV96" i="5" s="1"/>
  <c r="DP98" i="5"/>
  <c r="DR98" i="5"/>
  <c r="DS98" i="5"/>
  <c r="B99" i="5"/>
  <c r="AA99" i="5"/>
  <c r="DH98" i="5"/>
  <c r="BY98" i="5"/>
  <c r="CT98" i="5"/>
  <c r="DV98" i="5"/>
  <c r="AB98" i="5"/>
  <c r="K99" i="5" s="1"/>
  <c r="W99" i="5" s="1"/>
  <c r="DI96" i="5"/>
  <c r="DJ96" i="5" s="1"/>
  <c r="DB98" i="5"/>
  <c r="DE98" i="5"/>
  <c r="DD98" i="5"/>
  <c r="CN98" i="5"/>
  <c r="CP98" i="5"/>
  <c r="CQ98" i="5"/>
  <c r="DG69" i="4"/>
  <c r="DB69" i="4"/>
  <c r="DC69" i="4" s="1"/>
  <c r="CX70" i="4"/>
  <c r="DF70" i="4" s="1"/>
  <c r="CU72" i="4"/>
  <c r="W73" i="4"/>
  <c r="C91" i="4"/>
  <c r="CA99" i="5" l="1"/>
  <c r="CI98" i="5"/>
  <c r="CK98" i="5" s="1"/>
  <c r="BB95" i="5"/>
  <c r="AU96" i="5"/>
  <c r="AX94" i="5"/>
  <c r="AZ94" i="5" s="1"/>
  <c r="AW95" i="5"/>
  <c r="BZ99" i="5"/>
  <c r="BD93" i="5"/>
  <c r="BF93" i="5" s="1"/>
  <c r="BC93" i="5"/>
  <c r="BG93" i="5" s="1"/>
  <c r="D94" i="5" s="1"/>
  <c r="P94" i="5" s="1"/>
  <c r="BO99" i="5"/>
  <c r="CD99" i="5"/>
  <c r="CJ99" i="5"/>
  <c r="CF99" i="5"/>
  <c r="CI99" i="5" s="1"/>
  <c r="BE99" i="5"/>
  <c r="AY99" i="5"/>
  <c r="BA99" i="5"/>
  <c r="CC95" i="5"/>
  <c r="CE95" i="5" s="1"/>
  <c r="CB96" i="5"/>
  <c r="CG94" i="5"/>
  <c r="CH94" i="5" s="1"/>
  <c r="CL94" i="5" s="1"/>
  <c r="BN99" i="5"/>
  <c r="AC73" i="4"/>
  <c r="BP92" i="5"/>
  <c r="BR92" i="5" s="1"/>
  <c r="BS92" i="5" s="1"/>
  <c r="BW92" i="5" s="1"/>
  <c r="E93" i="5" s="1"/>
  <c r="Q93" i="5" s="1"/>
  <c r="CO98" i="5"/>
  <c r="CW97" i="5" s="1"/>
  <c r="BQ99" i="5"/>
  <c r="BK100" i="5" s="1"/>
  <c r="BL97" i="5"/>
  <c r="BT96" i="5" s="1"/>
  <c r="AQ72" i="4"/>
  <c r="AD72" i="4"/>
  <c r="AW71" i="4"/>
  <c r="AF73" i="4"/>
  <c r="CE73" i="4"/>
  <c r="AU73" i="4"/>
  <c r="BN73" i="4"/>
  <c r="Y73" i="4"/>
  <c r="AA73" i="4"/>
  <c r="AT72" i="4" s="1"/>
  <c r="AE70" i="4"/>
  <c r="AG70" i="4" s="1"/>
  <c r="AB71" i="4"/>
  <c r="J91" i="4"/>
  <c r="Z73" i="4"/>
  <c r="BV92" i="5"/>
  <c r="BM94" i="5"/>
  <c r="BU99" i="5"/>
  <c r="AO99" i="5"/>
  <c r="AK99" i="5"/>
  <c r="AI99" i="5"/>
  <c r="BR44" i="4"/>
  <c r="BS56" i="4" s="1"/>
  <c r="BT68" i="4" s="1"/>
  <c r="BU80" i="4" s="1"/>
  <c r="BK68" i="4"/>
  <c r="F93" i="5"/>
  <c r="R93" i="5" s="1"/>
  <c r="CG44" i="4"/>
  <c r="CH44" i="4" s="1"/>
  <c r="CI44" i="4" s="1"/>
  <c r="CJ44" i="4" s="1"/>
  <c r="CF45" i="4" s="1"/>
  <c r="AD102" i="5"/>
  <c r="AC103" i="5"/>
  <c r="BJ103" i="5"/>
  <c r="DT98" i="5"/>
  <c r="DU98" i="5" s="1"/>
  <c r="DA71" i="4"/>
  <c r="J98" i="5"/>
  <c r="V98" i="5" s="1"/>
  <c r="BJ73" i="4"/>
  <c r="CT73" i="4"/>
  <c r="BP73" i="4"/>
  <c r="CY73" i="4"/>
  <c r="CS74" i="4" s="1"/>
  <c r="BI73" i="4"/>
  <c r="X73" i="4"/>
  <c r="K92" i="4" s="1"/>
  <c r="CW72" i="4"/>
  <c r="CA72" i="4"/>
  <c r="CV73" i="4"/>
  <c r="DL99" i="5"/>
  <c r="DZ99" i="5"/>
  <c r="I97" i="5"/>
  <c r="U97" i="5" s="1"/>
  <c r="DN96" i="5"/>
  <c r="H97" i="5" s="1"/>
  <c r="T97" i="5" s="1"/>
  <c r="CX99" i="5"/>
  <c r="CY96" i="5"/>
  <c r="CZ96" i="5"/>
  <c r="G97" i="5" s="1"/>
  <c r="S97" i="5" s="1"/>
  <c r="DC98" i="5"/>
  <c r="DK97" i="5" s="1"/>
  <c r="DM97" i="5" s="1"/>
  <c r="N99" i="5"/>
  <c r="DH68" i="4"/>
  <c r="DE68" i="4"/>
  <c r="H87" i="4" s="1"/>
  <c r="DD69" i="4"/>
  <c r="DQ98" i="5"/>
  <c r="DY97" i="5" s="1"/>
  <c r="EA97" i="5" s="1"/>
  <c r="CQ99" i="5"/>
  <c r="CP99" i="5"/>
  <c r="CN99" i="5"/>
  <c r="DF98" i="5"/>
  <c r="DG98" i="5" s="1"/>
  <c r="B100" i="5"/>
  <c r="DV99" i="5"/>
  <c r="AA100" i="5"/>
  <c r="BY99" i="5"/>
  <c r="DH99" i="5"/>
  <c r="CT99" i="5"/>
  <c r="AB99" i="5"/>
  <c r="K100" i="5" s="1"/>
  <c r="W100" i="5" s="1"/>
  <c r="DI97" i="5"/>
  <c r="DJ97" i="5" s="1"/>
  <c r="CU97" i="5"/>
  <c r="CV97" i="5" s="1"/>
  <c r="DD99" i="5"/>
  <c r="DB99" i="5"/>
  <c r="DE99" i="5"/>
  <c r="DW97" i="5"/>
  <c r="DX97" i="5" s="1"/>
  <c r="DP99" i="5"/>
  <c r="DR99" i="5"/>
  <c r="DS99" i="5"/>
  <c r="CR98" i="5"/>
  <c r="CS98" i="5" s="1"/>
  <c r="DG70" i="4"/>
  <c r="DB70" i="4"/>
  <c r="DC70" i="4" s="1"/>
  <c r="CX71" i="4"/>
  <c r="DF71" i="4" s="1"/>
  <c r="W74" i="4"/>
  <c r="C92" i="4"/>
  <c r="CU73" i="4"/>
  <c r="I87" i="4" l="1"/>
  <c r="I17" i="4"/>
  <c r="CK99" i="5"/>
  <c r="CC96" i="5"/>
  <c r="CE96" i="5" s="1"/>
  <c r="CB97" i="5"/>
  <c r="CG95" i="5"/>
  <c r="CH95" i="5" s="1"/>
  <c r="CL95" i="5" s="1"/>
  <c r="AX95" i="5"/>
  <c r="AZ95" i="5" s="1"/>
  <c r="AW96" i="5"/>
  <c r="BD94" i="5"/>
  <c r="BF94" i="5" s="1"/>
  <c r="BC94" i="5"/>
  <c r="BG94" i="5" s="1"/>
  <c r="D95" i="5" s="1"/>
  <c r="P95" i="5" s="1"/>
  <c r="BO100" i="5"/>
  <c r="CF100" i="5"/>
  <c r="CI100" i="5" s="1"/>
  <c r="CD100" i="5"/>
  <c r="BA100" i="5"/>
  <c r="AY100" i="5"/>
  <c r="CJ100" i="5"/>
  <c r="BE100" i="5"/>
  <c r="BB96" i="5"/>
  <c r="AU97" i="5"/>
  <c r="AV100" i="5"/>
  <c r="BZ100" i="5"/>
  <c r="CA100" i="5"/>
  <c r="CA101" i="5" s="1"/>
  <c r="CO99" i="5"/>
  <c r="CW98" i="5" s="1"/>
  <c r="AC74" i="4"/>
  <c r="BN100" i="5"/>
  <c r="BP93" i="5"/>
  <c r="BR93" i="5" s="1"/>
  <c r="BS93" i="5" s="1"/>
  <c r="BW93" i="5" s="1"/>
  <c r="E94" i="5" s="1"/>
  <c r="Q94" i="5" s="1"/>
  <c r="BQ100" i="5"/>
  <c r="BK101" i="5" s="1"/>
  <c r="BL98" i="5"/>
  <c r="BT97" i="5" s="1"/>
  <c r="AQ73" i="4"/>
  <c r="AD73" i="4"/>
  <c r="Z74" i="4"/>
  <c r="J92" i="4"/>
  <c r="AU74" i="4"/>
  <c r="CE74" i="4"/>
  <c r="AF74" i="4"/>
  <c r="BN74" i="4"/>
  <c r="Y74" i="4"/>
  <c r="AA74" i="4"/>
  <c r="AT73" i="4" s="1"/>
  <c r="AE71" i="4"/>
  <c r="AG71" i="4" s="1"/>
  <c r="AB72" i="4"/>
  <c r="BM95" i="5"/>
  <c r="BV93" i="5"/>
  <c r="BK69" i="4"/>
  <c r="CD67" i="4"/>
  <c r="BV44" i="4"/>
  <c r="BX44" i="4" s="1"/>
  <c r="BY44" i="4" s="1"/>
  <c r="CO44" i="4" s="1"/>
  <c r="BU100" i="5"/>
  <c r="AK100" i="5"/>
  <c r="AO100" i="5"/>
  <c r="AI100" i="5"/>
  <c r="CC56" i="4"/>
  <c r="CG45" i="4"/>
  <c r="CH45" i="4" s="1"/>
  <c r="CI45" i="4" s="1"/>
  <c r="CJ45" i="4" s="1"/>
  <c r="CF46" i="4" s="1"/>
  <c r="F94" i="5"/>
  <c r="R94" i="5" s="1"/>
  <c r="BR45" i="4"/>
  <c r="BS57" i="4" s="1"/>
  <c r="BT69" i="4" s="1"/>
  <c r="BU81" i="4" s="1"/>
  <c r="AD103" i="5"/>
  <c r="AC104" i="5"/>
  <c r="BJ104" i="5"/>
  <c r="DF99" i="5"/>
  <c r="DG99" i="5" s="1"/>
  <c r="BJ74" i="4"/>
  <c r="J99" i="5"/>
  <c r="V99" i="5" s="1"/>
  <c r="CT74" i="4"/>
  <c r="CZ73" i="4" s="1"/>
  <c r="BP74" i="4"/>
  <c r="CY74" i="4"/>
  <c r="CS75" i="4" s="1"/>
  <c r="BI74" i="4"/>
  <c r="X74" i="4"/>
  <c r="K93" i="4" s="1"/>
  <c r="CW73" i="4"/>
  <c r="CX73" i="4" s="1"/>
  <c r="DF73" i="4" s="1"/>
  <c r="CA73" i="4"/>
  <c r="CZ72" i="4"/>
  <c r="DA72" i="4" s="1"/>
  <c r="CV74" i="4"/>
  <c r="DL100" i="5"/>
  <c r="DZ100" i="5"/>
  <c r="EB97" i="5"/>
  <c r="I98" i="5" s="1"/>
  <c r="U98" i="5" s="1"/>
  <c r="DC99" i="5"/>
  <c r="DK98" i="5" s="1"/>
  <c r="DM98" i="5" s="1"/>
  <c r="DN97" i="5"/>
  <c r="H98" i="5" s="1"/>
  <c r="T98" i="5" s="1"/>
  <c r="CX100" i="5"/>
  <c r="CZ97" i="5"/>
  <c r="G98" i="5" s="1"/>
  <c r="S98" i="5" s="1"/>
  <c r="CY97" i="5"/>
  <c r="N100" i="5"/>
  <c r="DE69" i="4"/>
  <c r="H88" i="4" s="1"/>
  <c r="DH69" i="4"/>
  <c r="I88" i="4" s="1"/>
  <c r="DQ99" i="5"/>
  <c r="DY98" i="5" s="1"/>
  <c r="EA98" i="5" s="1"/>
  <c r="CU98" i="5"/>
  <c r="CV98" i="5" s="1"/>
  <c r="CR99" i="5"/>
  <c r="CS99" i="5" s="1"/>
  <c r="DW98" i="5"/>
  <c r="DX98" i="5" s="1"/>
  <c r="CQ100" i="5"/>
  <c r="CP100" i="5"/>
  <c r="CN100" i="5"/>
  <c r="DT99" i="5"/>
  <c r="DU99" i="5" s="1"/>
  <c r="DH100" i="5"/>
  <c r="BY100" i="5"/>
  <c r="DV100" i="5"/>
  <c r="CT100" i="5"/>
  <c r="AA101" i="5"/>
  <c r="B101" i="5"/>
  <c r="AB100" i="5"/>
  <c r="K101" i="5" s="1"/>
  <c r="W101" i="5" s="1"/>
  <c r="DI98" i="5"/>
  <c r="DJ98" i="5" s="1"/>
  <c r="DD100" i="5"/>
  <c r="DE100" i="5"/>
  <c r="DB100" i="5"/>
  <c r="DS100" i="5"/>
  <c r="DR100" i="5"/>
  <c r="DP100" i="5"/>
  <c r="DG71" i="4"/>
  <c r="DB71" i="4"/>
  <c r="DC71" i="4" s="1"/>
  <c r="DD70" i="4"/>
  <c r="DH70" i="4" s="1"/>
  <c r="I89" i="4" s="1"/>
  <c r="CX72" i="4"/>
  <c r="DF72" i="4" s="1"/>
  <c r="W75" i="4"/>
  <c r="C93" i="4"/>
  <c r="CU74" i="4"/>
  <c r="BZ101" i="5" l="1"/>
  <c r="AV101" i="5"/>
  <c r="CK100" i="5"/>
  <c r="CO100" i="5"/>
  <c r="CW99" i="5" s="1"/>
  <c r="AX96" i="5"/>
  <c r="AZ96" i="5" s="1"/>
  <c r="AW97" i="5"/>
  <c r="BB97" i="5"/>
  <c r="AU98" i="5"/>
  <c r="BD95" i="5"/>
  <c r="BF95" i="5" s="1"/>
  <c r="BC95" i="5"/>
  <c r="BG95" i="5" s="1"/>
  <c r="D96" i="5" s="1"/>
  <c r="P96" i="5" s="1"/>
  <c r="BO101" i="5"/>
  <c r="CF101" i="5"/>
  <c r="CI101" i="5" s="1"/>
  <c r="CD101" i="5"/>
  <c r="CJ101" i="5"/>
  <c r="BE101" i="5"/>
  <c r="BA101" i="5"/>
  <c r="AY101" i="5"/>
  <c r="CC97" i="5"/>
  <c r="CE97" i="5" s="1"/>
  <c r="CB98" i="5"/>
  <c r="CG96" i="5"/>
  <c r="CH96" i="5" s="1"/>
  <c r="CL96" i="5" s="1"/>
  <c r="BN101" i="5"/>
  <c r="AC75" i="4"/>
  <c r="BP94" i="5"/>
  <c r="BR94" i="5" s="1"/>
  <c r="BQ101" i="5"/>
  <c r="BK102" i="5" s="1"/>
  <c r="BL99" i="5"/>
  <c r="BT98" i="5" s="1"/>
  <c r="AQ74" i="4"/>
  <c r="AD74" i="4"/>
  <c r="Z75" i="4"/>
  <c r="J93" i="4"/>
  <c r="AE72" i="4"/>
  <c r="AG72" i="4" s="1"/>
  <c r="AB73" i="4"/>
  <c r="AW73" i="4"/>
  <c r="AA75" i="4"/>
  <c r="AT74" i="4" s="1"/>
  <c r="AF75" i="4"/>
  <c r="CE75" i="4"/>
  <c r="AU75" i="4"/>
  <c r="Y75" i="4"/>
  <c r="BN75" i="4"/>
  <c r="CK44" i="4"/>
  <c r="CL44" i="4" s="1"/>
  <c r="CM44" i="4" s="1"/>
  <c r="CN44" i="4" s="1"/>
  <c r="F63" i="4" s="1"/>
  <c r="BV94" i="5"/>
  <c r="BM96" i="5"/>
  <c r="BK70" i="4"/>
  <c r="CD68" i="4"/>
  <c r="BZ56" i="4"/>
  <c r="CB56" i="4" s="1"/>
  <c r="BU101" i="5"/>
  <c r="AK101" i="5"/>
  <c r="AO101" i="5"/>
  <c r="AI101" i="5"/>
  <c r="CG46" i="4"/>
  <c r="F95" i="5"/>
  <c r="R95" i="5" s="1"/>
  <c r="BR46" i="4"/>
  <c r="BS58" i="4" s="1"/>
  <c r="BT70" i="4" s="1"/>
  <c r="BU82" i="4" s="1"/>
  <c r="BV45" i="4"/>
  <c r="BX45" i="4" s="1"/>
  <c r="AD104" i="5"/>
  <c r="AC105" i="5"/>
  <c r="BJ105" i="5"/>
  <c r="DT100" i="5"/>
  <c r="DU100" i="5" s="1"/>
  <c r="DW100" i="5" s="1"/>
  <c r="DX100" i="5" s="1"/>
  <c r="BJ75" i="4"/>
  <c r="DA73" i="4"/>
  <c r="J100" i="5"/>
  <c r="V100" i="5" s="1"/>
  <c r="CT75" i="4"/>
  <c r="CZ74" i="4" s="1"/>
  <c r="BP75" i="4"/>
  <c r="CY75" i="4"/>
  <c r="CS76" i="4" s="1"/>
  <c r="BI75" i="4"/>
  <c r="X75" i="4"/>
  <c r="K94" i="4" s="1"/>
  <c r="CW74" i="4"/>
  <c r="CX74" i="4" s="1"/>
  <c r="DF74" i="4" s="1"/>
  <c r="CA74" i="4"/>
  <c r="CV75" i="4"/>
  <c r="DC100" i="5"/>
  <c r="DK99" i="5" s="1"/>
  <c r="DM99" i="5" s="1"/>
  <c r="DL101" i="5"/>
  <c r="DZ101" i="5"/>
  <c r="EB98" i="5"/>
  <c r="I99" i="5" s="1"/>
  <c r="U99" i="5" s="1"/>
  <c r="DN98" i="5"/>
  <c r="H99" i="5" s="1"/>
  <c r="T99" i="5" s="1"/>
  <c r="CY98" i="5"/>
  <c r="CZ98" i="5"/>
  <c r="G99" i="5" s="1"/>
  <c r="S99" i="5" s="1"/>
  <c r="CX101" i="5"/>
  <c r="N101" i="5"/>
  <c r="DQ100" i="5"/>
  <c r="DY99" i="5" s="1"/>
  <c r="EA99" i="5" s="1"/>
  <c r="DF100" i="5"/>
  <c r="DG100" i="5" s="1"/>
  <c r="CR100" i="5"/>
  <c r="CS100" i="5" s="1"/>
  <c r="DW99" i="5"/>
  <c r="DX99" i="5" s="1"/>
  <c r="DB101" i="5"/>
  <c r="DE101" i="5"/>
  <c r="DD101" i="5"/>
  <c r="B102" i="5"/>
  <c r="AA102" i="5"/>
  <c r="DV101" i="5"/>
  <c r="BY101" i="5"/>
  <c r="DH101" i="5"/>
  <c r="CT101" i="5"/>
  <c r="AB101" i="5"/>
  <c r="K102" i="5" s="1"/>
  <c r="W102" i="5" s="1"/>
  <c r="DI99" i="5"/>
  <c r="DJ99" i="5" s="1"/>
  <c r="DN99" i="5" s="1"/>
  <c r="CQ101" i="5"/>
  <c r="CP101" i="5"/>
  <c r="CN101" i="5"/>
  <c r="DS101" i="5"/>
  <c r="DP101" i="5"/>
  <c r="DR101" i="5"/>
  <c r="CU99" i="5"/>
  <c r="CV99" i="5" s="1"/>
  <c r="DE70" i="4"/>
  <c r="H89" i="4" s="1"/>
  <c r="DG73" i="4"/>
  <c r="DG72" i="4"/>
  <c r="DB72" i="4"/>
  <c r="DC72" i="4" s="1"/>
  <c r="DD71" i="4"/>
  <c r="DE71" i="4" s="1"/>
  <c r="H90" i="4" s="1"/>
  <c r="DB73" i="4"/>
  <c r="DC73" i="4" s="1"/>
  <c r="W76" i="4"/>
  <c r="C94" i="4"/>
  <c r="CU75" i="4"/>
  <c r="CO101" i="5" l="1"/>
  <c r="CW100" i="5" s="1"/>
  <c r="CC98" i="5"/>
  <c r="CE98" i="5" s="1"/>
  <c r="CB99" i="5"/>
  <c r="CG97" i="5"/>
  <c r="CH97" i="5" s="1"/>
  <c r="CL97" i="5" s="1"/>
  <c r="CA102" i="5"/>
  <c r="CK101" i="5"/>
  <c r="BB98" i="5"/>
  <c r="AU99" i="5"/>
  <c r="BO102" i="5"/>
  <c r="CF102" i="5"/>
  <c r="CI102" i="5" s="1"/>
  <c r="CD102" i="5"/>
  <c r="BA102" i="5"/>
  <c r="CJ102" i="5"/>
  <c r="AY102" i="5"/>
  <c r="BE102" i="5"/>
  <c r="AX97" i="5"/>
  <c r="AZ97" i="5" s="1"/>
  <c r="AW98" i="5"/>
  <c r="BD96" i="5"/>
  <c r="BF96" i="5" s="1"/>
  <c r="BC96" i="5"/>
  <c r="BG96" i="5" s="1"/>
  <c r="D97" i="5" s="1"/>
  <c r="P97" i="5" s="1"/>
  <c r="AV102" i="5"/>
  <c r="AV103" i="5" s="1"/>
  <c r="BZ102" i="5"/>
  <c r="AC76" i="4"/>
  <c r="BN102" i="5"/>
  <c r="BP95" i="5"/>
  <c r="BR95" i="5" s="1"/>
  <c r="BS94" i="5"/>
  <c r="BW94" i="5" s="1"/>
  <c r="E95" i="5" s="1"/>
  <c r="Q95" i="5" s="1"/>
  <c r="BQ102" i="5"/>
  <c r="BK103" i="5" s="1"/>
  <c r="BL100" i="5"/>
  <c r="BT99" i="5" s="1"/>
  <c r="AQ75" i="4"/>
  <c r="AD75" i="4"/>
  <c r="J94" i="4"/>
  <c r="AW74" i="4"/>
  <c r="AA76" i="4"/>
  <c r="AT75" i="4" s="1"/>
  <c r="AE73" i="4"/>
  <c r="AG73" i="4" s="1"/>
  <c r="AB74" i="4"/>
  <c r="CP44" i="4"/>
  <c r="CQ44" i="4" s="1"/>
  <c r="G63" i="4" s="1"/>
  <c r="AU76" i="4"/>
  <c r="AF76" i="4"/>
  <c r="CE76" i="4"/>
  <c r="BN76" i="4"/>
  <c r="Y76" i="4"/>
  <c r="Z76" i="4"/>
  <c r="BM97" i="5"/>
  <c r="BV95" i="5"/>
  <c r="BK71" i="4"/>
  <c r="CD69" i="4"/>
  <c r="BU102" i="5"/>
  <c r="AK102" i="5"/>
  <c r="AO102" i="5"/>
  <c r="AI102" i="5"/>
  <c r="CH46" i="4"/>
  <c r="CI46" i="4" s="1"/>
  <c r="CJ46" i="4" s="1"/>
  <c r="CF47" i="4" s="1"/>
  <c r="BY45" i="4"/>
  <c r="CO45" i="4" s="1"/>
  <c r="CK45" i="4"/>
  <c r="CL45" i="4" s="1"/>
  <c r="CC57" i="4"/>
  <c r="BZ57" i="4"/>
  <c r="CB57" i="4" s="1"/>
  <c r="BV46" i="4"/>
  <c r="BX46" i="4" s="1"/>
  <c r="F96" i="5"/>
  <c r="R96" i="5" s="1"/>
  <c r="AD105" i="5"/>
  <c r="AC106" i="5"/>
  <c r="BJ106" i="5"/>
  <c r="CR101" i="5"/>
  <c r="CS101" i="5" s="1"/>
  <c r="DA74" i="4"/>
  <c r="BJ76" i="4"/>
  <c r="J101" i="5"/>
  <c r="V101" i="5" s="1"/>
  <c r="DC101" i="5"/>
  <c r="DK100" i="5" s="1"/>
  <c r="DM100" i="5" s="1"/>
  <c r="CW75" i="4"/>
  <c r="CX75" i="4" s="1"/>
  <c r="DF75" i="4" s="1"/>
  <c r="CA75" i="4"/>
  <c r="CY76" i="4"/>
  <c r="CS77" i="4" s="1"/>
  <c r="BP76" i="4"/>
  <c r="BI76" i="4"/>
  <c r="X76" i="4"/>
  <c r="K95" i="4" s="1"/>
  <c r="CV76" i="4"/>
  <c r="CT76" i="4"/>
  <c r="CZ75" i="4" s="1"/>
  <c r="DL102" i="5"/>
  <c r="DZ102" i="5"/>
  <c r="EB100" i="5"/>
  <c r="I101" i="5" s="1"/>
  <c r="U101" i="5" s="1"/>
  <c r="EB99" i="5"/>
  <c r="I100" i="5" s="1"/>
  <c r="U100" i="5" s="1"/>
  <c r="H100" i="5"/>
  <c r="T100" i="5" s="1"/>
  <c r="CY99" i="5"/>
  <c r="CZ99" i="5"/>
  <c r="G100" i="5" s="1"/>
  <c r="S100" i="5" s="1"/>
  <c r="CX102" i="5"/>
  <c r="N102" i="5"/>
  <c r="DG74" i="4"/>
  <c r="DQ101" i="5"/>
  <c r="DY100" i="5" s="1"/>
  <c r="EA100" i="5" s="1"/>
  <c r="DT101" i="5"/>
  <c r="DU101" i="5" s="1"/>
  <c r="CN102" i="5"/>
  <c r="CO102" i="5"/>
  <c r="CW101" i="5" s="1"/>
  <c r="CQ102" i="5"/>
  <c r="CP102" i="5"/>
  <c r="B103" i="5"/>
  <c r="AA103" i="5"/>
  <c r="BY102" i="5"/>
  <c r="DH102" i="5"/>
  <c r="CT102" i="5"/>
  <c r="DV102" i="5"/>
  <c r="AB102" i="5"/>
  <c r="K103" i="5" s="1"/>
  <c r="W103" i="5" s="1"/>
  <c r="DB102" i="5"/>
  <c r="DD102" i="5"/>
  <c r="DE102" i="5"/>
  <c r="DI100" i="5"/>
  <c r="DJ100" i="5" s="1"/>
  <c r="DN100" i="5" s="1"/>
  <c r="CU100" i="5"/>
  <c r="CV100" i="5" s="1"/>
  <c r="DF101" i="5"/>
  <c r="DG101" i="5" s="1"/>
  <c r="DP102" i="5"/>
  <c r="DR102" i="5"/>
  <c r="DS102" i="5"/>
  <c r="DH71" i="4"/>
  <c r="I90" i="4" s="1"/>
  <c r="DD72" i="4"/>
  <c r="DH72" i="4" s="1"/>
  <c r="I91" i="4" s="1"/>
  <c r="DB74" i="4"/>
  <c r="DC74" i="4" s="1"/>
  <c r="CU76" i="4"/>
  <c r="W77" i="4"/>
  <c r="C95" i="4"/>
  <c r="CF103" i="5" l="1"/>
  <c r="CD103" i="5"/>
  <c r="CJ103" i="5"/>
  <c r="AY103" i="5"/>
  <c r="BE103" i="5"/>
  <c r="BA103" i="5"/>
  <c r="CA103" i="5"/>
  <c r="CA104" i="5" s="1"/>
  <c r="AX98" i="5"/>
  <c r="AZ98" i="5" s="1"/>
  <c r="AW99" i="5"/>
  <c r="CK102" i="5"/>
  <c r="BZ103" i="5"/>
  <c r="BZ104" i="5" s="1"/>
  <c r="BD97" i="5"/>
  <c r="BF97" i="5" s="1"/>
  <c r="BC97" i="5"/>
  <c r="BG97" i="5" s="1"/>
  <c r="D98" i="5" s="1"/>
  <c r="P98" i="5" s="1"/>
  <c r="CC99" i="5"/>
  <c r="CE99" i="5" s="1"/>
  <c r="CB100" i="5"/>
  <c r="AV104" i="5"/>
  <c r="BB99" i="5"/>
  <c r="AU100" i="5"/>
  <c r="CG98" i="5"/>
  <c r="CH98" i="5" s="1"/>
  <c r="CL98" i="5" s="1"/>
  <c r="BQ103" i="5"/>
  <c r="BK104" i="5" s="1"/>
  <c r="BO103" i="5"/>
  <c r="BN103" i="5"/>
  <c r="AC77" i="4"/>
  <c r="BP96" i="5"/>
  <c r="BR96" i="5" s="1"/>
  <c r="BS95" i="5"/>
  <c r="BW95" i="5" s="1"/>
  <c r="E96" i="5" s="1"/>
  <c r="Q96" i="5" s="1"/>
  <c r="BL101" i="5"/>
  <c r="BT100" i="5" s="1"/>
  <c r="J95" i="4"/>
  <c r="AL103" i="5"/>
  <c r="AQ76" i="4"/>
  <c r="AD76" i="4"/>
  <c r="Z77" i="4"/>
  <c r="AW75" i="4"/>
  <c r="AF77" i="4"/>
  <c r="AU77" i="4"/>
  <c r="CE77" i="4"/>
  <c r="BN77" i="4"/>
  <c r="Y77" i="4"/>
  <c r="AA77" i="4"/>
  <c r="AT76" i="4" s="1"/>
  <c r="AE74" i="4"/>
  <c r="AG74" i="4" s="1"/>
  <c r="AB75" i="4"/>
  <c r="BV96" i="5"/>
  <c r="BP97" i="5"/>
  <c r="BM98" i="5"/>
  <c r="BJ77" i="4"/>
  <c r="BK72" i="4"/>
  <c r="CD70" i="4"/>
  <c r="BU103" i="5"/>
  <c r="AO103" i="5"/>
  <c r="AK103" i="5"/>
  <c r="AI103" i="5"/>
  <c r="CC58" i="4"/>
  <c r="BZ58" i="4"/>
  <c r="CB58" i="4" s="1"/>
  <c r="CG47" i="4"/>
  <c r="F97" i="5"/>
  <c r="R97" i="5" s="1"/>
  <c r="BY46" i="4"/>
  <c r="CO46" i="4" s="1"/>
  <c r="CK46" i="4"/>
  <c r="CL46" i="4" s="1"/>
  <c r="BR47" i="4"/>
  <c r="BS59" i="4" s="1"/>
  <c r="BT71" i="4" s="1"/>
  <c r="BU83" i="4" s="1"/>
  <c r="CM45" i="4"/>
  <c r="CN45" i="4" s="1"/>
  <c r="F64" i="4" s="1"/>
  <c r="CP45" i="4"/>
  <c r="AD106" i="5"/>
  <c r="AC107" i="5"/>
  <c r="BJ107" i="5"/>
  <c r="DT102" i="5"/>
  <c r="DU102" i="5" s="1"/>
  <c r="DA75" i="4"/>
  <c r="J102" i="5"/>
  <c r="V102" i="5" s="1"/>
  <c r="DC102" i="5"/>
  <c r="DK101" i="5" s="1"/>
  <c r="DM101" i="5" s="1"/>
  <c r="CW76" i="4"/>
  <c r="CX76" i="4" s="1"/>
  <c r="DF76" i="4" s="1"/>
  <c r="CA76" i="4"/>
  <c r="CY77" i="4"/>
  <c r="CS78" i="4" s="1"/>
  <c r="BP77" i="4"/>
  <c r="BI77" i="4"/>
  <c r="X77" i="4"/>
  <c r="K96" i="4" s="1"/>
  <c r="CT77" i="4"/>
  <c r="CZ76" i="4" s="1"/>
  <c r="CV77" i="4"/>
  <c r="DL103" i="5"/>
  <c r="DZ103" i="5"/>
  <c r="H101" i="5"/>
  <c r="T101" i="5" s="1"/>
  <c r="CX103" i="5"/>
  <c r="CY100" i="5"/>
  <c r="CZ100" i="5"/>
  <c r="G101" i="5" s="1"/>
  <c r="S101" i="5" s="1"/>
  <c r="N103" i="5"/>
  <c r="DB75" i="4"/>
  <c r="DC75" i="4" s="1"/>
  <c r="DQ102" i="5"/>
  <c r="DY101" i="5" s="1"/>
  <c r="EA101" i="5" s="1"/>
  <c r="DI101" i="5"/>
  <c r="DJ101" i="5" s="1"/>
  <c r="DF102" i="5"/>
  <c r="DG102" i="5" s="1"/>
  <c r="CU101" i="5"/>
  <c r="CV101" i="5" s="1"/>
  <c r="B104" i="5"/>
  <c r="A93" i="5" s="1"/>
  <c r="DV103" i="5"/>
  <c r="CT103" i="5"/>
  <c r="BY103" i="5"/>
  <c r="AA104" i="5"/>
  <c r="DH103" i="5"/>
  <c r="AB103" i="5"/>
  <c r="K104" i="5" s="1"/>
  <c r="W104" i="5" s="1"/>
  <c r="DS103" i="5"/>
  <c r="DR103" i="5"/>
  <c r="DP103" i="5"/>
  <c r="CO103" i="5"/>
  <c r="CW102" i="5" s="1"/>
  <c r="CP103" i="5"/>
  <c r="CN103" i="5"/>
  <c r="CQ103" i="5"/>
  <c r="CR102" i="5"/>
  <c r="CS102" i="5" s="1"/>
  <c r="DW101" i="5"/>
  <c r="DX101" i="5" s="1"/>
  <c r="EB101" i="5" s="1"/>
  <c r="DD103" i="5"/>
  <c r="DE103" i="5"/>
  <c r="DB103" i="5"/>
  <c r="DE72" i="4"/>
  <c r="H91" i="4" s="1"/>
  <c r="DG75" i="4"/>
  <c r="DD73" i="4"/>
  <c r="CU77" i="4"/>
  <c r="W78" i="4"/>
  <c r="C96" i="4"/>
  <c r="AX99" i="5" l="1"/>
  <c r="AZ99" i="5" s="1"/>
  <c r="AW100" i="5"/>
  <c r="CC100" i="5"/>
  <c r="CE100" i="5" s="1"/>
  <c r="CB101" i="5"/>
  <c r="BD98" i="5"/>
  <c r="BF98" i="5" s="1"/>
  <c r="BC98" i="5"/>
  <c r="BG98" i="5" s="1"/>
  <c r="D99" i="5" s="1"/>
  <c r="P99" i="5" s="1"/>
  <c r="BO104" i="5"/>
  <c r="CF104" i="5"/>
  <c r="CI104" i="5" s="1"/>
  <c r="CJ104" i="5"/>
  <c r="AY104" i="5"/>
  <c r="BA104" i="5"/>
  <c r="AV105" i="5" s="1"/>
  <c r="BE104" i="5"/>
  <c r="CG104" i="5"/>
  <c r="CG99" i="5"/>
  <c r="CH99" i="5" s="1"/>
  <c r="CL99" i="5" s="1"/>
  <c r="CA105" i="5"/>
  <c r="BB100" i="5"/>
  <c r="AU101" i="5"/>
  <c r="AC78" i="4"/>
  <c r="BS96" i="5"/>
  <c r="BW96" i="5" s="1"/>
  <c r="E97" i="5" s="1"/>
  <c r="Q97" i="5" s="1"/>
  <c r="BR97" i="5"/>
  <c r="BS97" i="5" s="1"/>
  <c r="BW97" i="5" s="1"/>
  <c r="E98" i="5" s="1"/>
  <c r="Q98" i="5" s="1"/>
  <c r="BQ104" i="5"/>
  <c r="BK105" i="5" s="1"/>
  <c r="BL102" i="5"/>
  <c r="BT101" i="5" s="1"/>
  <c r="J96" i="4"/>
  <c r="AQ77" i="4"/>
  <c r="AD77" i="4"/>
  <c r="AF78" i="4"/>
  <c r="BN78" i="4"/>
  <c r="Y78" i="4"/>
  <c r="AA78" i="4"/>
  <c r="AT77" i="4" s="1"/>
  <c r="Z78" i="4"/>
  <c r="AE75" i="4"/>
  <c r="AG75" i="4" s="1"/>
  <c r="AB76" i="4"/>
  <c r="AW76" i="4"/>
  <c r="BM99" i="5"/>
  <c r="BV97" i="5"/>
  <c r="BK73" i="4"/>
  <c r="CD71" i="4"/>
  <c r="BJ78" i="4"/>
  <c r="AI104" i="5"/>
  <c r="BU104" i="5"/>
  <c r="AK104" i="5"/>
  <c r="AO104" i="5"/>
  <c r="CQ45" i="4"/>
  <c r="G64" i="4" s="1"/>
  <c r="CH47" i="4"/>
  <c r="CI47" i="4" s="1"/>
  <c r="CJ47" i="4" s="1"/>
  <c r="CF48" i="4" s="1"/>
  <c r="CM46" i="4"/>
  <c r="CP46" i="4"/>
  <c r="BV47" i="4"/>
  <c r="BX47" i="4" s="1"/>
  <c r="F98" i="5"/>
  <c r="R98" i="5" s="1"/>
  <c r="AD107" i="5"/>
  <c r="AC108" i="5"/>
  <c r="BJ108" i="5"/>
  <c r="DT103" i="5"/>
  <c r="DU103" i="5" s="1"/>
  <c r="DA76" i="4"/>
  <c r="J103" i="5"/>
  <c r="V103" i="5" s="1"/>
  <c r="CV78" i="4"/>
  <c r="DC103" i="5"/>
  <c r="DK102" i="5" s="1"/>
  <c r="DM102" i="5" s="1"/>
  <c r="CW77" i="4"/>
  <c r="CX77" i="4" s="1"/>
  <c r="DF77" i="4" s="1"/>
  <c r="CA77" i="4"/>
  <c r="CY78" i="4"/>
  <c r="CS79" i="4" s="1"/>
  <c r="BP78" i="4"/>
  <c r="BI78" i="4"/>
  <c r="X78" i="4"/>
  <c r="K97" i="4" s="1"/>
  <c r="CT78" i="4"/>
  <c r="CZ77" i="4" s="1"/>
  <c r="DL104" i="5"/>
  <c r="DZ104" i="5"/>
  <c r="I102" i="5"/>
  <c r="U102" i="5" s="1"/>
  <c r="DN101" i="5"/>
  <c r="H102" i="5" s="1"/>
  <c r="T102" i="5" s="1"/>
  <c r="CY101" i="5"/>
  <c r="CZ101" i="5"/>
  <c r="G102" i="5" s="1"/>
  <c r="S102" i="5" s="1"/>
  <c r="CX104" i="5"/>
  <c r="N104" i="5"/>
  <c r="DB76" i="4"/>
  <c r="DC76" i="4" s="1"/>
  <c r="DQ103" i="5"/>
  <c r="DY102" i="5" s="1"/>
  <c r="EA102" i="5" s="1"/>
  <c r="CR103" i="5"/>
  <c r="CS103" i="5" s="1"/>
  <c r="DF103" i="5"/>
  <c r="DG103" i="5" s="1"/>
  <c r="CP104" i="5"/>
  <c r="CO104" i="5"/>
  <c r="CW103" i="5" s="1"/>
  <c r="CN104" i="5"/>
  <c r="CU102" i="5"/>
  <c r="CV102" i="5" s="1"/>
  <c r="DR104" i="5"/>
  <c r="DP104" i="5"/>
  <c r="DW102" i="5"/>
  <c r="DX102" i="5" s="1"/>
  <c r="B105" i="5"/>
  <c r="DV104" i="5"/>
  <c r="CT104" i="5"/>
  <c r="DH104" i="5"/>
  <c r="BY104" i="5"/>
  <c r="CD104" i="5" s="1"/>
  <c r="AA105" i="5"/>
  <c r="AB104" i="5"/>
  <c r="K105" i="5" s="1"/>
  <c r="W105" i="5" s="1"/>
  <c r="DI102" i="5"/>
  <c r="DJ102" i="5" s="1"/>
  <c r="DN102" i="5" s="1"/>
  <c r="DD104" i="5"/>
  <c r="DB104" i="5"/>
  <c r="DE73" i="4"/>
  <c r="H92" i="4" s="1"/>
  <c r="DH73" i="4"/>
  <c r="I92" i="4" s="1"/>
  <c r="DG76" i="4"/>
  <c r="DD74" i="4"/>
  <c r="C97" i="4"/>
  <c r="W79" i="4"/>
  <c r="CU78" i="4"/>
  <c r="CC101" i="5" l="1"/>
  <c r="CE101" i="5" s="1"/>
  <c r="CB102" i="5"/>
  <c r="BZ105" i="5"/>
  <c r="CG105" i="5" s="1"/>
  <c r="CG100" i="5"/>
  <c r="CH100" i="5" s="1"/>
  <c r="CL100" i="5" s="1"/>
  <c r="AX100" i="5"/>
  <c r="AZ100" i="5" s="1"/>
  <c r="AW101" i="5"/>
  <c r="BD99" i="5"/>
  <c r="BF99" i="5" s="1"/>
  <c r="BC99" i="5"/>
  <c r="BG99" i="5" s="1"/>
  <c r="D100" i="5" s="1"/>
  <c r="P100" i="5" s="1"/>
  <c r="BO105" i="5"/>
  <c r="CJ105" i="5"/>
  <c r="BA105" i="5"/>
  <c r="AY105" i="5"/>
  <c r="CF105" i="5"/>
  <c r="CI105" i="5" s="1"/>
  <c r="BE105" i="5"/>
  <c r="BB101" i="5"/>
  <c r="AU102" i="5"/>
  <c r="J97" i="4"/>
  <c r="BP98" i="5"/>
  <c r="BR98" i="5" s="1"/>
  <c r="BS98" i="5" s="1"/>
  <c r="BW98" i="5" s="1"/>
  <c r="E99" i="5" s="1"/>
  <c r="Q99" i="5" s="1"/>
  <c r="BQ105" i="5"/>
  <c r="BK106" i="5" s="1"/>
  <c r="BL103" i="5"/>
  <c r="BT102" i="5" s="1"/>
  <c r="AQ78" i="4"/>
  <c r="AD78" i="4"/>
  <c r="AW77" i="4"/>
  <c r="Z79" i="4"/>
  <c r="AA79" i="4"/>
  <c r="AT78" i="4" s="1"/>
  <c r="AE76" i="4"/>
  <c r="AG76" i="4" s="1"/>
  <c r="AB77" i="4"/>
  <c r="AF79" i="4"/>
  <c r="AU79" i="4"/>
  <c r="CE79" i="4"/>
  <c r="Y79" i="4"/>
  <c r="BV98" i="5"/>
  <c r="BM100" i="5"/>
  <c r="BK74" i="4"/>
  <c r="BU105" i="5"/>
  <c r="AO105" i="5"/>
  <c r="AK105" i="5"/>
  <c r="AI105" i="5"/>
  <c r="CQ46" i="4"/>
  <c r="G65" i="4" s="1"/>
  <c r="CC59" i="4"/>
  <c r="BZ59" i="4"/>
  <c r="CB59" i="4" s="1"/>
  <c r="F99" i="5"/>
  <c r="R99" i="5" s="1"/>
  <c r="CG48" i="4"/>
  <c r="CH48" i="4" s="1"/>
  <c r="CI48" i="4" s="1"/>
  <c r="CJ48" i="4" s="1"/>
  <c r="CF49" i="4" s="1"/>
  <c r="CN46" i="4"/>
  <c r="F65" i="4" s="1"/>
  <c r="BY47" i="4"/>
  <c r="CO47" i="4" s="1"/>
  <c r="CK47" i="4"/>
  <c r="CL47" i="4" s="1"/>
  <c r="BR48" i="4"/>
  <c r="BS60" i="4" s="1"/>
  <c r="BT72" i="4" s="1"/>
  <c r="BU84" i="4" s="1"/>
  <c r="AD108" i="5"/>
  <c r="AC109" i="5"/>
  <c r="BJ109" i="5"/>
  <c r="DF104" i="5"/>
  <c r="DA77" i="4"/>
  <c r="J104" i="5"/>
  <c r="V104" i="5" s="1"/>
  <c r="N105" i="5"/>
  <c r="DC104" i="5"/>
  <c r="DK103" i="5" s="1"/>
  <c r="DM103" i="5" s="1"/>
  <c r="CW78" i="4"/>
  <c r="CX78" i="4" s="1"/>
  <c r="DF78" i="4" s="1"/>
  <c r="CA78" i="4"/>
  <c r="CY79" i="4"/>
  <c r="CS80" i="4" s="1"/>
  <c r="BP79" i="4"/>
  <c r="BI79" i="4"/>
  <c r="BN79" i="4" s="1"/>
  <c r="X79" i="4"/>
  <c r="K98" i="4" s="1"/>
  <c r="CT79" i="4"/>
  <c r="CZ78" i="4" s="1"/>
  <c r="DL105" i="5"/>
  <c r="DZ105" i="5"/>
  <c r="EB102" i="5"/>
  <c r="I103" i="5" s="1"/>
  <c r="U103" i="5" s="1"/>
  <c r="H103" i="5"/>
  <c r="T103" i="5" s="1"/>
  <c r="CZ102" i="5"/>
  <c r="G103" i="5" s="1"/>
  <c r="S103" i="5" s="1"/>
  <c r="CY102" i="5"/>
  <c r="CX105" i="5"/>
  <c r="DQ104" i="5"/>
  <c r="DY103" i="5" s="1"/>
  <c r="EA103" i="5" s="1"/>
  <c r="DE104" i="5"/>
  <c r="DI103" i="5"/>
  <c r="DJ103" i="5" s="1"/>
  <c r="DT104" i="5"/>
  <c r="DW103" i="5"/>
  <c r="DX103" i="5" s="1"/>
  <c r="CU103" i="5"/>
  <c r="CV103" i="5" s="1"/>
  <c r="CR104" i="5"/>
  <c r="DD105" i="5"/>
  <c r="DB105" i="5"/>
  <c r="DS104" i="5"/>
  <c r="B106" i="5"/>
  <c r="DV105" i="5"/>
  <c r="AA106" i="5"/>
  <c r="DH105" i="5"/>
  <c r="CT105" i="5"/>
  <c r="BY105" i="5"/>
  <c r="CD105" i="5" s="1"/>
  <c r="AB105" i="5"/>
  <c r="K106" i="5" s="1"/>
  <c r="W106" i="5" s="1"/>
  <c r="CN105" i="5"/>
  <c r="CP105" i="5"/>
  <c r="CO105" i="5"/>
  <c r="CW104" i="5" s="1"/>
  <c r="DR105" i="5"/>
  <c r="DP105" i="5"/>
  <c r="CQ104" i="5"/>
  <c r="DG77" i="4"/>
  <c r="DH74" i="4"/>
  <c r="I93" i="4" s="1"/>
  <c r="DE74" i="4"/>
  <c r="H93" i="4" s="1"/>
  <c r="DB77" i="4"/>
  <c r="DC77" i="4" s="1"/>
  <c r="DD75" i="4"/>
  <c r="DD76" i="4" s="1"/>
  <c r="CU79" i="4"/>
  <c r="W80" i="4"/>
  <c r="C98" i="4"/>
  <c r="B97" i="4" s="1"/>
  <c r="BO106" i="5" l="1"/>
  <c r="CJ106" i="5"/>
  <c r="BA106" i="5"/>
  <c r="CF106" i="5"/>
  <c r="CI106" i="5" s="1"/>
  <c r="AY106" i="5"/>
  <c r="BE106" i="5"/>
  <c r="CC102" i="5"/>
  <c r="CE102" i="5" s="1"/>
  <c r="CB103" i="5"/>
  <c r="BZ106" i="5"/>
  <c r="CG106" i="5" s="1"/>
  <c r="AX101" i="5"/>
  <c r="AZ101" i="5" s="1"/>
  <c r="AW102" i="5"/>
  <c r="CG101" i="5"/>
  <c r="CH101" i="5" s="1"/>
  <c r="CL101" i="5" s="1"/>
  <c r="BD100" i="5"/>
  <c r="BF100" i="5" s="1"/>
  <c r="BC100" i="5"/>
  <c r="BG100" i="5" s="1"/>
  <c r="D101" i="5" s="1"/>
  <c r="P101" i="5" s="1"/>
  <c r="CA106" i="5"/>
  <c r="CA107" i="5" s="1"/>
  <c r="BB102" i="5"/>
  <c r="AU103" i="5"/>
  <c r="AV106" i="5"/>
  <c r="AV107" i="5" s="1"/>
  <c r="BP99" i="5"/>
  <c r="BR99" i="5" s="1"/>
  <c r="BS99" i="5" s="1"/>
  <c r="BW99" i="5" s="1"/>
  <c r="E100" i="5" s="1"/>
  <c r="Q100" i="5" s="1"/>
  <c r="BQ106" i="5"/>
  <c r="BK107" i="5" s="1"/>
  <c r="BL104" i="5"/>
  <c r="BT103" i="5" s="1"/>
  <c r="AQ79" i="4"/>
  <c r="AD79" i="4"/>
  <c r="Z80" i="4"/>
  <c r="AA80" i="4"/>
  <c r="AT79" i="4" s="1"/>
  <c r="AU80" i="4"/>
  <c r="AF80" i="4"/>
  <c r="CE80" i="4"/>
  <c r="Y80" i="4"/>
  <c r="AE77" i="4"/>
  <c r="AG77" i="4" s="1"/>
  <c r="AB78" i="4"/>
  <c r="BM101" i="5"/>
  <c r="BV99" i="5"/>
  <c r="CD73" i="4"/>
  <c r="BK75" i="4"/>
  <c r="BU106" i="5"/>
  <c r="AK106" i="5"/>
  <c r="AO106" i="5"/>
  <c r="AI106" i="5"/>
  <c r="CG49" i="4"/>
  <c r="CM47" i="4"/>
  <c r="CN47" i="4" s="1"/>
  <c r="F66" i="4" s="1"/>
  <c r="CP47" i="4"/>
  <c r="BR49" i="4"/>
  <c r="BS61" i="4" s="1"/>
  <c r="BT73" i="4" s="1"/>
  <c r="BU85" i="4" s="1"/>
  <c r="BV48" i="4"/>
  <c r="BX48" i="4" s="1"/>
  <c r="F100" i="5"/>
  <c r="R100" i="5" s="1"/>
  <c r="AD109" i="5"/>
  <c r="AC110" i="5"/>
  <c r="BJ110" i="5"/>
  <c r="DG104" i="5"/>
  <c r="DI104" i="5" s="1"/>
  <c r="DJ104" i="5" s="1"/>
  <c r="DN104" i="5" s="1"/>
  <c r="DA78" i="4"/>
  <c r="J105" i="5"/>
  <c r="V105" i="5" s="1"/>
  <c r="J98" i="4"/>
  <c r="DC105" i="5"/>
  <c r="DK104" i="5" s="1"/>
  <c r="DM104" i="5" s="1"/>
  <c r="CW79" i="4"/>
  <c r="CA79" i="4"/>
  <c r="CT80" i="4"/>
  <c r="CZ79" i="4" s="1"/>
  <c r="BP80" i="4"/>
  <c r="CY80" i="4"/>
  <c r="CS81" i="4" s="1"/>
  <c r="BI80" i="4"/>
  <c r="CA80" i="4" s="1"/>
  <c r="X80" i="4"/>
  <c r="K99" i="4" s="1"/>
  <c r="DL106" i="5"/>
  <c r="DZ106" i="5"/>
  <c r="EB103" i="5"/>
  <c r="I104" i="5" s="1"/>
  <c r="U104" i="5" s="1"/>
  <c r="DN103" i="5"/>
  <c r="H104" i="5" s="1"/>
  <c r="T104" i="5" s="1"/>
  <c r="CX106" i="5"/>
  <c r="CY103" i="5"/>
  <c r="CZ103" i="5"/>
  <c r="G104" i="5" s="1"/>
  <c r="S104" i="5" s="1"/>
  <c r="N106" i="5"/>
  <c r="CV79" i="4"/>
  <c r="CV80" i="4" s="1"/>
  <c r="DG78" i="4"/>
  <c r="DQ105" i="5"/>
  <c r="DY104" i="5" s="1"/>
  <c r="EA104" i="5" s="1"/>
  <c r="DE105" i="5"/>
  <c r="DU104" i="5"/>
  <c r="DW104" i="5" s="1"/>
  <c r="DX104" i="5" s="1"/>
  <c r="DS105" i="5"/>
  <c r="DS106" i="5" s="1"/>
  <c r="CS104" i="5"/>
  <c r="CU104" i="5" s="1"/>
  <c r="CV104" i="5" s="1"/>
  <c r="DF105" i="5"/>
  <c r="CR105" i="5"/>
  <c r="DT105" i="5"/>
  <c r="DD106" i="5"/>
  <c r="DB106" i="5"/>
  <c r="B107" i="5"/>
  <c r="AA107" i="5"/>
  <c r="DV106" i="5"/>
  <c r="CT106" i="5"/>
  <c r="DH106" i="5"/>
  <c r="BY106" i="5"/>
  <c r="CD106" i="5" s="1"/>
  <c r="AB106" i="5"/>
  <c r="K107" i="5" s="1"/>
  <c r="W107" i="5" s="1"/>
  <c r="CQ105" i="5"/>
  <c r="DP106" i="5"/>
  <c r="DR106" i="5"/>
  <c r="CN106" i="5"/>
  <c r="CP106" i="5"/>
  <c r="CO106" i="5"/>
  <c r="CW105" i="5" s="1"/>
  <c r="DD77" i="4"/>
  <c r="DE77" i="4" s="1"/>
  <c r="H96" i="4" s="1"/>
  <c r="DE76" i="4"/>
  <c r="H95" i="4" s="1"/>
  <c r="DH76" i="4"/>
  <c r="I95" i="4" s="1"/>
  <c r="DB78" i="4"/>
  <c r="DC78" i="4" s="1"/>
  <c r="DE75" i="4"/>
  <c r="H94" i="4" s="1"/>
  <c r="DH75" i="4"/>
  <c r="I94" i="4" s="1"/>
  <c r="W81" i="4"/>
  <c r="C99" i="4"/>
  <c r="CU80" i="4"/>
  <c r="BB103" i="5" l="1"/>
  <c r="AU104" i="5"/>
  <c r="BD101" i="5"/>
  <c r="BF101" i="5" s="1"/>
  <c r="BC101" i="5"/>
  <c r="BG101" i="5" s="1"/>
  <c r="D102" i="5" s="1"/>
  <c r="P102" i="5" s="1"/>
  <c r="CC103" i="5"/>
  <c r="CE103" i="5" s="1"/>
  <c r="CI103" i="5" s="1"/>
  <c r="CB104" i="5"/>
  <c r="BZ107" i="5"/>
  <c r="CG107" i="5" s="1"/>
  <c r="CG102" i="5"/>
  <c r="CH102" i="5" s="1"/>
  <c r="CL102" i="5" s="1"/>
  <c r="BO107" i="5"/>
  <c r="CJ107" i="5"/>
  <c r="CF107" i="5"/>
  <c r="BE107" i="5"/>
  <c r="BA107" i="5"/>
  <c r="AV108" i="5" s="1"/>
  <c r="AY107" i="5"/>
  <c r="AX102" i="5"/>
  <c r="AZ102" i="5" s="1"/>
  <c r="AW103" i="5"/>
  <c r="BP100" i="5"/>
  <c r="BR100" i="5" s="1"/>
  <c r="BS100" i="5" s="1"/>
  <c r="BW100" i="5" s="1"/>
  <c r="E101" i="5" s="1"/>
  <c r="Q101" i="5" s="1"/>
  <c r="BQ107" i="5"/>
  <c r="BK108" i="5" s="1"/>
  <c r="BL105" i="5"/>
  <c r="BT104" i="5" s="1"/>
  <c r="AQ80" i="4"/>
  <c r="AD80" i="4"/>
  <c r="AE78" i="4"/>
  <c r="AB79" i="4"/>
  <c r="Z81" i="4"/>
  <c r="AA81" i="4"/>
  <c r="AT80" i="4" s="1"/>
  <c r="AF81" i="4"/>
  <c r="CE81" i="4"/>
  <c r="AU81" i="4"/>
  <c r="Y81" i="4"/>
  <c r="AW79" i="4"/>
  <c r="BN80" i="4"/>
  <c r="BV100" i="5"/>
  <c r="BM102" i="5"/>
  <c r="CD74" i="4"/>
  <c r="BK76" i="4"/>
  <c r="DA79" i="4"/>
  <c r="BU107" i="5"/>
  <c r="AO107" i="5"/>
  <c r="AK107" i="5"/>
  <c r="AI107" i="5"/>
  <c r="CC60" i="4"/>
  <c r="BZ60" i="4"/>
  <c r="CB60" i="4" s="1"/>
  <c r="CH49" i="4"/>
  <c r="CI49" i="4" s="1"/>
  <c r="CJ49" i="4" s="1"/>
  <c r="CF50" i="4" s="1"/>
  <c r="F101" i="5"/>
  <c r="R101" i="5" s="1"/>
  <c r="BV49" i="4"/>
  <c r="BX49" i="4" s="1"/>
  <c r="BY48" i="4"/>
  <c r="CO48" i="4" s="1"/>
  <c r="CK48" i="4"/>
  <c r="CL48" i="4" s="1"/>
  <c r="CQ47" i="4"/>
  <c r="G66" i="4" s="1"/>
  <c r="DE106" i="5"/>
  <c r="DE107" i="5" s="1"/>
  <c r="AD110" i="5"/>
  <c r="AC111" i="5"/>
  <c r="BJ111" i="5"/>
  <c r="CR106" i="5"/>
  <c r="J99" i="4"/>
  <c r="J106" i="5"/>
  <c r="V106" i="5" s="1"/>
  <c r="DC106" i="5"/>
  <c r="DK105" i="5" s="1"/>
  <c r="DM105" i="5" s="1"/>
  <c r="CT81" i="4"/>
  <c r="CZ80" i="4" s="1"/>
  <c r="CV81" i="4"/>
  <c r="BP81" i="4"/>
  <c r="CY81" i="4"/>
  <c r="CS82" i="4" s="1"/>
  <c r="BI81" i="4"/>
  <c r="BN81" i="4" s="1"/>
  <c r="X81" i="4"/>
  <c r="K100" i="4" s="1"/>
  <c r="CW80" i="4"/>
  <c r="CX80" i="4" s="1"/>
  <c r="DF80" i="4" s="1"/>
  <c r="DL107" i="5"/>
  <c r="DZ107" i="5"/>
  <c r="EB104" i="5"/>
  <c r="I105" i="5" s="1"/>
  <c r="U105" i="5" s="1"/>
  <c r="H105" i="5"/>
  <c r="T105" i="5" s="1"/>
  <c r="CX107" i="5"/>
  <c r="CY104" i="5"/>
  <c r="CZ104" i="5"/>
  <c r="G105" i="5" s="1"/>
  <c r="S105" i="5" s="1"/>
  <c r="DQ106" i="5"/>
  <c r="DY105" i="5" s="1"/>
  <c r="EA105" i="5" s="1"/>
  <c r="N107" i="5"/>
  <c r="DG105" i="5"/>
  <c r="DI105" i="5" s="1"/>
  <c r="DJ105" i="5" s="1"/>
  <c r="DN105" i="5" s="1"/>
  <c r="CS105" i="5"/>
  <c r="CU105" i="5" s="1"/>
  <c r="CV105" i="5" s="1"/>
  <c r="DU105" i="5"/>
  <c r="DW105" i="5" s="1"/>
  <c r="DX105" i="5" s="1"/>
  <c r="DT106" i="5"/>
  <c r="DU106" i="5" s="1"/>
  <c r="DF106" i="5"/>
  <c r="CQ106" i="5"/>
  <c r="DD107" i="5"/>
  <c r="DB107" i="5"/>
  <c r="B108" i="5"/>
  <c r="AA108" i="5"/>
  <c r="DV107" i="5"/>
  <c r="CT107" i="5"/>
  <c r="DH107" i="5"/>
  <c r="BY107" i="5"/>
  <c r="CD107" i="5" s="1"/>
  <c r="AB107" i="5"/>
  <c r="K108" i="5" s="1"/>
  <c r="W108" i="5" s="1"/>
  <c r="CO107" i="5"/>
  <c r="CW106" i="5" s="1"/>
  <c r="CN107" i="5"/>
  <c r="CP107" i="5"/>
  <c r="DP107" i="5"/>
  <c r="DR107" i="5"/>
  <c r="DS107" i="5"/>
  <c r="DH77" i="4"/>
  <c r="I96" i="4" s="1"/>
  <c r="CX79" i="4"/>
  <c r="DF79" i="4" s="1"/>
  <c r="DD78" i="4"/>
  <c r="DE78" i="4" s="1"/>
  <c r="H97" i="4" s="1"/>
  <c r="CU81" i="4"/>
  <c r="W82" i="4"/>
  <c r="C100" i="4"/>
  <c r="CA108" i="5" l="1"/>
  <c r="CI107" i="5"/>
  <c r="CG103" i="5"/>
  <c r="CH103" i="5" s="1"/>
  <c r="CL103" i="5" s="1"/>
  <c r="CK103" i="5"/>
  <c r="BO108" i="5"/>
  <c r="CF108" i="5"/>
  <c r="CI108" i="5" s="1"/>
  <c r="AY108" i="5"/>
  <c r="BA108" i="5"/>
  <c r="CJ108" i="5"/>
  <c r="BE108" i="5"/>
  <c r="AX103" i="5"/>
  <c r="AZ103" i="5" s="1"/>
  <c r="AW104" i="5"/>
  <c r="BZ108" i="5"/>
  <c r="CG108" i="5" s="1"/>
  <c r="BB104" i="5"/>
  <c r="AU105" i="5"/>
  <c r="BD102" i="5"/>
  <c r="BF102" i="5" s="1"/>
  <c r="BC102" i="5"/>
  <c r="BG102" i="5" s="1"/>
  <c r="D103" i="5" s="1"/>
  <c r="P103" i="5" s="1"/>
  <c r="CC104" i="5"/>
  <c r="CE104" i="5" s="1"/>
  <c r="CH104" i="5" s="1"/>
  <c r="CB105" i="5"/>
  <c r="AG78" i="4"/>
  <c r="AC79" i="4"/>
  <c r="AC80" i="4" s="1"/>
  <c r="AC81" i="4" s="1"/>
  <c r="AC82" i="4" s="1"/>
  <c r="BP101" i="5"/>
  <c r="BR101" i="5" s="1"/>
  <c r="BQ108" i="5"/>
  <c r="BK109" i="5" s="1"/>
  <c r="BL106" i="5"/>
  <c r="BT105" i="5" s="1"/>
  <c r="AQ81" i="4"/>
  <c r="AD81" i="4"/>
  <c r="DG106" i="5"/>
  <c r="DI106" i="5" s="1"/>
  <c r="DJ106" i="5" s="1"/>
  <c r="Z82" i="4"/>
  <c r="AA82" i="4"/>
  <c r="AT81" i="4" s="1"/>
  <c r="AW80" i="4"/>
  <c r="AU82" i="4"/>
  <c r="AF82" i="4"/>
  <c r="CE82" i="4"/>
  <c r="Y82" i="4"/>
  <c r="AB80" i="4"/>
  <c r="BM103" i="5"/>
  <c r="BV101" i="5"/>
  <c r="CD75" i="4"/>
  <c r="BK77" i="4"/>
  <c r="DA80" i="4"/>
  <c r="BU108" i="5"/>
  <c r="AO108" i="5"/>
  <c r="AK108" i="5"/>
  <c r="AI108" i="5"/>
  <c r="BR50" i="4"/>
  <c r="BS62" i="4" s="1"/>
  <c r="BT74" i="4" s="1"/>
  <c r="BU86" i="4" s="1"/>
  <c r="CC61" i="4"/>
  <c r="BZ61" i="4"/>
  <c r="CB61" i="4" s="1"/>
  <c r="BY49" i="4"/>
  <c r="CO49" i="4" s="1"/>
  <c r="CK49" i="4"/>
  <c r="CL49" i="4" s="1"/>
  <c r="CM48" i="4"/>
  <c r="CN48" i="4" s="1"/>
  <c r="F67" i="4" s="1"/>
  <c r="CP48" i="4"/>
  <c r="F102" i="5"/>
  <c r="R102" i="5" s="1"/>
  <c r="CG50" i="4"/>
  <c r="AD111" i="5"/>
  <c r="AC112" i="5"/>
  <c r="CS106" i="5"/>
  <c r="CU106" i="5" s="1"/>
  <c r="CV106" i="5" s="1"/>
  <c r="BJ112" i="5"/>
  <c r="DC107" i="5"/>
  <c r="DK106" i="5" s="1"/>
  <c r="DM106" i="5" s="1"/>
  <c r="J107" i="5"/>
  <c r="V107" i="5" s="1"/>
  <c r="J100" i="4"/>
  <c r="CW81" i="4"/>
  <c r="CX81" i="4" s="1"/>
  <c r="DF81" i="4" s="1"/>
  <c r="CA81" i="4"/>
  <c r="CV82" i="4"/>
  <c r="CT82" i="4"/>
  <c r="CZ81" i="4" s="1"/>
  <c r="CY82" i="4"/>
  <c r="CS83" i="4" s="1"/>
  <c r="BP82" i="4"/>
  <c r="BI82" i="4"/>
  <c r="BN82" i="4" s="1"/>
  <c r="X82" i="4"/>
  <c r="K101" i="4" s="1"/>
  <c r="DL108" i="5"/>
  <c r="DZ108" i="5"/>
  <c r="EB105" i="5"/>
  <c r="I106" i="5" s="1"/>
  <c r="U106" i="5" s="1"/>
  <c r="H106" i="5"/>
  <c r="T106" i="5" s="1"/>
  <c r="CY105" i="5"/>
  <c r="CZ105" i="5"/>
  <c r="G106" i="5" s="1"/>
  <c r="S106" i="5" s="1"/>
  <c r="CX108" i="5"/>
  <c r="DQ107" i="5"/>
  <c r="DY106" i="5" s="1"/>
  <c r="EA106" i="5" s="1"/>
  <c r="N108" i="5"/>
  <c r="DG80" i="4"/>
  <c r="DG79" i="4"/>
  <c r="DF107" i="5"/>
  <c r="DG107" i="5" s="1"/>
  <c r="CQ107" i="5"/>
  <c r="DT107" i="5"/>
  <c r="DU107" i="5" s="1"/>
  <c r="CP108" i="5"/>
  <c r="CO108" i="5"/>
  <c r="CW107" i="5" s="1"/>
  <c r="CN108" i="5"/>
  <c r="DE108" i="5"/>
  <c r="DD108" i="5"/>
  <c r="DB108" i="5"/>
  <c r="CR107" i="5"/>
  <c r="DR108" i="5"/>
  <c r="DP108" i="5"/>
  <c r="DS108" i="5"/>
  <c r="DW106" i="5"/>
  <c r="DX106" i="5" s="1"/>
  <c r="B109" i="5"/>
  <c r="DH108" i="5"/>
  <c r="BY108" i="5"/>
  <c r="CD108" i="5" s="1"/>
  <c r="AA109" i="5"/>
  <c r="DV108" i="5"/>
  <c r="CT108" i="5"/>
  <c r="AB108" i="5"/>
  <c r="K109" i="5" s="1"/>
  <c r="W109" i="5" s="1"/>
  <c r="DH78" i="4"/>
  <c r="I97" i="4" s="1"/>
  <c r="DB79" i="4"/>
  <c r="DC79" i="4" s="1"/>
  <c r="DB80" i="4"/>
  <c r="DC80" i="4" s="1"/>
  <c r="CU82" i="4"/>
  <c r="W83" i="4"/>
  <c r="C101" i="4"/>
  <c r="CK104" i="5" l="1"/>
  <c r="CL104" i="5"/>
  <c r="AE79" i="4"/>
  <c r="AG79" i="4" s="1"/>
  <c r="BB105" i="5"/>
  <c r="AU106" i="5"/>
  <c r="BZ109" i="5"/>
  <c r="CG109" i="5" s="1"/>
  <c r="CC105" i="5"/>
  <c r="CE105" i="5" s="1"/>
  <c r="CH105" i="5" s="1"/>
  <c r="CB106" i="5"/>
  <c r="AX104" i="5"/>
  <c r="AZ104" i="5" s="1"/>
  <c r="AW105" i="5"/>
  <c r="BD103" i="5"/>
  <c r="BF103" i="5" s="1"/>
  <c r="BC103" i="5"/>
  <c r="BG103" i="5" s="1"/>
  <c r="D104" i="5" s="1"/>
  <c r="P104" i="5" s="1"/>
  <c r="AV109" i="5"/>
  <c r="BO109" i="5"/>
  <c r="BA109" i="5"/>
  <c r="CF109" i="5"/>
  <c r="CI109" i="5" s="1"/>
  <c r="AY109" i="5"/>
  <c r="CJ109" i="5"/>
  <c r="BE109" i="5"/>
  <c r="CA109" i="5"/>
  <c r="AC83" i="4"/>
  <c r="BP102" i="5"/>
  <c r="BR102" i="5" s="1"/>
  <c r="BS102" i="5" s="1"/>
  <c r="BW102" i="5" s="1"/>
  <c r="E103" i="5" s="1"/>
  <c r="Q103" i="5" s="1"/>
  <c r="BS101" i="5"/>
  <c r="BW101" i="5" s="1"/>
  <c r="E102" i="5" s="1"/>
  <c r="Q102" i="5" s="1"/>
  <c r="BQ109" i="5"/>
  <c r="BL107" i="5"/>
  <c r="BT106" i="5" s="1"/>
  <c r="AQ82" i="4"/>
  <c r="AD82" i="4"/>
  <c r="DA81" i="4"/>
  <c r="AW81" i="4"/>
  <c r="Z83" i="4"/>
  <c r="AA83" i="4"/>
  <c r="AT82" i="4" s="1"/>
  <c r="AE80" i="4"/>
  <c r="AG80" i="4" s="1"/>
  <c r="AB81" i="4"/>
  <c r="AU83" i="4"/>
  <c r="AF83" i="4"/>
  <c r="CE83" i="4"/>
  <c r="Y83" i="4"/>
  <c r="BV102" i="5"/>
  <c r="BP103" i="5"/>
  <c r="BN104" i="5" s="1"/>
  <c r="BN105" i="5" s="1"/>
  <c r="BN106" i="5" s="1"/>
  <c r="BN107" i="5" s="1"/>
  <c r="BN108" i="5" s="1"/>
  <c r="BN109" i="5" s="1"/>
  <c r="BM104" i="5"/>
  <c r="CD76" i="4"/>
  <c r="BK78" i="4"/>
  <c r="CD77" i="4" s="1"/>
  <c r="BV50" i="4"/>
  <c r="BX50" i="4" s="1"/>
  <c r="CK50" i="4" s="1"/>
  <c r="CL50" i="4" s="1"/>
  <c r="J101" i="4"/>
  <c r="CC62" i="4"/>
  <c r="BU109" i="5"/>
  <c r="AK109" i="5"/>
  <c r="AO109" i="5"/>
  <c r="AI109" i="5"/>
  <c r="CQ48" i="4"/>
  <c r="G67" i="4" s="1"/>
  <c r="F103" i="5"/>
  <c r="R103" i="5" s="1"/>
  <c r="CH50" i="4"/>
  <c r="CI50" i="4" s="1"/>
  <c r="CJ50" i="4" s="1"/>
  <c r="CF51" i="4" s="1"/>
  <c r="CM49" i="4"/>
  <c r="CN49" i="4" s="1"/>
  <c r="F68" i="4" s="1"/>
  <c r="CP49" i="4"/>
  <c r="AD112" i="5"/>
  <c r="AC113" i="5"/>
  <c r="BJ113" i="5"/>
  <c r="CR108" i="5"/>
  <c r="DC108" i="5"/>
  <c r="DK107" i="5" s="1"/>
  <c r="DM107" i="5" s="1"/>
  <c r="J108" i="5"/>
  <c r="V108" i="5" s="1"/>
  <c r="CY83" i="4"/>
  <c r="CS84" i="4" s="1"/>
  <c r="BP83" i="4"/>
  <c r="BI83" i="4"/>
  <c r="X83" i="4"/>
  <c r="K102" i="4" s="1"/>
  <c r="CT83" i="4"/>
  <c r="CZ82" i="4" s="1"/>
  <c r="CV83" i="4"/>
  <c r="CW82" i="4"/>
  <c r="CX82" i="4" s="1"/>
  <c r="DF82" i="4" s="1"/>
  <c r="CA82" i="4"/>
  <c r="DL109" i="5"/>
  <c r="DZ109" i="5"/>
  <c r="EB106" i="5"/>
  <c r="I107" i="5" s="1"/>
  <c r="U107" i="5" s="1"/>
  <c r="DN106" i="5"/>
  <c r="H107" i="5" s="1"/>
  <c r="T107" i="5" s="1"/>
  <c r="CX109" i="5"/>
  <c r="CY106" i="5"/>
  <c r="CZ106" i="5"/>
  <c r="G107" i="5" s="1"/>
  <c r="S107" i="5" s="1"/>
  <c r="DQ108" i="5"/>
  <c r="DY107" i="5" s="1"/>
  <c r="EA107" i="5" s="1"/>
  <c r="N109" i="5"/>
  <c r="DD79" i="4"/>
  <c r="DB81" i="4"/>
  <c r="DC81" i="4" s="1"/>
  <c r="DF108" i="5"/>
  <c r="DG108" i="5" s="1"/>
  <c r="DT108" i="5"/>
  <c r="DU108" i="5" s="1"/>
  <c r="CP109" i="5"/>
  <c r="CO109" i="5"/>
  <c r="CW108" i="5" s="1"/>
  <c r="CN109" i="5"/>
  <c r="DH109" i="5"/>
  <c r="BY109" i="5"/>
  <c r="CD109" i="5" s="1"/>
  <c r="B110" i="5"/>
  <c r="AA110" i="5"/>
  <c r="DV109" i="5"/>
  <c r="CT109" i="5"/>
  <c r="AB109" i="5"/>
  <c r="K110" i="5" s="1"/>
  <c r="W110" i="5" s="1"/>
  <c r="DR109" i="5"/>
  <c r="DP109" i="5"/>
  <c r="DS109" i="5"/>
  <c r="DE109" i="5"/>
  <c r="DD109" i="5"/>
  <c r="DB109" i="5"/>
  <c r="CS107" i="5"/>
  <c r="DW107" i="5"/>
  <c r="DX107" i="5" s="1"/>
  <c r="EB107" i="5" s="1"/>
  <c r="DI107" i="5"/>
  <c r="DJ107" i="5" s="1"/>
  <c r="CQ108" i="5"/>
  <c r="DG81" i="4"/>
  <c r="CU83" i="4"/>
  <c r="C102" i="4"/>
  <c r="W84" i="4"/>
  <c r="CA110" i="5" l="1"/>
  <c r="AV110" i="5"/>
  <c r="CK105" i="5"/>
  <c r="CL105" i="5"/>
  <c r="BZ110" i="5"/>
  <c r="CG110" i="5" s="1"/>
  <c r="BB106" i="5"/>
  <c r="AU107" i="5"/>
  <c r="AX105" i="5"/>
  <c r="AZ105" i="5" s="1"/>
  <c r="AW106" i="5"/>
  <c r="BD104" i="5"/>
  <c r="BF104" i="5" s="1"/>
  <c r="BC104" i="5"/>
  <c r="BG104" i="5" s="1"/>
  <c r="D105" i="5" s="1"/>
  <c r="P105" i="5" s="1"/>
  <c r="CF110" i="5"/>
  <c r="CI110" i="5" s="1"/>
  <c r="BA110" i="5"/>
  <c r="AV111" i="5" s="1"/>
  <c r="AY110" i="5"/>
  <c r="BE110" i="5"/>
  <c r="CJ110" i="5"/>
  <c r="CC106" i="5"/>
  <c r="CE106" i="5" s="1"/>
  <c r="CH106" i="5" s="1"/>
  <c r="CB107" i="5"/>
  <c r="BQ110" i="5"/>
  <c r="BO110" i="5"/>
  <c r="BN110" i="5"/>
  <c r="AC84" i="4"/>
  <c r="BK110" i="5"/>
  <c r="BR103" i="5"/>
  <c r="BS103" i="5" s="1"/>
  <c r="BW103" i="5" s="1"/>
  <c r="BL108" i="5"/>
  <c r="BT107" i="5" s="1"/>
  <c r="AQ83" i="4"/>
  <c r="AD83" i="4"/>
  <c r="DA82" i="4"/>
  <c r="J102" i="4"/>
  <c r="BY50" i="4"/>
  <c r="CO50" i="4" s="1"/>
  <c r="CP50" i="4" s="1"/>
  <c r="BN83" i="4"/>
  <c r="CE84" i="4"/>
  <c r="AF84" i="4"/>
  <c r="AU84" i="4"/>
  <c r="Y84" i="4"/>
  <c r="AE81" i="4"/>
  <c r="AG81" i="4" s="1"/>
  <c r="AB82" i="4"/>
  <c r="Z84" i="4"/>
  <c r="AA84" i="4"/>
  <c r="AT83" i="4" s="1"/>
  <c r="AW82" i="4"/>
  <c r="BP104" i="5"/>
  <c r="BM105" i="5"/>
  <c r="BV103" i="5"/>
  <c r="BZ62" i="4"/>
  <c r="CB62" i="4" s="1"/>
  <c r="BU110" i="5"/>
  <c r="AK110" i="5"/>
  <c r="AO110" i="5"/>
  <c r="AI110" i="5"/>
  <c r="CQ49" i="4"/>
  <c r="G68" i="4" s="1"/>
  <c r="CM50" i="4"/>
  <c r="CG51" i="4"/>
  <c r="BR51" i="4"/>
  <c r="BS63" i="4" s="1"/>
  <c r="BT75" i="4" s="1"/>
  <c r="BU87" i="4" s="1"/>
  <c r="CS108" i="5"/>
  <c r="CU108" i="5" s="1"/>
  <c r="CV108" i="5" s="1"/>
  <c r="AD113" i="5"/>
  <c r="AC114" i="5"/>
  <c r="BJ114" i="5"/>
  <c r="CR109" i="5"/>
  <c r="DC109" i="5"/>
  <c r="DK108" i="5" s="1"/>
  <c r="DM108" i="5" s="1"/>
  <c r="J109" i="5"/>
  <c r="V109" i="5" s="1"/>
  <c r="CW83" i="4"/>
  <c r="CX83" i="4" s="1"/>
  <c r="DF83" i="4" s="1"/>
  <c r="CA83" i="4"/>
  <c r="CV84" i="4"/>
  <c r="CY84" i="4"/>
  <c r="CS85" i="4" s="1"/>
  <c r="BP84" i="4"/>
  <c r="BI84" i="4"/>
  <c r="BN84" i="4" s="1"/>
  <c r="X84" i="4"/>
  <c r="K103" i="4" s="1"/>
  <c r="CT84" i="4"/>
  <c r="CZ83" i="4" s="1"/>
  <c r="DL110" i="5"/>
  <c r="DZ110" i="5"/>
  <c r="I108" i="5"/>
  <c r="U108" i="5" s="1"/>
  <c r="DN107" i="5"/>
  <c r="H108" i="5" s="1"/>
  <c r="T108" i="5" s="1"/>
  <c r="CY107" i="5"/>
  <c r="CX110" i="5"/>
  <c r="DQ109" i="5"/>
  <c r="DY108" i="5" s="1"/>
  <c r="EA108" i="5" s="1"/>
  <c r="N110" i="5"/>
  <c r="DE79" i="4"/>
  <c r="H98" i="4" s="1"/>
  <c r="DD80" i="4"/>
  <c r="DH80" i="4" s="1"/>
  <c r="I99" i="4" s="1"/>
  <c r="DH79" i="4"/>
  <c r="I98" i="4" s="1"/>
  <c r="DG82" i="4"/>
  <c r="DF109" i="5"/>
  <c r="DG109" i="5" s="1"/>
  <c r="DT109" i="5"/>
  <c r="DU109" i="5" s="1"/>
  <c r="DW109" i="5" s="1"/>
  <c r="DX109" i="5" s="1"/>
  <c r="DW108" i="5"/>
  <c r="DX108" i="5" s="1"/>
  <c r="CP110" i="5"/>
  <c r="CO110" i="5"/>
  <c r="CW109" i="5" s="1"/>
  <c r="CN110" i="5"/>
  <c r="B111" i="5"/>
  <c r="DH110" i="5"/>
  <c r="BY110" i="5"/>
  <c r="CD110" i="5" s="1"/>
  <c r="AA111" i="5"/>
  <c r="CT110" i="5"/>
  <c r="DV110" i="5"/>
  <c r="AB110" i="5"/>
  <c r="K111" i="5" s="1"/>
  <c r="W111" i="5" s="1"/>
  <c r="DS110" i="5"/>
  <c r="DR110" i="5"/>
  <c r="DP110" i="5"/>
  <c r="CQ109" i="5"/>
  <c r="CU107" i="5"/>
  <c r="CV107" i="5" s="1"/>
  <c r="DE110" i="5"/>
  <c r="DB110" i="5"/>
  <c r="DD110" i="5"/>
  <c r="DI108" i="5"/>
  <c r="DJ108" i="5" s="1"/>
  <c r="DN108" i="5" s="1"/>
  <c r="DB82" i="4"/>
  <c r="DC82" i="4" s="1"/>
  <c r="W85" i="4"/>
  <c r="C103" i="4"/>
  <c r="CU84" i="4"/>
  <c r="CK106" i="5" l="1"/>
  <c r="CL106" i="5"/>
  <c r="BZ111" i="5"/>
  <c r="CG111" i="5" s="1"/>
  <c r="AX106" i="5"/>
  <c r="AZ106" i="5" s="1"/>
  <c r="AW107" i="5"/>
  <c r="CA111" i="5"/>
  <c r="BD105" i="5"/>
  <c r="BF105" i="5" s="1"/>
  <c r="BC105" i="5"/>
  <c r="BG105" i="5" s="1"/>
  <c r="D106" i="5" s="1"/>
  <c r="P106" i="5" s="1"/>
  <c r="BB107" i="5"/>
  <c r="AU108" i="5"/>
  <c r="BO111" i="5"/>
  <c r="CF111" i="5"/>
  <c r="CI111" i="5" s="1"/>
  <c r="CJ111" i="5"/>
  <c r="BE111" i="5"/>
  <c r="AY111" i="5"/>
  <c r="BA111" i="5"/>
  <c r="CC107" i="5"/>
  <c r="CE107" i="5" s="1"/>
  <c r="CH107" i="5" s="1"/>
  <c r="CB108" i="5"/>
  <c r="BK111" i="5"/>
  <c r="BN111" i="5"/>
  <c r="AC85" i="4"/>
  <c r="BQ111" i="5"/>
  <c r="BL109" i="5"/>
  <c r="BT108" i="5" s="1"/>
  <c r="J103" i="4"/>
  <c r="AQ84" i="4"/>
  <c r="AD84" i="4"/>
  <c r="DA83" i="4"/>
  <c r="CS109" i="5"/>
  <c r="CU109" i="5" s="1"/>
  <c r="CV109" i="5" s="1"/>
  <c r="AE82" i="4"/>
  <c r="AG82" i="4" s="1"/>
  <c r="AB83" i="4"/>
  <c r="Z85" i="4"/>
  <c r="AA85" i="4"/>
  <c r="AT84" i="4" s="1"/>
  <c r="AW83" i="4"/>
  <c r="AF85" i="4"/>
  <c r="AU85" i="4"/>
  <c r="CE85" i="4"/>
  <c r="Y85" i="4"/>
  <c r="E104" i="5"/>
  <c r="Q104" i="5" s="1"/>
  <c r="E13" i="5"/>
  <c r="E29" i="5" s="1"/>
  <c r="BV104" i="5"/>
  <c r="BP105" i="5"/>
  <c r="BM106" i="5"/>
  <c r="AO111" i="5"/>
  <c r="BU111" i="5"/>
  <c r="AK111" i="5"/>
  <c r="AI111" i="5"/>
  <c r="F104" i="5"/>
  <c r="R104" i="5" s="1"/>
  <c r="CQ50" i="4"/>
  <c r="G69" i="4" s="1"/>
  <c r="BV51" i="4"/>
  <c r="BX51" i="4" s="1"/>
  <c r="CH51" i="4"/>
  <c r="CI51" i="4" s="1"/>
  <c r="CJ51" i="4" s="1"/>
  <c r="CF52" i="4" s="1"/>
  <c r="CN50" i="4"/>
  <c r="F69" i="4" s="1"/>
  <c r="AD114" i="5"/>
  <c r="AC115" i="5"/>
  <c r="BJ115" i="5"/>
  <c r="CR110" i="5"/>
  <c r="DC110" i="5"/>
  <c r="DK109" i="5" s="1"/>
  <c r="DM109" i="5" s="1"/>
  <c r="J110" i="5"/>
  <c r="V110" i="5" s="1"/>
  <c r="CA84" i="4"/>
  <c r="CT85" i="4"/>
  <c r="CZ84" i="4" s="1"/>
  <c r="CV85" i="4"/>
  <c r="CY85" i="4"/>
  <c r="CS86" i="4" s="1"/>
  <c r="BP85" i="4"/>
  <c r="BI85" i="4"/>
  <c r="BN85" i="4" s="1"/>
  <c r="X85" i="4"/>
  <c r="K104" i="4" s="1"/>
  <c r="CW84" i="4"/>
  <c r="CX84" i="4" s="1"/>
  <c r="DF84" i="4" s="1"/>
  <c r="DL111" i="5"/>
  <c r="DZ111" i="5"/>
  <c r="EB109" i="5"/>
  <c r="I110" i="5" s="1"/>
  <c r="U110" i="5" s="1"/>
  <c r="EB108" i="5"/>
  <c r="I109" i="5" s="1"/>
  <c r="U109" i="5" s="1"/>
  <c r="H109" i="5"/>
  <c r="T109" i="5" s="1"/>
  <c r="CZ107" i="5"/>
  <c r="G108" i="5" s="1"/>
  <c r="S108" i="5" s="1"/>
  <c r="CZ108" i="5"/>
  <c r="G109" i="5" s="1"/>
  <c r="S109" i="5" s="1"/>
  <c r="CY108" i="5"/>
  <c r="CX111" i="5"/>
  <c r="DQ110" i="5"/>
  <c r="DY109" i="5" s="1"/>
  <c r="EA109" i="5" s="1"/>
  <c r="N111" i="5"/>
  <c r="DE80" i="4"/>
  <c r="H99" i="4" s="1"/>
  <c r="DD81" i="4"/>
  <c r="DE81" i="4" s="1"/>
  <c r="H100" i="4" s="1"/>
  <c r="DF110" i="5"/>
  <c r="DG110" i="5" s="1"/>
  <c r="DI109" i="5"/>
  <c r="DJ109" i="5" s="1"/>
  <c r="DN109" i="5" s="1"/>
  <c r="CP111" i="5"/>
  <c r="CO111" i="5"/>
  <c r="CW110" i="5" s="1"/>
  <c r="CN111" i="5"/>
  <c r="B112" i="5"/>
  <c r="DH111" i="5"/>
  <c r="BY111" i="5"/>
  <c r="CD111" i="5" s="1"/>
  <c r="CT111" i="5"/>
  <c r="AA112" i="5"/>
  <c r="DV111" i="5"/>
  <c r="AB111" i="5"/>
  <c r="K112" i="5" s="1"/>
  <c r="W112" i="5" s="1"/>
  <c r="DT110" i="5"/>
  <c r="DU110" i="5" s="1"/>
  <c r="DB111" i="5"/>
  <c r="DE111" i="5"/>
  <c r="DD111" i="5"/>
  <c r="CQ110" i="5"/>
  <c r="DS111" i="5"/>
  <c r="DR111" i="5"/>
  <c r="DP111" i="5"/>
  <c r="DG83" i="4"/>
  <c r="DB83" i="4"/>
  <c r="DC83" i="4" s="1"/>
  <c r="CU85" i="4"/>
  <c r="W86" i="4"/>
  <c r="C104" i="4"/>
  <c r="CL107" i="5" l="1"/>
  <c r="CK107" i="5"/>
  <c r="AX107" i="5"/>
  <c r="AZ107" i="5" s="1"/>
  <c r="AW108" i="5"/>
  <c r="BZ112" i="5"/>
  <c r="CG112" i="5" s="1"/>
  <c r="BD106" i="5"/>
  <c r="BF106" i="5" s="1"/>
  <c r="BC106" i="5"/>
  <c r="BG106" i="5" s="1"/>
  <c r="D107" i="5" s="1"/>
  <c r="P107" i="5" s="1"/>
  <c r="BB108" i="5"/>
  <c r="AU109" i="5"/>
  <c r="AV112" i="5"/>
  <c r="BO112" i="5"/>
  <c r="CJ112" i="5"/>
  <c r="CF112" i="5"/>
  <c r="CI112" i="5" s="1"/>
  <c r="AY112" i="5"/>
  <c r="BA112" i="5"/>
  <c r="BE112" i="5"/>
  <c r="CC108" i="5"/>
  <c r="CE108" i="5" s="1"/>
  <c r="CH108" i="5" s="1"/>
  <c r="CB109" i="5"/>
  <c r="CA112" i="5"/>
  <c r="BK112" i="5"/>
  <c r="BN112" i="5"/>
  <c r="J104" i="4"/>
  <c r="AC86" i="4"/>
  <c r="BR104" i="5"/>
  <c r="BS104" i="5" s="1"/>
  <c r="BW104" i="5" s="1"/>
  <c r="E105" i="5" s="1"/>
  <c r="Q105" i="5" s="1"/>
  <c r="BQ112" i="5"/>
  <c r="BL110" i="5"/>
  <c r="BT109" i="5" s="1"/>
  <c r="DA84" i="4"/>
  <c r="AQ85" i="4"/>
  <c r="AD85" i="4"/>
  <c r="AE83" i="4"/>
  <c r="AG83" i="4" s="1"/>
  <c r="AB84" i="4"/>
  <c r="Z86" i="4"/>
  <c r="AA86" i="4"/>
  <c r="AT85" i="4" s="1"/>
  <c r="AU86" i="4"/>
  <c r="AF86" i="4"/>
  <c r="CE86" i="4"/>
  <c r="Y86" i="4"/>
  <c r="BM107" i="5"/>
  <c r="BP106" i="5"/>
  <c r="BV105" i="5"/>
  <c r="AK112" i="5"/>
  <c r="AO112" i="5"/>
  <c r="BU112" i="5"/>
  <c r="AI112" i="5"/>
  <c r="CG52" i="4"/>
  <c r="CH52" i="4" s="1"/>
  <c r="CI52" i="4" s="1"/>
  <c r="CJ52" i="4" s="1"/>
  <c r="CF53" i="4" s="1"/>
  <c r="BR52" i="4"/>
  <c r="BS64" i="4" s="1"/>
  <c r="BT76" i="4" s="1"/>
  <c r="BU88" i="4" s="1"/>
  <c r="F105" i="5"/>
  <c r="R105" i="5" s="1"/>
  <c r="CC63" i="4"/>
  <c r="BZ63" i="4"/>
  <c r="CB63" i="4" s="1"/>
  <c r="BY51" i="4"/>
  <c r="CO51" i="4" s="1"/>
  <c r="CK51" i="4"/>
  <c r="CL51" i="4" s="1"/>
  <c r="AD115" i="5"/>
  <c r="AC116" i="5"/>
  <c r="CS110" i="5"/>
  <c r="CU110" i="5" s="1"/>
  <c r="CV110" i="5" s="1"/>
  <c r="BJ116" i="5"/>
  <c r="DT111" i="5"/>
  <c r="DU111" i="5" s="1"/>
  <c r="DC111" i="5"/>
  <c r="DK110" i="5" s="1"/>
  <c r="DM110" i="5" s="1"/>
  <c r="J111" i="5"/>
  <c r="V111" i="5" s="1"/>
  <c r="CV86" i="4"/>
  <c r="CT86" i="4"/>
  <c r="CZ85" i="4" s="1"/>
  <c r="CW85" i="4"/>
  <c r="CX85" i="4" s="1"/>
  <c r="DF85" i="4" s="1"/>
  <c r="CA85" i="4"/>
  <c r="CY86" i="4"/>
  <c r="CS87" i="4" s="1"/>
  <c r="BP86" i="4"/>
  <c r="BI86" i="4"/>
  <c r="X86" i="4"/>
  <c r="K105" i="4" s="1"/>
  <c r="DL112" i="5"/>
  <c r="DZ112" i="5"/>
  <c r="H110" i="5"/>
  <c r="T110" i="5" s="1"/>
  <c r="CX112" i="5"/>
  <c r="CY109" i="5"/>
  <c r="CZ109" i="5"/>
  <c r="G110" i="5" s="1"/>
  <c r="S110" i="5" s="1"/>
  <c r="DQ111" i="5"/>
  <c r="DY110" i="5" s="1"/>
  <c r="EA110" i="5" s="1"/>
  <c r="N112" i="5"/>
  <c r="DD82" i="4"/>
  <c r="DH82" i="4" s="1"/>
  <c r="I101" i="4" s="1"/>
  <c r="DH81" i="4"/>
  <c r="I100" i="4" s="1"/>
  <c r="DB84" i="4"/>
  <c r="DC84" i="4" s="1"/>
  <c r="DF111" i="5"/>
  <c r="DG111" i="5" s="1"/>
  <c r="DI111" i="5" s="1"/>
  <c r="DJ111" i="5" s="1"/>
  <c r="DB112" i="5"/>
  <c r="DD112" i="5"/>
  <c r="DE112" i="5"/>
  <c r="CQ111" i="5"/>
  <c r="CQ112" i="5" s="1"/>
  <c r="B113" i="5"/>
  <c r="DH112" i="5"/>
  <c r="BY112" i="5"/>
  <c r="CD112" i="5" s="1"/>
  <c r="CT112" i="5"/>
  <c r="DV112" i="5"/>
  <c r="AA113" i="5"/>
  <c r="AB112" i="5"/>
  <c r="K113" i="5" s="1"/>
  <c r="W113" i="5" s="1"/>
  <c r="CR111" i="5"/>
  <c r="CP112" i="5"/>
  <c r="CO112" i="5"/>
  <c r="CW111" i="5" s="1"/>
  <c r="CN112" i="5"/>
  <c r="DI110" i="5"/>
  <c r="DJ110" i="5" s="1"/>
  <c r="DS112" i="5"/>
  <c r="DR112" i="5"/>
  <c r="DP112" i="5"/>
  <c r="DW110" i="5"/>
  <c r="DX110" i="5" s="1"/>
  <c r="DG84" i="4"/>
  <c r="W87" i="4"/>
  <c r="C105" i="4"/>
  <c r="CU86" i="4"/>
  <c r="CA113" i="5" l="1"/>
  <c r="BK113" i="5"/>
  <c r="CL108" i="5"/>
  <c r="CK108" i="5"/>
  <c r="AV113" i="5"/>
  <c r="BB109" i="5"/>
  <c r="AU110" i="5"/>
  <c r="AX108" i="5"/>
  <c r="AZ108" i="5" s="1"/>
  <c r="AW109" i="5"/>
  <c r="BD107" i="5"/>
  <c r="BF107" i="5" s="1"/>
  <c r="BC107" i="5"/>
  <c r="BG107" i="5" s="1"/>
  <c r="D108" i="5" s="1"/>
  <c r="P108" i="5" s="1"/>
  <c r="CC109" i="5"/>
  <c r="CE109" i="5" s="1"/>
  <c r="CH109" i="5" s="1"/>
  <c r="CB110" i="5"/>
  <c r="BO113" i="5"/>
  <c r="CF113" i="5"/>
  <c r="CI113" i="5" s="1"/>
  <c r="CJ113" i="5"/>
  <c r="BA113" i="5"/>
  <c r="AY113" i="5"/>
  <c r="BE113" i="5"/>
  <c r="BZ113" i="5"/>
  <c r="CG113" i="5" s="1"/>
  <c r="J105" i="4"/>
  <c r="DA85" i="4"/>
  <c r="AC87" i="4"/>
  <c r="BN113" i="5"/>
  <c r="BR105" i="5"/>
  <c r="BS105" i="5" s="1"/>
  <c r="BW105" i="5" s="1"/>
  <c r="E106" i="5" s="1"/>
  <c r="Q106" i="5" s="1"/>
  <c r="BQ113" i="5"/>
  <c r="BK114" i="5" s="1"/>
  <c r="BL111" i="5"/>
  <c r="BT110" i="5" s="1"/>
  <c r="AQ86" i="4"/>
  <c r="AD86" i="4"/>
  <c r="BV106" i="5"/>
  <c r="BN86" i="4"/>
  <c r="Z87" i="4"/>
  <c r="AA87" i="4"/>
  <c r="AT86" i="4" s="1"/>
  <c r="AW85" i="4"/>
  <c r="AF87" i="4"/>
  <c r="CE87" i="4"/>
  <c r="AU87" i="4"/>
  <c r="Y87" i="4"/>
  <c r="AE84" i="4"/>
  <c r="AB85" i="4"/>
  <c r="BM108" i="5"/>
  <c r="BP107" i="5"/>
  <c r="BU113" i="5"/>
  <c r="AK113" i="5"/>
  <c r="AO113" i="5"/>
  <c r="AI113" i="5"/>
  <c r="CG53" i="4"/>
  <c r="CM51" i="4"/>
  <c r="CN51" i="4" s="1"/>
  <c r="F70" i="4" s="1"/>
  <c r="CP51" i="4"/>
  <c r="F106" i="5"/>
  <c r="R106" i="5" s="1"/>
  <c r="BR53" i="4"/>
  <c r="BS65" i="4" s="1"/>
  <c r="BT77" i="4" s="1"/>
  <c r="BU89" i="4" s="1"/>
  <c r="BV52" i="4"/>
  <c r="BX52" i="4" s="1"/>
  <c r="AD116" i="5"/>
  <c r="AC117" i="5"/>
  <c r="BJ117" i="5"/>
  <c r="DC112" i="5"/>
  <c r="DK111" i="5" s="1"/>
  <c r="DM111" i="5" s="1"/>
  <c r="J112" i="5"/>
  <c r="V112" i="5" s="1"/>
  <c r="CY87" i="4"/>
  <c r="CS88" i="4" s="1"/>
  <c r="BP87" i="4"/>
  <c r="BI87" i="4"/>
  <c r="BN87" i="4" s="1"/>
  <c r="X87" i="4"/>
  <c r="K106" i="4" s="1"/>
  <c r="CT87" i="4"/>
  <c r="CV87" i="4"/>
  <c r="CW86" i="4"/>
  <c r="CX86" i="4" s="1"/>
  <c r="DF86" i="4" s="1"/>
  <c r="CA86" i="4"/>
  <c r="DL113" i="5"/>
  <c r="DZ113" i="5"/>
  <c r="EB110" i="5"/>
  <c r="I111" i="5" s="1"/>
  <c r="U111" i="5" s="1"/>
  <c r="DN111" i="5"/>
  <c r="H112" i="5" s="1"/>
  <c r="T112" i="5" s="1"/>
  <c r="DN110" i="5"/>
  <c r="H111" i="5" s="1"/>
  <c r="T111" i="5" s="1"/>
  <c r="CZ110" i="5"/>
  <c r="G111" i="5" s="1"/>
  <c r="S111" i="5" s="1"/>
  <c r="CY110" i="5"/>
  <c r="CX113" i="5"/>
  <c r="DQ112" i="5"/>
  <c r="DY111" i="5" s="1"/>
  <c r="EA111" i="5" s="1"/>
  <c r="N113" i="5"/>
  <c r="DE82" i="4"/>
  <c r="H101" i="4" s="1"/>
  <c r="DD83" i="4"/>
  <c r="DE83" i="4" s="1"/>
  <c r="H102" i="4" s="1"/>
  <c r="DG85" i="4"/>
  <c r="DT112" i="5"/>
  <c r="DU112" i="5" s="1"/>
  <c r="CQ113" i="5"/>
  <c r="CP113" i="5"/>
  <c r="CN113" i="5"/>
  <c r="CO113" i="5"/>
  <c r="CW112" i="5" s="1"/>
  <c r="CR112" i="5"/>
  <c r="CS112" i="5" s="1"/>
  <c r="DW111" i="5"/>
  <c r="DX111" i="5" s="1"/>
  <c r="DF112" i="5"/>
  <c r="DG112" i="5" s="1"/>
  <c r="B114" i="5"/>
  <c r="DV113" i="5"/>
  <c r="CT113" i="5"/>
  <c r="DH113" i="5"/>
  <c r="BY113" i="5"/>
  <c r="CD113" i="5" s="1"/>
  <c r="AA114" i="5"/>
  <c r="AB113" i="5"/>
  <c r="K114" i="5" s="1"/>
  <c r="W114" i="5" s="1"/>
  <c r="DD113" i="5"/>
  <c r="DB113" i="5"/>
  <c r="DE113" i="5"/>
  <c r="CS111" i="5"/>
  <c r="DS113" i="5"/>
  <c r="DP113" i="5"/>
  <c r="DR113" i="5"/>
  <c r="DB85" i="4"/>
  <c r="DC85" i="4" s="1"/>
  <c r="CU87" i="4"/>
  <c r="W88" i="4"/>
  <c r="C106" i="4"/>
  <c r="J106" i="4" l="1"/>
  <c r="CK109" i="5"/>
  <c r="CL109" i="5"/>
  <c r="BZ114" i="5"/>
  <c r="CG114" i="5" s="1"/>
  <c r="BD108" i="5"/>
  <c r="BF108" i="5" s="1"/>
  <c r="BC108" i="5"/>
  <c r="BG108" i="5" s="1"/>
  <c r="D109" i="5" s="1"/>
  <c r="P109" i="5" s="1"/>
  <c r="BB110" i="5"/>
  <c r="AU111" i="5"/>
  <c r="CC110" i="5"/>
  <c r="CE110" i="5" s="1"/>
  <c r="CH110" i="5" s="1"/>
  <c r="CB111" i="5"/>
  <c r="AV114" i="5"/>
  <c r="CA114" i="5"/>
  <c r="BO114" i="5"/>
  <c r="CF114" i="5"/>
  <c r="CI114" i="5" s="1"/>
  <c r="CJ114" i="5"/>
  <c r="BA114" i="5"/>
  <c r="BE114" i="5"/>
  <c r="AY114" i="5"/>
  <c r="AX109" i="5"/>
  <c r="AZ109" i="5" s="1"/>
  <c r="AW110" i="5"/>
  <c r="BN114" i="5"/>
  <c r="AC88" i="4"/>
  <c r="AG84" i="4"/>
  <c r="BR106" i="5"/>
  <c r="BS106" i="5" s="1"/>
  <c r="BW106" i="5" s="1"/>
  <c r="E107" i="5" s="1"/>
  <c r="Q107" i="5" s="1"/>
  <c r="BQ114" i="5"/>
  <c r="BK115" i="5" s="1"/>
  <c r="BL112" i="5"/>
  <c r="BT111" i="5" s="1"/>
  <c r="AQ87" i="4"/>
  <c r="AD87" i="4"/>
  <c r="BV107" i="5"/>
  <c r="Z88" i="4"/>
  <c r="AA88" i="4"/>
  <c r="AT87" i="4" s="1"/>
  <c r="AW86" i="4"/>
  <c r="AU88" i="4"/>
  <c r="AF88" i="4"/>
  <c r="CE88" i="4"/>
  <c r="Y88" i="4"/>
  <c r="AE85" i="4"/>
  <c r="AG85" i="4" s="1"/>
  <c r="AB86" i="4"/>
  <c r="BP108" i="5"/>
  <c r="BM109" i="5"/>
  <c r="AO114" i="5"/>
  <c r="AK114" i="5"/>
  <c r="BU114" i="5"/>
  <c r="AI114" i="5"/>
  <c r="DC113" i="5"/>
  <c r="DK112" i="5" s="1"/>
  <c r="DM112" i="5" s="1"/>
  <c r="CQ51" i="4"/>
  <c r="G70" i="4" s="1"/>
  <c r="BY52" i="4"/>
  <c r="CO52" i="4" s="1"/>
  <c r="CK52" i="4"/>
  <c r="CL52" i="4" s="1"/>
  <c r="CH53" i="4"/>
  <c r="CI53" i="4" s="1"/>
  <c r="CJ53" i="4" s="1"/>
  <c r="CC64" i="4"/>
  <c r="BZ64" i="4"/>
  <c r="CB64" i="4" s="1"/>
  <c r="BV53" i="4"/>
  <c r="BX53" i="4" s="1"/>
  <c r="F107" i="5"/>
  <c r="R107" i="5" s="1"/>
  <c r="AD117" i="5"/>
  <c r="AC118" i="5"/>
  <c r="BJ118" i="5"/>
  <c r="DF113" i="5"/>
  <c r="DG113" i="5" s="1"/>
  <c r="CT88" i="4"/>
  <c r="CZ87" i="4" s="1"/>
  <c r="J113" i="5"/>
  <c r="V113" i="5" s="1"/>
  <c r="CW87" i="4"/>
  <c r="CX87" i="4" s="1"/>
  <c r="DF87" i="4" s="1"/>
  <c r="CA87" i="4"/>
  <c r="CZ86" i="4"/>
  <c r="DA86" i="4" s="1"/>
  <c r="BP88" i="4"/>
  <c r="CY88" i="4"/>
  <c r="CS89" i="4" s="1"/>
  <c r="BI88" i="4"/>
  <c r="CA88" i="4" s="1"/>
  <c r="X88" i="4"/>
  <c r="K107" i="4" s="1"/>
  <c r="CV88" i="4"/>
  <c r="DL114" i="5"/>
  <c r="DZ114" i="5"/>
  <c r="EB111" i="5"/>
  <c r="I112" i="5" s="1"/>
  <c r="U112" i="5" s="1"/>
  <c r="CY111" i="5"/>
  <c r="CX114" i="5"/>
  <c r="DQ113" i="5"/>
  <c r="DY112" i="5" s="1"/>
  <c r="EA112" i="5" s="1"/>
  <c r="N114" i="5"/>
  <c r="DH83" i="4"/>
  <c r="I102" i="4" s="1"/>
  <c r="DD84" i="4"/>
  <c r="DE84" i="4" s="1"/>
  <c r="H103" i="4" s="1"/>
  <c r="DG86" i="4"/>
  <c r="DT113" i="5"/>
  <c r="DU113" i="5" s="1"/>
  <c r="DI112" i="5"/>
  <c r="DJ112" i="5" s="1"/>
  <c r="DN112" i="5" s="1"/>
  <c r="CU112" i="5"/>
  <c r="CV112" i="5" s="1"/>
  <c r="CR113" i="5"/>
  <c r="CS113" i="5" s="1"/>
  <c r="DW112" i="5"/>
  <c r="DX112" i="5" s="1"/>
  <c r="DE114" i="5"/>
  <c r="DD114" i="5"/>
  <c r="DB114" i="5"/>
  <c r="CQ114" i="5"/>
  <c r="CN114" i="5"/>
  <c r="CO114" i="5"/>
  <c r="CW113" i="5" s="1"/>
  <c r="CP114" i="5"/>
  <c r="DP114" i="5"/>
  <c r="DS114" i="5"/>
  <c r="DR114" i="5"/>
  <c r="CU111" i="5"/>
  <c r="CV111" i="5" s="1"/>
  <c r="B115" i="5"/>
  <c r="DV114" i="5"/>
  <c r="CT114" i="5"/>
  <c r="AA115" i="5"/>
  <c r="BY114" i="5"/>
  <c r="CD114" i="5" s="1"/>
  <c r="DH114" i="5"/>
  <c r="AB114" i="5"/>
  <c r="K115" i="5" s="1"/>
  <c r="W115" i="5" s="1"/>
  <c r="DB86" i="4"/>
  <c r="DC86" i="4" s="1"/>
  <c r="CU88" i="4"/>
  <c r="W89" i="4"/>
  <c r="C107" i="4"/>
  <c r="J107" i="4" s="1"/>
  <c r="CA115" i="5" l="1"/>
  <c r="AV115" i="5"/>
  <c r="CL110" i="5"/>
  <c r="CK110" i="5"/>
  <c r="BB111" i="5"/>
  <c r="AU112" i="5"/>
  <c r="AX110" i="5"/>
  <c r="AZ110" i="5" s="1"/>
  <c r="AW111" i="5"/>
  <c r="CC111" i="5"/>
  <c r="CE111" i="5" s="1"/>
  <c r="CH111" i="5" s="1"/>
  <c r="CB112" i="5"/>
  <c r="BD109" i="5"/>
  <c r="BF109" i="5" s="1"/>
  <c r="BC109" i="5"/>
  <c r="BG109" i="5" s="1"/>
  <c r="D110" i="5" s="1"/>
  <c r="P110" i="5" s="1"/>
  <c r="CJ115" i="5"/>
  <c r="CF115" i="5"/>
  <c r="BB115" i="5"/>
  <c r="BE115" i="5"/>
  <c r="BA115" i="5"/>
  <c r="AY115" i="5"/>
  <c r="BZ115" i="5"/>
  <c r="CG115" i="5" s="1"/>
  <c r="BQ115" i="5"/>
  <c r="BO115" i="5"/>
  <c r="AC89" i="4"/>
  <c r="BN115" i="5"/>
  <c r="BR107" i="5"/>
  <c r="BS107" i="5" s="1"/>
  <c r="BW107" i="5" s="1"/>
  <c r="E108" i="5" s="1"/>
  <c r="Q108" i="5" s="1"/>
  <c r="BL113" i="5"/>
  <c r="BT112" i="5" s="1"/>
  <c r="BR115" i="5"/>
  <c r="AL115" i="5"/>
  <c r="AQ88" i="4"/>
  <c r="AD88" i="4"/>
  <c r="BV108" i="5"/>
  <c r="AE86" i="4"/>
  <c r="AG86" i="4" s="1"/>
  <c r="AB87" i="4"/>
  <c r="Z89" i="4"/>
  <c r="AA89" i="4"/>
  <c r="AT88" i="4" s="1"/>
  <c r="AW87" i="4"/>
  <c r="BN88" i="4"/>
  <c r="AF89" i="4"/>
  <c r="CE89" i="4"/>
  <c r="AU89" i="4"/>
  <c r="Y89" i="4"/>
  <c r="AW84" i="4"/>
  <c r="BM110" i="5"/>
  <c r="BP109" i="5"/>
  <c r="BU115" i="5"/>
  <c r="AK115" i="5"/>
  <c r="AO115" i="5"/>
  <c r="AI115" i="5"/>
  <c r="DC114" i="5"/>
  <c r="DK113" i="5" s="1"/>
  <c r="DM113" i="5" s="1"/>
  <c r="CM52" i="4"/>
  <c r="CP52" i="4"/>
  <c r="BR54" i="4"/>
  <c r="BS66" i="4" s="1"/>
  <c r="BT78" i="4" s="1"/>
  <c r="BU90" i="4" s="1"/>
  <c r="BY53" i="4"/>
  <c r="CO53" i="4" s="1"/>
  <c r="CK53" i="4"/>
  <c r="CL53" i="4" s="1"/>
  <c r="CC65" i="4"/>
  <c r="BZ65" i="4"/>
  <c r="CB65" i="4" s="1"/>
  <c r="F108" i="5"/>
  <c r="R108" i="5" s="1"/>
  <c r="AD118" i="5"/>
  <c r="AC119" i="5"/>
  <c r="BJ119" i="5"/>
  <c r="CR114" i="5"/>
  <c r="CS114" i="5" s="1"/>
  <c r="J114" i="5"/>
  <c r="V114" i="5" s="1"/>
  <c r="DA87" i="4"/>
  <c r="CV89" i="4"/>
  <c r="CT89" i="4"/>
  <c r="CZ88" i="4" s="1"/>
  <c r="CW88" i="4"/>
  <c r="CX88" i="4" s="1"/>
  <c r="DF88" i="4" s="1"/>
  <c r="BP89" i="4"/>
  <c r="CY89" i="4"/>
  <c r="CS90" i="4" s="1"/>
  <c r="BI89" i="4"/>
  <c r="BN89" i="4" s="1"/>
  <c r="X89" i="4"/>
  <c r="K108" i="4" s="1"/>
  <c r="DL115" i="5"/>
  <c r="DZ115" i="5"/>
  <c r="EB112" i="5"/>
  <c r="I113" i="5" s="1"/>
  <c r="U113" i="5" s="1"/>
  <c r="H113" i="5"/>
  <c r="T113" i="5" s="1"/>
  <c r="CX115" i="5"/>
  <c r="CZ111" i="5"/>
  <c r="G112" i="5" s="1"/>
  <c r="S112" i="5" s="1"/>
  <c r="CY112" i="5"/>
  <c r="CZ112" i="5"/>
  <c r="G113" i="5" s="1"/>
  <c r="S113" i="5" s="1"/>
  <c r="DQ114" i="5"/>
  <c r="DY113" i="5" s="1"/>
  <c r="EA113" i="5" s="1"/>
  <c r="N115" i="5"/>
  <c r="DH84" i="4"/>
  <c r="I103" i="4" s="1"/>
  <c r="DD85" i="4"/>
  <c r="DE85" i="4" s="1"/>
  <c r="H104" i="4" s="1"/>
  <c r="DG87" i="4"/>
  <c r="DT114" i="5"/>
  <c r="DU114" i="5" s="1"/>
  <c r="DI113" i="5"/>
  <c r="DJ113" i="5" s="1"/>
  <c r="CN115" i="5"/>
  <c r="CO115" i="5"/>
  <c r="CW114" i="5" s="1"/>
  <c r="CP115" i="5"/>
  <c r="CQ115" i="5"/>
  <c r="DF114" i="5"/>
  <c r="DG114" i="5" s="1"/>
  <c r="DP115" i="5"/>
  <c r="DR115" i="5"/>
  <c r="DS115" i="5"/>
  <c r="B116" i="5"/>
  <c r="A105" i="5" s="1"/>
  <c r="AA116" i="5"/>
  <c r="DV115" i="5"/>
  <c r="CT115" i="5"/>
  <c r="DI115" i="5"/>
  <c r="DH115" i="5"/>
  <c r="BY115" i="5"/>
  <c r="CD115" i="5" s="1"/>
  <c r="AB115" i="5"/>
  <c r="K116" i="5" s="1"/>
  <c r="W116" i="5" s="1"/>
  <c r="CU113" i="5"/>
  <c r="CV113" i="5" s="1"/>
  <c r="DE115" i="5"/>
  <c r="DD115" i="5"/>
  <c r="DB115" i="5"/>
  <c r="DW113" i="5"/>
  <c r="DX113" i="5" s="1"/>
  <c r="DB87" i="4"/>
  <c r="DC87" i="4" s="1"/>
  <c r="C108" i="4"/>
  <c r="J108" i="4" s="1"/>
  <c r="W90" i="4"/>
  <c r="AG90" i="4" s="1"/>
  <c r="CU89" i="4"/>
  <c r="CL111" i="5" l="1"/>
  <c r="CK111" i="5"/>
  <c r="BB112" i="5"/>
  <c r="AU113" i="5"/>
  <c r="BZ116" i="5"/>
  <c r="CG116" i="5" s="1"/>
  <c r="BO116" i="5"/>
  <c r="CF116" i="5"/>
  <c r="CI116" i="5" s="1"/>
  <c r="BA116" i="5"/>
  <c r="AY116" i="5"/>
  <c r="CJ116" i="5"/>
  <c r="BE116" i="5"/>
  <c r="CC112" i="5"/>
  <c r="CE112" i="5" s="1"/>
  <c r="CH112" i="5" s="1"/>
  <c r="CB113" i="5"/>
  <c r="CA116" i="5"/>
  <c r="AX111" i="5"/>
  <c r="AZ111" i="5" s="1"/>
  <c r="AW112" i="5"/>
  <c r="BD110" i="5"/>
  <c r="BF110" i="5" s="1"/>
  <c r="BC110" i="5"/>
  <c r="BG110" i="5" s="1"/>
  <c r="D111" i="5" s="1"/>
  <c r="P111" i="5" s="1"/>
  <c r="AC90" i="4"/>
  <c r="BR108" i="5"/>
  <c r="BS108" i="5" s="1"/>
  <c r="BW108" i="5" s="1"/>
  <c r="E109" i="5" s="1"/>
  <c r="Q109" i="5" s="1"/>
  <c r="BQ116" i="5"/>
  <c r="BL114" i="5"/>
  <c r="BT113" i="5" s="1"/>
  <c r="AQ89" i="4"/>
  <c r="AD89" i="4"/>
  <c r="AF90" i="4"/>
  <c r="Y90" i="4"/>
  <c r="Z90" i="4"/>
  <c r="AA90" i="4"/>
  <c r="AT89" i="4" s="1"/>
  <c r="AW88" i="4"/>
  <c r="AE87" i="4"/>
  <c r="AG87" i="4" s="1"/>
  <c r="AB88" i="4"/>
  <c r="BP110" i="5"/>
  <c r="BM111" i="5"/>
  <c r="AI116" i="5"/>
  <c r="BU116" i="5"/>
  <c r="AO116" i="5"/>
  <c r="AK116" i="5"/>
  <c r="CQ52" i="4"/>
  <c r="G71" i="4" s="1"/>
  <c r="DC115" i="5"/>
  <c r="DK114" i="5" s="1"/>
  <c r="DM114" i="5" s="1"/>
  <c r="BV54" i="4"/>
  <c r="BX54" i="4" s="1"/>
  <c r="CE54" i="4" s="1"/>
  <c r="F109" i="5"/>
  <c r="R109" i="5" s="1"/>
  <c r="CM53" i="4"/>
  <c r="CP53" i="4"/>
  <c r="CN52" i="4"/>
  <c r="F71" i="4" s="1"/>
  <c r="AD119" i="5"/>
  <c r="AC120" i="5"/>
  <c r="BJ120" i="5"/>
  <c r="DF115" i="5"/>
  <c r="DG115" i="5" s="1"/>
  <c r="DJ115" i="5" s="1"/>
  <c r="DB116" i="5" s="1"/>
  <c r="J115" i="5"/>
  <c r="V115" i="5" s="1"/>
  <c r="DA88" i="4"/>
  <c r="CV90" i="4"/>
  <c r="CW89" i="4"/>
  <c r="CX89" i="4" s="1"/>
  <c r="DF89" i="4" s="1"/>
  <c r="CA89" i="4"/>
  <c r="CY90" i="4"/>
  <c r="CS91" i="4" s="1"/>
  <c r="BP90" i="4"/>
  <c r="BI90" i="4"/>
  <c r="X90" i="4"/>
  <c r="K109" i="4" s="1"/>
  <c r="CT90" i="4"/>
  <c r="CZ89" i="4" s="1"/>
  <c r="DL116" i="5"/>
  <c r="DZ116" i="5"/>
  <c r="EB113" i="5"/>
  <c r="I114" i="5" s="1"/>
  <c r="U114" i="5" s="1"/>
  <c r="DN113" i="5"/>
  <c r="H114" i="5" s="1"/>
  <c r="T114" i="5" s="1"/>
  <c r="CY113" i="5"/>
  <c r="CZ113" i="5"/>
  <c r="G114" i="5" s="1"/>
  <c r="S114" i="5" s="1"/>
  <c r="CX116" i="5"/>
  <c r="DQ115" i="5"/>
  <c r="DY114" i="5" s="1"/>
  <c r="EA114" i="5" s="1"/>
  <c r="DD86" i="4"/>
  <c r="DH86" i="4" s="1"/>
  <c r="I105" i="4" s="1"/>
  <c r="DH85" i="4"/>
  <c r="I104" i="4" s="1"/>
  <c r="N116" i="5"/>
  <c r="DG88" i="4"/>
  <c r="DT115" i="5"/>
  <c r="DU115" i="5" s="1"/>
  <c r="CR115" i="5"/>
  <c r="CS115" i="5" s="1"/>
  <c r="CQ116" i="5" s="1"/>
  <c r="DI114" i="5"/>
  <c r="DJ114" i="5" s="1"/>
  <c r="B117" i="5"/>
  <c r="AA117" i="5"/>
  <c r="DF116" i="5"/>
  <c r="DV116" i="5"/>
  <c r="CT116" i="5"/>
  <c r="DH116" i="5"/>
  <c r="BY116" i="5"/>
  <c r="CR116" i="5" s="1"/>
  <c r="AB116" i="5"/>
  <c r="K117" i="5" s="1"/>
  <c r="W117" i="5" s="1"/>
  <c r="CO116" i="5"/>
  <c r="CW115" i="5" s="1"/>
  <c r="CN116" i="5"/>
  <c r="CP116" i="5"/>
  <c r="CU114" i="5"/>
  <c r="CV114" i="5" s="1"/>
  <c r="DP116" i="5"/>
  <c r="DR116" i="5"/>
  <c r="DW114" i="5"/>
  <c r="DX114" i="5" s="1"/>
  <c r="DB88" i="4"/>
  <c r="DC88" i="4" s="1"/>
  <c r="W91" i="4"/>
  <c r="AD91" i="4" s="1"/>
  <c r="C109" i="4"/>
  <c r="J109" i="4" s="1"/>
  <c r="CU90" i="4"/>
  <c r="CA117" i="5" l="1"/>
  <c r="CL112" i="5"/>
  <c r="CK112" i="5"/>
  <c r="AX112" i="5"/>
  <c r="AZ112" i="5" s="1"/>
  <c r="AW113" i="5"/>
  <c r="BD111" i="5"/>
  <c r="BF111" i="5" s="1"/>
  <c r="BC111" i="5"/>
  <c r="BG111" i="5" s="1"/>
  <c r="D112" i="5" s="1"/>
  <c r="P112" i="5" s="1"/>
  <c r="BO117" i="5"/>
  <c r="CF117" i="5"/>
  <c r="CI117" i="5" s="1"/>
  <c r="AY117" i="5"/>
  <c r="CJ117" i="5"/>
  <c r="BA117" i="5"/>
  <c r="BE117" i="5"/>
  <c r="CC113" i="5"/>
  <c r="CE113" i="5" s="1"/>
  <c r="CH113" i="5" s="1"/>
  <c r="CB114" i="5"/>
  <c r="BB113" i="5"/>
  <c r="AU114" i="5"/>
  <c r="CD116" i="5"/>
  <c r="BZ117" i="5"/>
  <c r="CG117" i="5" s="1"/>
  <c r="BV109" i="5"/>
  <c r="BV110" i="5" s="1"/>
  <c r="BV111" i="5" s="1"/>
  <c r="BV112" i="5" s="1"/>
  <c r="BR109" i="5"/>
  <c r="BS109" i="5" s="1"/>
  <c r="BW109" i="5" s="1"/>
  <c r="E110" i="5" s="1"/>
  <c r="Q110" i="5" s="1"/>
  <c r="BQ117" i="5"/>
  <c r="BL115" i="5"/>
  <c r="BT114" i="5" s="1"/>
  <c r="AQ90" i="4"/>
  <c r="AD90" i="4"/>
  <c r="BN90" i="4"/>
  <c r="AW89" i="4"/>
  <c r="AE88" i="4"/>
  <c r="AG88" i="4" s="1"/>
  <c r="AB89" i="4"/>
  <c r="AF91" i="4"/>
  <c r="CE91" i="4"/>
  <c r="AU91" i="4"/>
  <c r="Y91" i="4"/>
  <c r="AQ91" i="4" s="1"/>
  <c r="BP111" i="5"/>
  <c r="BM112" i="5"/>
  <c r="BU117" i="5"/>
  <c r="AK117" i="5"/>
  <c r="AO117" i="5"/>
  <c r="AI117" i="5"/>
  <c r="CQ53" i="4"/>
  <c r="G72" i="4" s="1"/>
  <c r="CN53" i="4"/>
  <c r="F72" i="4" s="1"/>
  <c r="BY54" i="4"/>
  <c r="CO54" i="4" s="1"/>
  <c r="CF54" i="4"/>
  <c r="CG54" i="4" s="1"/>
  <c r="CK54" i="4"/>
  <c r="CL54" i="4" s="1"/>
  <c r="CC66" i="4"/>
  <c r="BZ66" i="4"/>
  <c r="CB66" i="4" s="1"/>
  <c r="F110" i="5"/>
  <c r="R110" i="5" s="1"/>
  <c r="AD120" i="5"/>
  <c r="AC121" i="5"/>
  <c r="BJ121" i="5"/>
  <c r="DA89" i="4"/>
  <c r="J116" i="5"/>
  <c r="V116" i="5" s="1"/>
  <c r="N117" i="5"/>
  <c r="DE86" i="4"/>
  <c r="H105" i="4" s="1"/>
  <c r="CY91" i="4"/>
  <c r="CS92" i="4" s="1"/>
  <c r="BP91" i="4"/>
  <c r="BI91" i="4"/>
  <c r="BN91" i="4" s="1"/>
  <c r="X91" i="4"/>
  <c r="K110" i="4" s="1"/>
  <c r="CW90" i="4"/>
  <c r="CX90" i="4" s="1"/>
  <c r="DF90" i="4" s="1"/>
  <c r="CA90" i="4"/>
  <c r="CT91" i="4"/>
  <c r="CZ90" i="4" s="1"/>
  <c r="DL117" i="5"/>
  <c r="DZ117" i="5"/>
  <c r="EB114" i="5"/>
  <c r="I115" i="5" s="1"/>
  <c r="U115" i="5" s="1"/>
  <c r="DN115" i="5"/>
  <c r="H116" i="5" s="1"/>
  <c r="T116" i="5" s="1"/>
  <c r="DN114" i="5"/>
  <c r="H115" i="5" s="1"/>
  <c r="T115" i="5" s="1"/>
  <c r="CX117" i="5"/>
  <c r="CZ114" i="5"/>
  <c r="G115" i="5" s="1"/>
  <c r="S115" i="5" s="1"/>
  <c r="CY114" i="5"/>
  <c r="DQ116" i="5"/>
  <c r="DY115" i="5" s="1"/>
  <c r="EA115" i="5" s="1"/>
  <c r="DD87" i="4"/>
  <c r="DE87" i="4" s="1"/>
  <c r="H106" i="4" s="1"/>
  <c r="DB89" i="4"/>
  <c r="DC89" i="4" s="1"/>
  <c r="DT116" i="5"/>
  <c r="DD116" i="5"/>
  <c r="DE116" i="5" s="1"/>
  <c r="DC116" i="5"/>
  <c r="DK115" i="5" s="1"/>
  <c r="DM115" i="5" s="1"/>
  <c r="DR117" i="5"/>
  <c r="DP117" i="5"/>
  <c r="CU115" i="5"/>
  <c r="CV115" i="5" s="1"/>
  <c r="DW115" i="5"/>
  <c r="DX115" i="5" s="1"/>
  <c r="EB115" i="5" s="1"/>
  <c r="DS116" i="5"/>
  <c r="DB117" i="5"/>
  <c r="B118" i="5"/>
  <c r="DH117" i="5"/>
  <c r="BY117" i="5"/>
  <c r="CR117" i="5" s="1"/>
  <c r="AA118" i="5"/>
  <c r="DF117" i="5"/>
  <c r="CT117" i="5"/>
  <c r="DV117" i="5"/>
  <c r="AB117" i="5"/>
  <c r="K118" i="5" s="1"/>
  <c r="W118" i="5" s="1"/>
  <c r="CS116" i="5"/>
  <c r="CP117" i="5"/>
  <c r="CO117" i="5"/>
  <c r="CW116" i="5" s="1"/>
  <c r="CN117" i="5"/>
  <c r="CQ117" i="5"/>
  <c r="DG89" i="4"/>
  <c r="CU91" i="4"/>
  <c r="W92" i="4"/>
  <c r="AD92" i="4" s="1"/>
  <c r="C110" i="4"/>
  <c r="B109" i="4" s="1"/>
  <c r="CA118" i="5" l="1"/>
  <c r="CL113" i="5"/>
  <c r="CK113" i="5"/>
  <c r="BB114" i="5"/>
  <c r="AU115" i="5"/>
  <c r="BO118" i="5"/>
  <c r="AY118" i="5"/>
  <c r="CF118" i="5"/>
  <c r="CJ118" i="5"/>
  <c r="BE118" i="5"/>
  <c r="BA118" i="5"/>
  <c r="AX113" i="5"/>
  <c r="AZ113" i="5" s="1"/>
  <c r="AW114" i="5"/>
  <c r="CC114" i="5"/>
  <c r="CE114" i="5" s="1"/>
  <c r="CH114" i="5" s="1"/>
  <c r="CB115" i="5"/>
  <c r="CD117" i="5"/>
  <c r="BD112" i="5"/>
  <c r="BF112" i="5" s="1"/>
  <c r="BC112" i="5"/>
  <c r="BG112" i="5" s="1"/>
  <c r="D113" i="5" s="1"/>
  <c r="P113" i="5" s="1"/>
  <c r="BZ118" i="5"/>
  <c r="CG118" i="5" s="1"/>
  <c r="BR110" i="5"/>
  <c r="BS110" i="5" s="1"/>
  <c r="BW110" i="5" s="1"/>
  <c r="E111" i="5" s="1"/>
  <c r="Q111" i="5" s="1"/>
  <c r="BQ118" i="5"/>
  <c r="BV113" i="5"/>
  <c r="BV114" i="5" s="1"/>
  <c r="AU92" i="4"/>
  <c r="CE92" i="4"/>
  <c r="AF92" i="4"/>
  <c r="Y92" i="4"/>
  <c r="AQ92" i="4" s="1"/>
  <c r="AE89" i="4"/>
  <c r="AG89" i="4" s="1"/>
  <c r="AB90" i="4"/>
  <c r="AE90" i="4" s="1"/>
  <c r="BP112" i="5"/>
  <c r="BM113" i="5"/>
  <c r="BU118" i="5"/>
  <c r="AO118" i="5"/>
  <c r="AK118" i="5"/>
  <c r="AI118" i="5"/>
  <c r="CM54" i="4"/>
  <c r="CN54" i="4" s="1"/>
  <c r="F73" i="4" s="1"/>
  <c r="CP54" i="4"/>
  <c r="CH54" i="4"/>
  <c r="CI54" i="4" s="1"/>
  <c r="CJ54" i="4" s="1"/>
  <c r="CF55" i="4" s="1"/>
  <c r="F111" i="5"/>
  <c r="R111" i="5" s="1"/>
  <c r="DG116" i="5"/>
  <c r="DI116" i="5" s="1"/>
  <c r="DJ116" i="5" s="1"/>
  <c r="AD121" i="5"/>
  <c r="AC122" i="5"/>
  <c r="BJ122" i="5"/>
  <c r="DA90" i="4"/>
  <c r="J117" i="5"/>
  <c r="V117" i="5" s="1"/>
  <c r="J110" i="4"/>
  <c r="CT92" i="4"/>
  <c r="CZ91" i="4" s="1"/>
  <c r="CW91" i="4"/>
  <c r="CA91" i="4"/>
  <c r="CY92" i="4"/>
  <c r="CS93" i="4" s="1"/>
  <c r="BP92" i="4"/>
  <c r="BI92" i="4"/>
  <c r="CA92" i="4" s="1"/>
  <c r="X92" i="4"/>
  <c r="K111" i="4" s="1"/>
  <c r="DL118" i="5"/>
  <c r="DZ118" i="5"/>
  <c r="I116" i="5"/>
  <c r="U116" i="5" s="1"/>
  <c r="CY115" i="5"/>
  <c r="CZ115" i="5"/>
  <c r="G116" i="5" s="1"/>
  <c r="S116" i="5" s="1"/>
  <c r="CX118" i="5"/>
  <c r="DQ117" i="5"/>
  <c r="DY116" i="5" s="1"/>
  <c r="EA116" i="5" s="1"/>
  <c r="DD88" i="4"/>
  <c r="DE88" i="4" s="1"/>
  <c r="H107" i="4" s="1"/>
  <c r="DH87" i="4"/>
  <c r="I106" i="4" s="1"/>
  <c r="N118" i="5"/>
  <c r="DC117" i="5"/>
  <c r="DK116" i="5" s="1"/>
  <c r="DM116" i="5" s="1"/>
  <c r="CV91" i="4"/>
  <c r="CV92" i="4" s="1"/>
  <c r="DG90" i="4"/>
  <c r="DD117" i="5"/>
  <c r="DD118" i="5" s="1"/>
  <c r="DE117" i="5"/>
  <c r="DU116" i="5"/>
  <c r="DW116" i="5" s="1"/>
  <c r="DX116" i="5" s="1"/>
  <c r="EB116" i="5" s="1"/>
  <c r="DT117" i="5"/>
  <c r="DB118" i="5"/>
  <c r="DR118" i="5"/>
  <c r="DP118" i="5"/>
  <c r="CQ118" i="5"/>
  <c r="CP118" i="5"/>
  <c r="CO118" i="5"/>
  <c r="CW117" i="5" s="1"/>
  <c r="CN118" i="5"/>
  <c r="CU116" i="5"/>
  <c r="CV116" i="5" s="1"/>
  <c r="CS117" i="5"/>
  <c r="DH118" i="5"/>
  <c r="BY118" i="5"/>
  <c r="CD118" i="5" s="1"/>
  <c r="DF118" i="5"/>
  <c r="B119" i="5"/>
  <c r="DV118" i="5"/>
  <c r="AA119" i="5"/>
  <c r="CT118" i="5"/>
  <c r="AB118" i="5"/>
  <c r="K119" i="5" s="1"/>
  <c r="W119" i="5" s="1"/>
  <c r="DS117" i="5"/>
  <c r="DB90" i="4"/>
  <c r="DC90" i="4" s="1"/>
  <c r="W93" i="4"/>
  <c r="AD93" i="4" s="1"/>
  <c r="C111" i="4"/>
  <c r="CU92" i="4"/>
  <c r="CA119" i="5" l="1"/>
  <c r="CI118" i="5"/>
  <c r="CL114" i="5"/>
  <c r="CK114" i="5"/>
  <c r="BD113" i="5"/>
  <c r="BF113" i="5" s="1"/>
  <c r="BC113" i="5"/>
  <c r="BG113" i="5" s="1"/>
  <c r="D114" i="5" s="1"/>
  <c r="P114" i="5" s="1"/>
  <c r="CC115" i="5"/>
  <c r="CE115" i="5" s="1"/>
  <c r="CI115" i="5" s="1"/>
  <c r="CB116" i="5"/>
  <c r="BO119" i="5"/>
  <c r="CF119" i="5"/>
  <c r="CI119" i="5" s="1"/>
  <c r="CJ119" i="5"/>
  <c r="BA119" i="5"/>
  <c r="BE119" i="5"/>
  <c r="AY119" i="5"/>
  <c r="AX114" i="5"/>
  <c r="AZ114" i="5" s="1"/>
  <c r="AW115" i="5"/>
  <c r="AX115" i="5" s="1"/>
  <c r="AZ115" i="5" s="1"/>
  <c r="BZ119" i="5"/>
  <c r="CG119" i="5" s="1"/>
  <c r="BR111" i="5"/>
  <c r="BS111" i="5" s="1"/>
  <c r="BW111" i="5" s="1"/>
  <c r="E112" i="5" s="1"/>
  <c r="Q112" i="5" s="1"/>
  <c r="BQ119" i="5"/>
  <c r="Z91" i="4"/>
  <c r="BN92" i="4"/>
  <c r="AF93" i="4"/>
  <c r="CE93" i="4"/>
  <c r="AU93" i="4"/>
  <c r="Y93" i="4"/>
  <c r="AQ93" i="4" s="1"/>
  <c r="BM114" i="5"/>
  <c r="BP113" i="5"/>
  <c r="BU119" i="5"/>
  <c r="AK119" i="5"/>
  <c r="AO119" i="5"/>
  <c r="AI119" i="5"/>
  <c r="CQ54" i="4"/>
  <c r="G73" i="4" s="1"/>
  <c r="BR55" i="4"/>
  <c r="BS67" i="4" s="1"/>
  <c r="BT79" i="4" s="1"/>
  <c r="BU91" i="4" s="1"/>
  <c r="CG55" i="4"/>
  <c r="F112" i="5"/>
  <c r="R112" i="5" s="1"/>
  <c r="DG117" i="5"/>
  <c r="DI117" i="5" s="1"/>
  <c r="DJ117" i="5" s="1"/>
  <c r="AD122" i="5"/>
  <c r="AC123" i="5"/>
  <c r="BJ123" i="5"/>
  <c r="DA91" i="4"/>
  <c r="J111" i="4"/>
  <c r="J118" i="5"/>
  <c r="V118" i="5" s="1"/>
  <c r="CW92" i="4"/>
  <c r="CX92" i="4" s="1"/>
  <c r="DF92" i="4" s="1"/>
  <c r="CV93" i="4"/>
  <c r="DQ118" i="5"/>
  <c r="DY117" i="5" s="1"/>
  <c r="EA117" i="5" s="1"/>
  <c r="CY93" i="4"/>
  <c r="CS94" i="4" s="1"/>
  <c r="BP93" i="4"/>
  <c r="BI93" i="4"/>
  <c r="BN93" i="4" s="1"/>
  <c r="X93" i="4"/>
  <c r="K112" i="4" s="1"/>
  <c r="CT93" i="4"/>
  <c r="CZ92" i="4" s="1"/>
  <c r="DL119" i="5"/>
  <c r="DZ119" i="5"/>
  <c r="I117" i="5"/>
  <c r="U117" i="5" s="1"/>
  <c r="DN116" i="5"/>
  <c r="H117" i="5" s="1"/>
  <c r="T117" i="5" s="1"/>
  <c r="CX119" i="5"/>
  <c r="CZ116" i="5"/>
  <c r="G117" i="5" s="1"/>
  <c r="S117" i="5" s="1"/>
  <c r="CY116" i="5"/>
  <c r="DD89" i="4"/>
  <c r="DE89" i="4" s="1"/>
  <c r="H108" i="4" s="1"/>
  <c r="DH88" i="4"/>
  <c r="I107" i="4" s="1"/>
  <c r="N119" i="5"/>
  <c r="DC118" i="5"/>
  <c r="DK117" i="5" s="1"/>
  <c r="DM117" i="5" s="1"/>
  <c r="DE118" i="5"/>
  <c r="DU117" i="5"/>
  <c r="DW117" i="5" s="1"/>
  <c r="DX117" i="5" s="1"/>
  <c r="DP119" i="5"/>
  <c r="DR119" i="5"/>
  <c r="CR118" i="5"/>
  <c r="CS118" i="5" s="1"/>
  <c r="DB119" i="5"/>
  <c r="DD119" i="5"/>
  <c r="DT118" i="5"/>
  <c r="CQ119" i="5"/>
  <c r="CN119" i="5"/>
  <c r="CO119" i="5"/>
  <c r="CW118" i="5" s="1"/>
  <c r="CP119" i="5"/>
  <c r="CU117" i="5"/>
  <c r="CV117" i="5" s="1"/>
  <c r="DS118" i="5"/>
  <c r="AA120" i="5"/>
  <c r="DF119" i="5"/>
  <c r="B120" i="5"/>
  <c r="DV119" i="5"/>
  <c r="DH119" i="5"/>
  <c r="BY119" i="5"/>
  <c r="CD119" i="5" s="1"/>
  <c r="CT119" i="5"/>
  <c r="AB119" i="5"/>
  <c r="K120" i="5" s="1"/>
  <c r="W120" i="5" s="1"/>
  <c r="CX91" i="4"/>
  <c r="DF91" i="4" s="1"/>
  <c r="CU93" i="4"/>
  <c r="C112" i="4"/>
  <c r="W94" i="4"/>
  <c r="AD94" i="4" s="1"/>
  <c r="CC116" i="5" l="1"/>
  <c r="CE116" i="5" s="1"/>
  <c r="CH116" i="5" s="1"/>
  <c r="CB117" i="5"/>
  <c r="CK115" i="5"/>
  <c r="CH115" i="5"/>
  <c r="CL115" i="5" s="1"/>
  <c r="BD115" i="5"/>
  <c r="BC115" i="5"/>
  <c r="BO120" i="5"/>
  <c r="CF120" i="5"/>
  <c r="CI120" i="5" s="1"/>
  <c r="CJ120" i="5"/>
  <c r="BA120" i="5"/>
  <c r="AY120" i="5"/>
  <c r="BE120" i="5"/>
  <c r="BD114" i="5"/>
  <c r="BF114" i="5" s="1"/>
  <c r="BC114" i="5"/>
  <c r="BG114" i="5" s="1"/>
  <c r="D115" i="5" s="1"/>
  <c r="P115" i="5" s="1"/>
  <c r="BZ120" i="5"/>
  <c r="CG120" i="5" s="1"/>
  <c r="CA120" i="5"/>
  <c r="BR112" i="5"/>
  <c r="BS112" i="5" s="1"/>
  <c r="BW112" i="5" s="1"/>
  <c r="E113" i="5" s="1"/>
  <c r="Q113" i="5" s="1"/>
  <c r="BQ120" i="5"/>
  <c r="AB91" i="4"/>
  <c r="AC91" i="4" s="1"/>
  <c r="AC92" i="4" s="1"/>
  <c r="AC93" i="4" s="1"/>
  <c r="AC94" i="4" s="1"/>
  <c r="AA91" i="4"/>
  <c r="AT90" i="4" s="1"/>
  <c r="Z92" i="4"/>
  <c r="Z93" i="4" s="1"/>
  <c r="Z94" i="4" s="1"/>
  <c r="AU94" i="4"/>
  <c r="AF94" i="4"/>
  <c r="CE94" i="4"/>
  <c r="Y94" i="4"/>
  <c r="AQ94" i="4" s="1"/>
  <c r="BP114" i="5"/>
  <c r="BM115" i="5"/>
  <c r="BP115" i="5" s="1"/>
  <c r="BU120" i="5"/>
  <c r="AO120" i="5"/>
  <c r="AK120" i="5"/>
  <c r="AI120" i="5"/>
  <c r="F113" i="5"/>
  <c r="R113" i="5" s="1"/>
  <c r="BV55" i="4"/>
  <c r="BX55" i="4" s="1"/>
  <c r="CK55" i="4" s="1"/>
  <c r="CL55" i="4" s="1"/>
  <c r="CH55" i="4"/>
  <c r="CI55" i="4" s="1"/>
  <c r="CJ55" i="4" s="1"/>
  <c r="CF56" i="4" s="1"/>
  <c r="AD123" i="5"/>
  <c r="AC124" i="5"/>
  <c r="DE119" i="5"/>
  <c r="BJ124" i="5"/>
  <c r="DA92" i="4"/>
  <c r="J112" i="4"/>
  <c r="J119" i="5"/>
  <c r="V119" i="5" s="1"/>
  <c r="DQ119" i="5"/>
  <c r="DY118" i="5" s="1"/>
  <c r="EA118" i="5" s="1"/>
  <c r="CW93" i="4"/>
  <c r="CX93" i="4" s="1"/>
  <c r="DF93" i="4" s="1"/>
  <c r="CA93" i="4"/>
  <c r="CY94" i="4"/>
  <c r="CS95" i="4" s="1"/>
  <c r="BP94" i="4"/>
  <c r="BI94" i="4"/>
  <c r="BN94" i="4" s="1"/>
  <c r="X94" i="4"/>
  <c r="K113" i="4" s="1"/>
  <c r="CT94" i="4"/>
  <c r="CZ93" i="4" s="1"/>
  <c r="CV94" i="4"/>
  <c r="DL120" i="5"/>
  <c r="DZ120" i="5"/>
  <c r="EB117" i="5"/>
  <c r="I118" i="5" s="1"/>
  <c r="U118" i="5" s="1"/>
  <c r="DN117" i="5"/>
  <c r="H118" i="5" s="1"/>
  <c r="T118" i="5" s="1"/>
  <c r="CX120" i="5"/>
  <c r="CZ117" i="5"/>
  <c r="G118" i="5" s="1"/>
  <c r="S118" i="5" s="1"/>
  <c r="CY117" i="5"/>
  <c r="DD90" i="4"/>
  <c r="DE90" i="4" s="1"/>
  <c r="H109" i="4" s="1"/>
  <c r="DH89" i="4"/>
  <c r="I108" i="4" s="1"/>
  <c r="N120" i="5"/>
  <c r="DC119" i="5"/>
  <c r="DK118" i="5" s="1"/>
  <c r="DM118" i="5" s="1"/>
  <c r="DG118" i="5"/>
  <c r="DI118" i="5" s="1"/>
  <c r="DJ118" i="5" s="1"/>
  <c r="DU118" i="5"/>
  <c r="DW118" i="5" s="1"/>
  <c r="DX118" i="5" s="1"/>
  <c r="DT119" i="5"/>
  <c r="DB120" i="5"/>
  <c r="DD120" i="5"/>
  <c r="DR120" i="5"/>
  <c r="DP120" i="5"/>
  <c r="CQ120" i="5"/>
  <c r="CP120" i="5"/>
  <c r="CO120" i="5"/>
  <c r="CW119" i="5" s="1"/>
  <c r="CN120" i="5"/>
  <c r="CR119" i="5"/>
  <c r="CS119" i="5" s="1"/>
  <c r="CU118" i="5"/>
  <c r="CV118" i="5" s="1"/>
  <c r="DH120" i="5"/>
  <c r="BY120" i="5"/>
  <c r="DT120" i="5" s="1"/>
  <c r="AA121" i="5"/>
  <c r="DV120" i="5"/>
  <c r="CT120" i="5"/>
  <c r="B121" i="5"/>
  <c r="DF120" i="5"/>
  <c r="AB120" i="5"/>
  <c r="K121" i="5" s="1"/>
  <c r="W121" i="5" s="1"/>
  <c r="DS119" i="5"/>
  <c r="DG92" i="4"/>
  <c r="DB92" i="4"/>
  <c r="DC92" i="4" s="1"/>
  <c r="DG91" i="4"/>
  <c r="DB91" i="4"/>
  <c r="DC91" i="4" s="1"/>
  <c r="W95" i="4"/>
  <c r="AD95" i="4" s="1"/>
  <c r="C113" i="4"/>
  <c r="CU94" i="4"/>
  <c r="CK116" i="5" l="1"/>
  <c r="CK117" i="5" s="1"/>
  <c r="CL116" i="5"/>
  <c r="BG115" i="5"/>
  <c r="D116" i="5" s="1"/>
  <c r="P116" i="5" s="1"/>
  <c r="BF115" i="5"/>
  <c r="AV116" i="5" s="1"/>
  <c r="AV117" i="5" s="1"/>
  <c r="AV118" i="5" s="1"/>
  <c r="AV119" i="5" s="1"/>
  <c r="AV120" i="5" s="1"/>
  <c r="AV121" i="5" s="1"/>
  <c r="BO121" i="5"/>
  <c r="CJ121" i="5"/>
  <c r="AY121" i="5"/>
  <c r="CF121" i="5"/>
  <c r="CI121" i="5" s="1"/>
  <c r="BA121" i="5"/>
  <c r="BE121" i="5"/>
  <c r="AC95" i="4"/>
  <c r="CD120" i="5"/>
  <c r="BZ121" i="5"/>
  <c r="CG121" i="5" s="1"/>
  <c r="CC117" i="5"/>
  <c r="CE117" i="5" s="1"/>
  <c r="CH117" i="5" s="1"/>
  <c r="CB118" i="5"/>
  <c r="CA121" i="5"/>
  <c r="BR113" i="5"/>
  <c r="BS113" i="5" s="1"/>
  <c r="BW113" i="5" s="1"/>
  <c r="E114" i="5" s="1"/>
  <c r="Q114" i="5" s="1"/>
  <c r="BQ121" i="5"/>
  <c r="BS115" i="5"/>
  <c r="Z95" i="4"/>
  <c r="AA92" i="4"/>
  <c r="AT91" i="4" s="1"/>
  <c r="AF95" i="4"/>
  <c r="AU95" i="4"/>
  <c r="CE95" i="4"/>
  <c r="Y95" i="4"/>
  <c r="AQ95" i="4" s="1"/>
  <c r="AE91" i="4"/>
  <c r="AG91" i="4" s="1"/>
  <c r="AB92" i="4"/>
  <c r="BU121" i="5"/>
  <c r="AK121" i="5"/>
  <c r="AO121" i="5"/>
  <c r="AI121" i="5"/>
  <c r="BR56" i="4"/>
  <c r="BS68" i="4" s="1"/>
  <c r="BT80" i="4" s="1"/>
  <c r="BU92" i="4" s="1"/>
  <c r="CG56" i="4"/>
  <c r="CH56" i="4" s="1"/>
  <c r="CI56" i="4" s="1"/>
  <c r="CJ56" i="4" s="1"/>
  <c r="CF57" i="4" s="1"/>
  <c r="F114" i="5"/>
  <c r="R114" i="5" s="1"/>
  <c r="CC67" i="4"/>
  <c r="BZ67" i="4"/>
  <c r="CB67" i="4" s="1"/>
  <c r="BY55" i="4"/>
  <c r="CO55" i="4" s="1"/>
  <c r="CP55" i="4" s="1"/>
  <c r="CM55" i="4"/>
  <c r="DG119" i="5"/>
  <c r="DI119" i="5" s="1"/>
  <c r="DJ119" i="5" s="1"/>
  <c r="DN119" i="5" s="1"/>
  <c r="DQ120" i="5"/>
  <c r="DY119" i="5" s="1"/>
  <c r="EA119" i="5" s="1"/>
  <c r="AD124" i="5"/>
  <c r="AC125" i="5"/>
  <c r="DE120" i="5"/>
  <c r="DE121" i="5" s="1"/>
  <c r="BJ125" i="5"/>
  <c r="DA93" i="4"/>
  <c r="J113" i="4"/>
  <c r="J120" i="5"/>
  <c r="V120" i="5" s="1"/>
  <c r="CW94" i="4"/>
  <c r="CX94" i="4" s="1"/>
  <c r="DF94" i="4" s="1"/>
  <c r="CA94" i="4"/>
  <c r="CV95" i="4"/>
  <c r="CT95" i="4"/>
  <c r="CZ94" i="4" s="1"/>
  <c r="CY95" i="4"/>
  <c r="CS96" i="4" s="1"/>
  <c r="BP95" i="4"/>
  <c r="BI95" i="4"/>
  <c r="BN95" i="4" s="1"/>
  <c r="X95" i="4"/>
  <c r="K114" i="4" s="1"/>
  <c r="DL121" i="5"/>
  <c r="DZ121" i="5"/>
  <c r="EB118" i="5"/>
  <c r="I119" i="5" s="1"/>
  <c r="U119" i="5" s="1"/>
  <c r="DN118" i="5"/>
  <c r="H119" i="5" s="1"/>
  <c r="T119" i="5" s="1"/>
  <c r="CX121" i="5"/>
  <c r="CY118" i="5"/>
  <c r="CZ118" i="5"/>
  <c r="G119" i="5" s="1"/>
  <c r="S119" i="5" s="1"/>
  <c r="DH90" i="4"/>
  <c r="I109" i="4" s="1"/>
  <c r="N121" i="5"/>
  <c r="DC120" i="5"/>
  <c r="DK119" i="5" s="1"/>
  <c r="DM119" i="5" s="1"/>
  <c r="DD91" i="4"/>
  <c r="DB93" i="4"/>
  <c r="DC93" i="4" s="1"/>
  <c r="DU119" i="5"/>
  <c r="DW119" i="5" s="1"/>
  <c r="DX119" i="5" s="1"/>
  <c r="CU119" i="5"/>
  <c r="CV119" i="5" s="1"/>
  <c r="CQ121" i="5"/>
  <c r="CP121" i="5"/>
  <c r="CO121" i="5"/>
  <c r="CW120" i="5" s="1"/>
  <c r="CN121" i="5"/>
  <c r="DB121" i="5"/>
  <c r="DD121" i="5"/>
  <c r="DR121" i="5"/>
  <c r="DP121" i="5"/>
  <c r="CR120" i="5"/>
  <c r="CS120" i="5" s="1"/>
  <c r="DH121" i="5"/>
  <c r="BY121" i="5"/>
  <c r="CR121" i="5" s="1"/>
  <c r="DV121" i="5"/>
  <c r="B122" i="5"/>
  <c r="AA122" i="5"/>
  <c r="CT121" i="5"/>
  <c r="DF121" i="5"/>
  <c r="AB121" i="5"/>
  <c r="K122" i="5" s="1"/>
  <c r="W122" i="5" s="1"/>
  <c r="DS120" i="5"/>
  <c r="DU120" i="5" s="1"/>
  <c r="DG93" i="4"/>
  <c r="CU95" i="4"/>
  <c r="W96" i="4"/>
  <c r="AD96" i="4" s="1"/>
  <c r="C114" i="4"/>
  <c r="CA122" i="5" l="1"/>
  <c r="AV122" i="5"/>
  <c r="CK118" i="5"/>
  <c r="CL117" i="5"/>
  <c r="AC96" i="4"/>
  <c r="CC118" i="5"/>
  <c r="CE118" i="5" s="1"/>
  <c r="CH118" i="5" s="1"/>
  <c r="CL118" i="5" s="1"/>
  <c r="CB119" i="5"/>
  <c r="CD121" i="5"/>
  <c r="BO122" i="5"/>
  <c r="CJ122" i="5"/>
  <c r="AY122" i="5"/>
  <c r="CF122" i="5"/>
  <c r="CI122" i="5" s="1"/>
  <c r="BE122" i="5"/>
  <c r="BA122" i="5"/>
  <c r="AV123" i="5" s="1"/>
  <c r="BZ122" i="5"/>
  <c r="CG122" i="5" s="1"/>
  <c r="AU116" i="5"/>
  <c r="CA123" i="5"/>
  <c r="BR114" i="5"/>
  <c r="BS114" i="5" s="1"/>
  <c r="BW114" i="5" s="1"/>
  <c r="E115" i="5" s="1"/>
  <c r="Q115" i="5" s="1"/>
  <c r="BQ122" i="5"/>
  <c r="DQ121" i="5"/>
  <c r="DY120" i="5" s="1"/>
  <c r="EA120" i="5" s="1"/>
  <c r="BW115" i="5"/>
  <c r="BK116" i="5"/>
  <c r="Z96" i="4"/>
  <c r="AE92" i="4"/>
  <c r="AG92" i="4" s="1"/>
  <c r="AB93" i="4"/>
  <c r="AA93" i="4"/>
  <c r="AT92" i="4" s="1"/>
  <c r="AU96" i="4"/>
  <c r="CE96" i="4"/>
  <c r="AF96" i="4"/>
  <c r="Y96" i="4"/>
  <c r="AQ96" i="4" s="1"/>
  <c r="BV56" i="4"/>
  <c r="BX56" i="4" s="1"/>
  <c r="CK56" i="4" s="1"/>
  <c r="CL56" i="4" s="1"/>
  <c r="CM56" i="4" s="1"/>
  <c r="CC68" i="4"/>
  <c r="J114" i="4"/>
  <c r="AO122" i="5"/>
  <c r="BU122" i="5"/>
  <c r="AK122" i="5"/>
  <c r="AI122" i="5"/>
  <c r="CQ55" i="4"/>
  <c r="G74" i="4" s="1"/>
  <c r="BR57" i="4"/>
  <c r="BS69" i="4" s="1"/>
  <c r="BT81" i="4" s="1"/>
  <c r="BU93" i="4" s="1"/>
  <c r="CN55" i="4"/>
  <c r="F74" i="4" s="1"/>
  <c r="F115" i="5"/>
  <c r="R115" i="5" s="1"/>
  <c r="CG57" i="4"/>
  <c r="DG120" i="5"/>
  <c r="DI120" i="5" s="1"/>
  <c r="DJ120" i="5" s="1"/>
  <c r="AD125" i="5"/>
  <c r="AC126" i="5"/>
  <c r="BJ126" i="5"/>
  <c r="DA94" i="4"/>
  <c r="J121" i="5"/>
  <c r="V121" i="5" s="1"/>
  <c r="CT96" i="4"/>
  <c r="CV96" i="4"/>
  <c r="CW95" i="4"/>
  <c r="CX95" i="4" s="1"/>
  <c r="DF95" i="4" s="1"/>
  <c r="CA95" i="4"/>
  <c r="BP96" i="4"/>
  <c r="CY96" i="4"/>
  <c r="CS97" i="4" s="1"/>
  <c r="BI96" i="4"/>
  <c r="CA96" i="4" s="1"/>
  <c r="X96" i="4"/>
  <c r="K115" i="4" s="1"/>
  <c r="DL122" i="5"/>
  <c r="DZ122" i="5"/>
  <c r="EB119" i="5"/>
  <c r="I120" i="5" s="1"/>
  <c r="U120" i="5" s="1"/>
  <c r="H120" i="5"/>
  <c r="T120" i="5" s="1"/>
  <c r="CX122" i="5"/>
  <c r="CY119" i="5"/>
  <c r="CZ119" i="5"/>
  <c r="G120" i="5" s="1"/>
  <c r="S120" i="5" s="1"/>
  <c r="DC121" i="5"/>
  <c r="DK120" i="5" s="1"/>
  <c r="DM120" i="5" s="1"/>
  <c r="N122" i="5"/>
  <c r="DE91" i="4"/>
  <c r="H110" i="4" s="1"/>
  <c r="DH91" i="4"/>
  <c r="I110" i="4" s="1"/>
  <c r="DD92" i="4"/>
  <c r="DE92" i="4" s="1"/>
  <c r="H111" i="4" s="1"/>
  <c r="DG94" i="4"/>
  <c r="DT121" i="5"/>
  <c r="CU120" i="5"/>
  <c r="CV120" i="5" s="1"/>
  <c r="DS121" i="5"/>
  <c r="CQ122" i="5"/>
  <c r="CP122" i="5"/>
  <c r="CN122" i="5"/>
  <c r="CO122" i="5"/>
  <c r="CW121" i="5" s="1"/>
  <c r="B123" i="5"/>
  <c r="DH122" i="5"/>
  <c r="BY122" i="5"/>
  <c r="CD122" i="5" s="1"/>
  <c r="AA123" i="5"/>
  <c r="DF122" i="5"/>
  <c r="DV122" i="5"/>
  <c r="CT122" i="5"/>
  <c r="AB122" i="5"/>
  <c r="K123" i="5" s="1"/>
  <c r="W123" i="5" s="1"/>
  <c r="DB122" i="5"/>
  <c r="DE122" i="5"/>
  <c r="DD122" i="5"/>
  <c r="CS121" i="5"/>
  <c r="DW120" i="5"/>
  <c r="DX120" i="5" s="1"/>
  <c r="EB120" i="5" s="1"/>
  <c r="DR122" i="5"/>
  <c r="DP122" i="5"/>
  <c r="DG121" i="5"/>
  <c r="DB94" i="4"/>
  <c r="DC94" i="4" s="1"/>
  <c r="W97" i="4"/>
  <c r="C115" i="4"/>
  <c r="CU96" i="4"/>
  <c r="CK119" i="5" l="1"/>
  <c r="AC97" i="4"/>
  <c r="AU117" i="5"/>
  <c r="AW116" i="5"/>
  <c r="CC119" i="5"/>
  <c r="CE119" i="5" s="1"/>
  <c r="CH119" i="5" s="1"/>
  <c r="CL119" i="5" s="1"/>
  <c r="CB120" i="5"/>
  <c r="BO123" i="5"/>
  <c r="CJ123" i="5"/>
  <c r="CF123" i="5"/>
  <c r="CI123" i="5" s="1"/>
  <c r="BA123" i="5"/>
  <c r="BE123" i="5"/>
  <c r="AY123" i="5"/>
  <c r="BZ123" i="5"/>
  <c r="CG123" i="5" s="1"/>
  <c r="DQ122" i="5"/>
  <c r="DY121" i="5" s="1"/>
  <c r="EA121" i="5" s="1"/>
  <c r="BQ123" i="5"/>
  <c r="BK117" i="5"/>
  <c r="BK118" i="5" s="1"/>
  <c r="BK119" i="5" s="1"/>
  <c r="BK120" i="5" s="1"/>
  <c r="BK121" i="5" s="1"/>
  <c r="BK122" i="5" s="1"/>
  <c r="BK123" i="5" s="1"/>
  <c r="BL116" i="5"/>
  <c r="BT115" i="5" s="1"/>
  <c r="BV115" i="5" s="1"/>
  <c r="BM116" i="5"/>
  <c r="BN116" i="5" s="1"/>
  <c r="BN117" i="5" s="1"/>
  <c r="BN118" i="5" s="1"/>
  <c r="BN119" i="5" s="1"/>
  <c r="BN120" i="5" s="1"/>
  <c r="BN121" i="5" s="1"/>
  <c r="BN122" i="5" s="1"/>
  <c r="BN123" i="5" s="1"/>
  <c r="E14" i="5"/>
  <c r="E30" i="5" s="1"/>
  <c r="E116" i="5"/>
  <c r="Q116" i="5" s="1"/>
  <c r="AW91" i="4"/>
  <c r="AE93" i="4"/>
  <c r="AG93" i="4" s="1"/>
  <c r="AB94" i="4"/>
  <c r="AF97" i="4"/>
  <c r="AU97" i="4"/>
  <c r="CE97" i="4"/>
  <c r="Y97" i="4"/>
  <c r="BN96" i="4"/>
  <c r="J115" i="4"/>
  <c r="AA94" i="4"/>
  <c r="AT93" i="4" s="1"/>
  <c r="Z97" i="4"/>
  <c r="BY56" i="4"/>
  <c r="CO56" i="4" s="1"/>
  <c r="CP56" i="4" s="1"/>
  <c r="BZ68" i="4"/>
  <c r="CB68" i="4" s="1"/>
  <c r="BU123" i="5"/>
  <c r="AK123" i="5"/>
  <c r="AO123" i="5"/>
  <c r="AI123" i="5"/>
  <c r="CN56" i="4"/>
  <c r="F75" i="4" s="1"/>
  <c r="F116" i="5"/>
  <c r="R116" i="5" s="1"/>
  <c r="CH57" i="4"/>
  <c r="CI57" i="4" s="1"/>
  <c r="CJ57" i="4" s="1"/>
  <c r="CF58" i="4" s="1"/>
  <c r="BV57" i="4"/>
  <c r="BX57" i="4" s="1"/>
  <c r="CK57" i="4" s="1"/>
  <c r="CL57" i="4" s="1"/>
  <c r="AD126" i="5"/>
  <c r="AC127" i="5"/>
  <c r="BJ127" i="5"/>
  <c r="DT122" i="5"/>
  <c r="J122" i="5"/>
  <c r="V122" i="5" s="1"/>
  <c r="BP97" i="4"/>
  <c r="CY97" i="4"/>
  <c r="CS98" i="4" s="1"/>
  <c r="BI97" i="4"/>
  <c r="BN97" i="4" s="1"/>
  <c r="X97" i="4"/>
  <c r="K116" i="4" s="1"/>
  <c r="CV97" i="4"/>
  <c r="CW96" i="4"/>
  <c r="CX96" i="4" s="1"/>
  <c r="DF96" i="4" s="1"/>
  <c r="CT97" i="4"/>
  <c r="CZ96" i="4" s="1"/>
  <c r="CZ95" i="4"/>
  <c r="DA95" i="4" s="1"/>
  <c r="DL123" i="5"/>
  <c r="DZ123" i="5"/>
  <c r="I121" i="5"/>
  <c r="U121" i="5" s="1"/>
  <c r="DN120" i="5"/>
  <c r="H121" i="5" s="1"/>
  <c r="T121" i="5" s="1"/>
  <c r="CY120" i="5"/>
  <c r="CZ120" i="5"/>
  <c r="G121" i="5" s="1"/>
  <c r="S121" i="5" s="1"/>
  <c r="CX123" i="5"/>
  <c r="DC122" i="5"/>
  <c r="DK121" i="5" s="1"/>
  <c r="DM121" i="5" s="1"/>
  <c r="N123" i="5"/>
  <c r="DD93" i="4"/>
  <c r="DE93" i="4" s="1"/>
  <c r="H112" i="4" s="1"/>
  <c r="DH92" i="4"/>
  <c r="I111" i="4" s="1"/>
  <c r="DG95" i="4"/>
  <c r="DU121" i="5"/>
  <c r="DW121" i="5" s="1"/>
  <c r="DX121" i="5" s="1"/>
  <c r="EB121" i="5" s="1"/>
  <c r="DS122" i="5"/>
  <c r="DS123" i="5" s="1"/>
  <c r="DG122" i="5"/>
  <c r="DI122" i="5" s="1"/>
  <c r="DJ122" i="5" s="1"/>
  <c r="CR122" i="5"/>
  <c r="CS122" i="5" s="1"/>
  <c r="DR123" i="5"/>
  <c r="DP123" i="5"/>
  <c r="DI121" i="5"/>
  <c r="DJ121" i="5" s="1"/>
  <c r="B124" i="5"/>
  <c r="DV123" i="5"/>
  <c r="CT123" i="5"/>
  <c r="DF123" i="5"/>
  <c r="BY123" i="5"/>
  <c r="CD123" i="5" s="1"/>
  <c r="DH123" i="5"/>
  <c r="AA124" i="5"/>
  <c r="AB123" i="5"/>
  <c r="K124" i="5" s="1"/>
  <c r="W124" i="5" s="1"/>
  <c r="CU121" i="5"/>
  <c r="CV121" i="5" s="1"/>
  <c r="CQ123" i="5"/>
  <c r="CO123" i="5"/>
  <c r="CW122" i="5" s="1"/>
  <c r="CN123" i="5"/>
  <c r="CP123" i="5"/>
  <c r="DD123" i="5"/>
  <c r="DB123" i="5"/>
  <c r="DE123" i="5"/>
  <c r="DB95" i="4"/>
  <c r="DC95" i="4" s="1"/>
  <c r="W98" i="4"/>
  <c r="C116" i="4"/>
  <c r="CU97" i="4"/>
  <c r="CK120" i="5" l="1"/>
  <c r="BZ124" i="5"/>
  <c r="CG124" i="5" s="1"/>
  <c r="AX116" i="5"/>
  <c r="AZ116" i="5" s="1"/>
  <c r="AW117" i="5"/>
  <c r="BB117" i="5"/>
  <c r="AU118" i="5"/>
  <c r="AV124" i="5"/>
  <c r="CA124" i="5"/>
  <c r="BO124" i="5"/>
  <c r="BA124" i="5"/>
  <c r="CF124" i="5"/>
  <c r="CI124" i="5" s="1"/>
  <c r="CJ124" i="5"/>
  <c r="AY124" i="5"/>
  <c r="BE124" i="5"/>
  <c r="AC98" i="4"/>
  <c r="CC120" i="5"/>
  <c r="CE120" i="5" s="1"/>
  <c r="CH120" i="5" s="1"/>
  <c r="CL120" i="5" s="1"/>
  <c r="CB121" i="5"/>
  <c r="DQ123" i="5"/>
  <c r="DY122" i="5" s="1"/>
  <c r="EA122" i="5" s="1"/>
  <c r="BN124" i="5"/>
  <c r="BK124" i="5"/>
  <c r="BQ124" i="5"/>
  <c r="BP116" i="5"/>
  <c r="BM117" i="5"/>
  <c r="BL117" i="5"/>
  <c r="BT116" i="5" s="1"/>
  <c r="J116" i="4"/>
  <c r="AQ97" i="4"/>
  <c r="AD97" i="4"/>
  <c r="CQ56" i="4"/>
  <c r="G75" i="4" s="1"/>
  <c r="CE98" i="4"/>
  <c r="AU98" i="4"/>
  <c r="AF98" i="4"/>
  <c r="Y98" i="4"/>
  <c r="Z98" i="4"/>
  <c r="AA95" i="4"/>
  <c r="AT94" i="4" s="1"/>
  <c r="AW92" i="4"/>
  <c r="AE94" i="4"/>
  <c r="AG94" i="4" s="1"/>
  <c r="AB95" i="4"/>
  <c r="BU124" i="5"/>
  <c r="AK124" i="5"/>
  <c r="AO124" i="5"/>
  <c r="AI124" i="5"/>
  <c r="BR58" i="4"/>
  <c r="BS70" i="4" s="1"/>
  <c r="BT82" i="4" s="1"/>
  <c r="BU94" i="4" s="1"/>
  <c r="BY57" i="4"/>
  <c r="CO57" i="4" s="1"/>
  <c r="CP57" i="4" s="1"/>
  <c r="CM57" i="4"/>
  <c r="CN57" i="4" s="1"/>
  <c r="F76" i="4" s="1"/>
  <c r="CC69" i="4"/>
  <c r="BZ69" i="4"/>
  <c r="CB69" i="4" s="1"/>
  <c r="CG58" i="4"/>
  <c r="AD127" i="5"/>
  <c r="AC128" i="5"/>
  <c r="BJ128" i="5"/>
  <c r="J123" i="5"/>
  <c r="V123" i="5" s="1"/>
  <c r="DA96" i="4"/>
  <c r="CT98" i="4"/>
  <c r="CZ97" i="4" s="1"/>
  <c r="CV98" i="4"/>
  <c r="CW97" i="4"/>
  <c r="CX97" i="4" s="1"/>
  <c r="DF97" i="4" s="1"/>
  <c r="CA97" i="4"/>
  <c r="BP98" i="4"/>
  <c r="CY98" i="4"/>
  <c r="CS99" i="4" s="1"/>
  <c r="BI98" i="4"/>
  <c r="BN98" i="4" s="1"/>
  <c r="X98" i="4"/>
  <c r="K117" i="4" s="1"/>
  <c r="DL124" i="5"/>
  <c r="DZ124" i="5"/>
  <c r="I122" i="5"/>
  <c r="U122" i="5" s="1"/>
  <c r="DN122" i="5"/>
  <c r="H123" i="5" s="1"/>
  <c r="T123" i="5" s="1"/>
  <c r="DN121" i="5"/>
  <c r="H122" i="5" s="1"/>
  <c r="T122" i="5" s="1"/>
  <c r="CZ121" i="5"/>
  <c r="G122" i="5" s="1"/>
  <c r="S122" i="5" s="1"/>
  <c r="CY121" i="5"/>
  <c r="CX124" i="5"/>
  <c r="DC123" i="5"/>
  <c r="DK122" i="5" s="1"/>
  <c r="DM122" i="5" s="1"/>
  <c r="N124" i="5"/>
  <c r="DH93" i="4"/>
  <c r="I112" i="4" s="1"/>
  <c r="DD94" i="4"/>
  <c r="DH94" i="4" s="1"/>
  <c r="I113" i="4" s="1"/>
  <c r="DG96" i="4"/>
  <c r="DU122" i="5"/>
  <c r="DW122" i="5" s="1"/>
  <c r="DX122" i="5" s="1"/>
  <c r="DR124" i="5"/>
  <c r="DS124" i="5"/>
  <c r="DP124" i="5"/>
  <c r="CU122" i="5"/>
  <c r="CV122" i="5" s="1"/>
  <c r="B125" i="5"/>
  <c r="DV124" i="5"/>
  <c r="CT124" i="5"/>
  <c r="DH124" i="5"/>
  <c r="BY124" i="5"/>
  <c r="CD124" i="5" s="1"/>
  <c r="DF124" i="5"/>
  <c r="AA125" i="5"/>
  <c r="AB124" i="5"/>
  <c r="K125" i="5" s="1"/>
  <c r="W125" i="5" s="1"/>
  <c r="DE124" i="5"/>
  <c r="DD124" i="5"/>
  <c r="DB124" i="5"/>
  <c r="CR123" i="5"/>
  <c r="CS123" i="5" s="1"/>
  <c r="DG123" i="5"/>
  <c r="DT123" i="5"/>
  <c r="DU123" i="5" s="1"/>
  <c r="CP124" i="5"/>
  <c r="CO124" i="5"/>
  <c r="CW123" i="5" s="1"/>
  <c r="CN124" i="5"/>
  <c r="CQ124" i="5"/>
  <c r="DB96" i="4"/>
  <c r="DC96" i="4" s="1"/>
  <c r="CU98" i="4"/>
  <c r="W99" i="4"/>
  <c r="C117" i="4"/>
  <c r="BK125" i="5" l="1"/>
  <c r="CA125" i="5"/>
  <c r="CK121" i="5"/>
  <c r="DQ124" i="5"/>
  <c r="DY123" i="5" s="1"/>
  <c r="EA123" i="5" s="1"/>
  <c r="BO125" i="5"/>
  <c r="CF125" i="5"/>
  <c r="CI125" i="5" s="1"/>
  <c r="AY125" i="5"/>
  <c r="CJ125" i="5"/>
  <c r="BA125" i="5"/>
  <c r="BE125" i="5"/>
  <c r="AX117" i="5"/>
  <c r="AZ117" i="5" s="1"/>
  <c r="AW118" i="5"/>
  <c r="BB116" i="5"/>
  <c r="BC116" i="5" s="1"/>
  <c r="BG116" i="5" s="1"/>
  <c r="D117" i="5" s="1"/>
  <c r="P117" i="5" s="1"/>
  <c r="BD116" i="5"/>
  <c r="BF116" i="5" s="1"/>
  <c r="AV125" i="5"/>
  <c r="BB118" i="5"/>
  <c r="AU119" i="5"/>
  <c r="AC99" i="4"/>
  <c r="CC121" i="5"/>
  <c r="CE121" i="5" s="1"/>
  <c r="CH121" i="5" s="1"/>
  <c r="CL121" i="5" s="1"/>
  <c r="CB122" i="5"/>
  <c r="BZ125" i="5"/>
  <c r="CG125" i="5" s="1"/>
  <c r="BN125" i="5"/>
  <c r="J117" i="4"/>
  <c r="BQ125" i="5"/>
  <c r="BK126" i="5" s="1"/>
  <c r="BV116" i="5"/>
  <c r="BL118" i="5"/>
  <c r="BT117" i="5" s="1"/>
  <c r="BM118" i="5"/>
  <c r="BP117" i="5"/>
  <c r="BR116" i="5"/>
  <c r="AQ98" i="4"/>
  <c r="AD98" i="4"/>
  <c r="Z99" i="4"/>
  <c r="AF99" i="4"/>
  <c r="AU99" i="4"/>
  <c r="CE99" i="4"/>
  <c r="Y99" i="4"/>
  <c r="AE95" i="4"/>
  <c r="AG95" i="4" s="1"/>
  <c r="AB96" i="4"/>
  <c r="AA96" i="4"/>
  <c r="AT95" i="4" s="1"/>
  <c r="AW93" i="4"/>
  <c r="BU125" i="5"/>
  <c r="AK125" i="5"/>
  <c r="AO125" i="5"/>
  <c r="AI125" i="5"/>
  <c r="CQ57" i="4"/>
  <c r="G76" i="4" s="1"/>
  <c r="BV58" i="4"/>
  <c r="BX58" i="4" s="1"/>
  <c r="CK58" i="4" s="1"/>
  <c r="CL58" i="4" s="1"/>
  <c r="CH58" i="4"/>
  <c r="CI58" i="4" s="1"/>
  <c r="CJ58" i="4" s="1"/>
  <c r="CF59" i="4" s="1"/>
  <c r="F117" i="5"/>
  <c r="R117" i="5" s="1"/>
  <c r="AD128" i="5"/>
  <c r="AC129" i="5"/>
  <c r="BJ129" i="5"/>
  <c r="DA97" i="4"/>
  <c r="J124" i="5"/>
  <c r="V124" i="5" s="1"/>
  <c r="CW98" i="4"/>
  <c r="CX98" i="4" s="1"/>
  <c r="DF98" i="4" s="1"/>
  <c r="CA98" i="4"/>
  <c r="CV99" i="4"/>
  <c r="CY99" i="4"/>
  <c r="CS100" i="4" s="1"/>
  <c r="BP99" i="4"/>
  <c r="BI99" i="4"/>
  <c r="BN99" i="4" s="1"/>
  <c r="X99" i="4"/>
  <c r="K118" i="4" s="1"/>
  <c r="CT99" i="4"/>
  <c r="DL125" i="5"/>
  <c r="DZ125" i="5"/>
  <c r="EB122" i="5"/>
  <c r="I123" i="5" s="1"/>
  <c r="U123" i="5" s="1"/>
  <c r="CY122" i="5"/>
  <c r="CZ122" i="5"/>
  <c r="G123" i="5" s="1"/>
  <c r="S123" i="5" s="1"/>
  <c r="CX125" i="5"/>
  <c r="DC124" i="5"/>
  <c r="DK123" i="5" s="1"/>
  <c r="DM123" i="5" s="1"/>
  <c r="N125" i="5"/>
  <c r="DD95" i="4"/>
  <c r="DH95" i="4" s="1"/>
  <c r="I114" i="4" s="1"/>
  <c r="DE94" i="4"/>
  <c r="H113" i="4" s="1"/>
  <c r="DB97" i="4"/>
  <c r="DC97" i="4" s="1"/>
  <c r="DG124" i="5"/>
  <c r="DI124" i="5" s="1"/>
  <c r="DW123" i="5"/>
  <c r="DX123" i="5" s="1"/>
  <c r="CU123" i="5"/>
  <c r="CV123" i="5" s="1"/>
  <c r="DE125" i="5"/>
  <c r="DD125" i="5"/>
  <c r="DB125" i="5"/>
  <c r="AA126" i="5"/>
  <c r="DF125" i="5"/>
  <c r="DV125" i="5"/>
  <c r="CT125" i="5"/>
  <c r="B126" i="5"/>
  <c r="DH125" i="5"/>
  <c r="BY125" i="5"/>
  <c r="CD125" i="5" s="1"/>
  <c r="AB125" i="5"/>
  <c r="K126" i="5" s="1"/>
  <c r="W126" i="5" s="1"/>
  <c r="CR124" i="5"/>
  <c r="CS124" i="5" s="1"/>
  <c r="DT124" i="5"/>
  <c r="DU124" i="5" s="1"/>
  <c r="CN125" i="5"/>
  <c r="CQ125" i="5"/>
  <c r="CO125" i="5"/>
  <c r="CW124" i="5" s="1"/>
  <c r="CP125" i="5"/>
  <c r="DI123" i="5"/>
  <c r="DJ123" i="5" s="1"/>
  <c r="DP125" i="5"/>
  <c r="DS125" i="5"/>
  <c r="DR125" i="5"/>
  <c r="DG97" i="4"/>
  <c r="W100" i="4"/>
  <c r="C118" i="4"/>
  <c r="CU99" i="4"/>
  <c r="CA126" i="5" l="1"/>
  <c r="DQ125" i="5"/>
  <c r="DY124" i="5" s="1"/>
  <c r="CK122" i="5"/>
  <c r="AC100" i="4"/>
  <c r="CC122" i="5"/>
  <c r="CE122" i="5" s="1"/>
  <c r="CH122" i="5" s="1"/>
  <c r="CL122" i="5" s="1"/>
  <c r="CB123" i="5"/>
  <c r="BO126" i="5"/>
  <c r="CF126" i="5"/>
  <c r="CI126" i="5" s="1"/>
  <c r="AY126" i="5"/>
  <c r="BE126" i="5"/>
  <c r="BA126" i="5"/>
  <c r="CJ126" i="5"/>
  <c r="AX118" i="5"/>
  <c r="AZ118" i="5" s="1"/>
  <c r="AW119" i="5"/>
  <c r="BD117" i="5"/>
  <c r="BF117" i="5" s="1"/>
  <c r="BC117" i="5"/>
  <c r="BG117" i="5" s="1"/>
  <c r="D118" i="5" s="1"/>
  <c r="P118" i="5" s="1"/>
  <c r="BB119" i="5"/>
  <c r="AU120" i="5"/>
  <c r="BZ126" i="5"/>
  <c r="CG126" i="5" s="1"/>
  <c r="AV126" i="5"/>
  <c r="AV127" i="5" s="1"/>
  <c r="BN126" i="5"/>
  <c r="J118" i="4"/>
  <c r="BQ126" i="5"/>
  <c r="BK127" i="5" s="1"/>
  <c r="BS116" i="5"/>
  <c r="BW116" i="5" s="1"/>
  <c r="E117" i="5" s="1"/>
  <c r="Q117" i="5" s="1"/>
  <c r="BP118" i="5"/>
  <c r="BM119" i="5"/>
  <c r="BL119" i="5"/>
  <c r="BT118" i="5" s="1"/>
  <c r="BV117" i="5"/>
  <c r="AQ99" i="4"/>
  <c r="AD99" i="4"/>
  <c r="AA97" i="4"/>
  <c r="AW94" i="4"/>
  <c r="AU100" i="4"/>
  <c r="CE100" i="4"/>
  <c r="AF100" i="4"/>
  <c r="Y100" i="4"/>
  <c r="AE96" i="4"/>
  <c r="AG96" i="4" s="1"/>
  <c r="AB97" i="4"/>
  <c r="Z100" i="4"/>
  <c r="BU126" i="5"/>
  <c r="AK126" i="5"/>
  <c r="AO126" i="5"/>
  <c r="AI126" i="5"/>
  <c r="BY58" i="4"/>
  <c r="CO58" i="4" s="1"/>
  <c r="CP58" i="4" s="1"/>
  <c r="F118" i="5"/>
  <c r="R118" i="5" s="1"/>
  <c r="CM58" i="4"/>
  <c r="CN58" i="4" s="1"/>
  <c r="F77" i="4" s="1"/>
  <c r="CC70" i="4"/>
  <c r="BZ70" i="4"/>
  <c r="CB70" i="4" s="1"/>
  <c r="CG59" i="4"/>
  <c r="BR59" i="4"/>
  <c r="BS71" i="4" s="1"/>
  <c r="BT83" i="4" s="1"/>
  <c r="BU95" i="4" s="1"/>
  <c r="AD129" i="5"/>
  <c r="AC130" i="5"/>
  <c r="BJ130" i="5"/>
  <c r="J125" i="5"/>
  <c r="V125" i="5" s="1"/>
  <c r="CV100" i="4"/>
  <c r="CT100" i="4"/>
  <c r="CZ99" i="4" s="1"/>
  <c r="CZ98" i="4"/>
  <c r="DA98" i="4" s="1"/>
  <c r="CW99" i="4"/>
  <c r="CX99" i="4" s="1"/>
  <c r="DF99" i="4" s="1"/>
  <c r="CA99" i="4"/>
  <c r="CY100" i="4"/>
  <c r="CS101" i="4" s="1"/>
  <c r="BP100" i="4"/>
  <c r="BI100" i="4"/>
  <c r="CA100" i="4" s="1"/>
  <c r="X100" i="4"/>
  <c r="K119" i="4" s="1"/>
  <c r="DL126" i="5"/>
  <c r="DZ126" i="5"/>
  <c r="EA124" i="5"/>
  <c r="EB123" i="5"/>
  <c r="I124" i="5" s="1"/>
  <c r="U124" i="5" s="1"/>
  <c r="DN123" i="5"/>
  <c r="H124" i="5" s="1"/>
  <c r="T124" i="5" s="1"/>
  <c r="CY123" i="5"/>
  <c r="CZ123" i="5"/>
  <c r="G124" i="5" s="1"/>
  <c r="S124" i="5" s="1"/>
  <c r="CX126" i="5"/>
  <c r="DC125" i="5"/>
  <c r="DK124" i="5" s="1"/>
  <c r="DM124" i="5" s="1"/>
  <c r="N126" i="5"/>
  <c r="DE95" i="4"/>
  <c r="H114" i="4" s="1"/>
  <c r="DD96" i="4"/>
  <c r="DH96" i="4" s="1"/>
  <c r="I115" i="4" s="1"/>
  <c r="DG98" i="4"/>
  <c r="DJ124" i="5"/>
  <c r="DG125" i="5"/>
  <c r="DI125" i="5" s="1"/>
  <c r="DJ125" i="5" s="1"/>
  <c r="DW124" i="5"/>
  <c r="DX124" i="5" s="1"/>
  <c r="EB124" i="5" s="1"/>
  <c r="B127" i="5"/>
  <c r="AA127" i="5"/>
  <c r="DF126" i="5"/>
  <c r="DV126" i="5"/>
  <c r="CT126" i="5"/>
  <c r="DH126" i="5"/>
  <c r="BY126" i="5"/>
  <c r="CD126" i="5" s="1"/>
  <c r="AB126" i="5"/>
  <c r="K127" i="5" s="1"/>
  <c r="W127" i="5" s="1"/>
  <c r="CR125" i="5"/>
  <c r="CS125" i="5" s="1"/>
  <c r="CO126" i="5"/>
  <c r="CW125" i="5" s="1"/>
  <c r="CN126" i="5"/>
  <c r="CQ126" i="5"/>
  <c r="CP126" i="5"/>
  <c r="DT125" i="5"/>
  <c r="DU125" i="5" s="1"/>
  <c r="DQ126" i="5"/>
  <c r="DY125" i="5" s="1"/>
  <c r="DP126" i="5"/>
  <c r="DS126" i="5"/>
  <c r="DR126" i="5"/>
  <c r="CU124" i="5"/>
  <c r="CV124" i="5" s="1"/>
  <c r="DE126" i="5"/>
  <c r="DD126" i="5"/>
  <c r="DB126" i="5"/>
  <c r="DB98" i="4"/>
  <c r="DC98" i="4" s="1"/>
  <c r="W101" i="4"/>
  <c r="C119" i="4"/>
  <c r="CU100" i="4"/>
  <c r="CK123" i="5" l="1"/>
  <c r="CJ127" i="5"/>
  <c r="CF127" i="5"/>
  <c r="BA127" i="5"/>
  <c r="BE127" i="5"/>
  <c r="AY127" i="5"/>
  <c r="BD118" i="5"/>
  <c r="BF118" i="5" s="1"/>
  <c r="BC118" i="5"/>
  <c r="BG118" i="5" s="1"/>
  <c r="D119" i="5" s="1"/>
  <c r="P119" i="5" s="1"/>
  <c r="BZ127" i="5"/>
  <c r="CG127" i="5" s="1"/>
  <c r="BB120" i="5"/>
  <c r="AU121" i="5"/>
  <c r="CC123" i="5"/>
  <c r="CE123" i="5" s="1"/>
  <c r="CH123" i="5" s="1"/>
  <c r="CL123" i="5" s="1"/>
  <c r="CB124" i="5"/>
  <c r="AC101" i="4"/>
  <c r="CA127" i="5"/>
  <c r="CA128" i="5" s="1"/>
  <c r="AX119" i="5"/>
  <c r="AZ119" i="5" s="1"/>
  <c r="AW120" i="5"/>
  <c r="J119" i="4"/>
  <c r="BQ127" i="5"/>
  <c r="BK128" i="5" s="1"/>
  <c r="BO127" i="5"/>
  <c r="BN127" i="5"/>
  <c r="AA98" i="4"/>
  <c r="AT97" i="4" s="1"/>
  <c r="AT96" i="4"/>
  <c r="BL120" i="5"/>
  <c r="BT119" i="5" s="1"/>
  <c r="BV118" i="5"/>
  <c r="BP119" i="5"/>
  <c r="BM120" i="5"/>
  <c r="BR117" i="5"/>
  <c r="BS117" i="5" s="1"/>
  <c r="BW117" i="5" s="1"/>
  <c r="E118" i="5" s="1"/>
  <c r="Q118" i="5" s="1"/>
  <c r="AL127" i="5"/>
  <c r="AQ100" i="4"/>
  <c r="AD100" i="4"/>
  <c r="AF101" i="4"/>
  <c r="CE101" i="4"/>
  <c r="AU101" i="4"/>
  <c r="Y101" i="4"/>
  <c r="AE97" i="4"/>
  <c r="AG97" i="4" s="1"/>
  <c r="AB98" i="4"/>
  <c r="BN100" i="4"/>
  <c r="Z101" i="4"/>
  <c r="AW95" i="4"/>
  <c r="BU127" i="5"/>
  <c r="AK127" i="5"/>
  <c r="AO127" i="5"/>
  <c r="AI127" i="5"/>
  <c r="CQ58" i="4"/>
  <c r="G77" i="4" s="1"/>
  <c r="CH59" i="4"/>
  <c r="CI59" i="4" s="1"/>
  <c r="CJ59" i="4" s="1"/>
  <c r="CF60" i="4" s="1"/>
  <c r="F119" i="5"/>
  <c r="R119" i="5" s="1"/>
  <c r="BV59" i="4"/>
  <c r="BX59" i="4" s="1"/>
  <c r="CK59" i="4" s="1"/>
  <c r="CL59" i="4" s="1"/>
  <c r="AD130" i="5"/>
  <c r="AC131" i="5"/>
  <c r="BJ131" i="5"/>
  <c r="DT126" i="5"/>
  <c r="DU126" i="5" s="1"/>
  <c r="J126" i="5"/>
  <c r="V126" i="5" s="1"/>
  <c r="DA99" i="4"/>
  <c r="CY101" i="4"/>
  <c r="CS102" i="4" s="1"/>
  <c r="BP101" i="4"/>
  <c r="BI101" i="4"/>
  <c r="X101" i="4"/>
  <c r="K120" i="4" s="1"/>
  <c r="CW100" i="4"/>
  <c r="CX100" i="4" s="1"/>
  <c r="DF100" i="4" s="1"/>
  <c r="CT101" i="4"/>
  <c r="CV101" i="4"/>
  <c r="DL127" i="5"/>
  <c r="DZ127" i="5"/>
  <c r="EA125" i="5"/>
  <c r="I125" i="5"/>
  <c r="U125" i="5" s="1"/>
  <c r="DN125" i="5"/>
  <c r="H126" i="5" s="1"/>
  <c r="T126" i="5" s="1"/>
  <c r="DN124" i="5"/>
  <c r="H125" i="5" s="1"/>
  <c r="T125" i="5" s="1"/>
  <c r="CX127" i="5"/>
  <c r="CY124" i="5"/>
  <c r="CZ124" i="5"/>
  <c r="G125" i="5" s="1"/>
  <c r="S125" i="5" s="1"/>
  <c r="DC126" i="5"/>
  <c r="DK125" i="5" s="1"/>
  <c r="DM125" i="5" s="1"/>
  <c r="N127" i="5"/>
  <c r="DE96" i="4"/>
  <c r="H115" i="4" s="1"/>
  <c r="DD97" i="4"/>
  <c r="DE97" i="4" s="1"/>
  <c r="H116" i="4" s="1"/>
  <c r="DG126" i="5"/>
  <c r="DI126" i="5" s="1"/>
  <c r="DJ126" i="5" s="1"/>
  <c r="CR126" i="5"/>
  <c r="CS126" i="5" s="1"/>
  <c r="B128" i="5"/>
  <c r="A117" i="5" s="1"/>
  <c r="DH127" i="5"/>
  <c r="BY127" i="5"/>
  <c r="CD127" i="5" s="1"/>
  <c r="AA128" i="5"/>
  <c r="DF127" i="5"/>
  <c r="CT127" i="5"/>
  <c r="DV127" i="5"/>
  <c r="AB127" i="5"/>
  <c r="K128" i="5" s="1"/>
  <c r="W128" i="5" s="1"/>
  <c r="CU125" i="5"/>
  <c r="CV125" i="5" s="1"/>
  <c r="CP127" i="5"/>
  <c r="CO127" i="5"/>
  <c r="CW126" i="5" s="1"/>
  <c r="CN127" i="5"/>
  <c r="CQ127" i="5"/>
  <c r="DR127" i="5"/>
  <c r="DQ127" i="5"/>
  <c r="DY126" i="5" s="1"/>
  <c r="DP127" i="5"/>
  <c r="DS127" i="5"/>
  <c r="DW125" i="5"/>
  <c r="DX125" i="5" s="1"/>
  <c r="DE127" i="5"/>
  <c r="DD127" i="5"/>
  <c r="DB127" i="5"/>
  <c r="DG99" i="4"/>
  <c r="DB99" i="4"/>
  <c r="DC99" i="4" s="1"/>
  <c r="CU101" i="4"/>
  <c r="C120" i="4"/>
  <c r="W102" i="4"/>
  <c r="CK124" i="5" l="1"/>
  <c r="CC124" i="5"/>
  <c r="CE124" i="5" s="1"/>
  <c r="CH124" i="5" s="1"/>
  <c r="CL124" i="5" s="1"/>
  <c r="CB125" i="5"/>
  <c r="BZ128" i="5"/>
  <c r="CG128" i="5" s="1"/>
  <c r="BO128" i="5"/>
  <c r="CJ128" i="5"/>
  <c r="CF128" i="5"/>
  <c r="CI128" i="5" s="1"/>
  <c r="BA128" i="5"/>
  <c r="AY128" i="5"/>
  <c r="BE128" i="5"/>
  <c r="AC102" i="4"/>
  <c r="AX120" i="5"/>
  <c r="AZ120" i="5" s="1"/>
  <c r="AW121" i="5"/>
  <c r="AV128" i="5"/>
  <c r="BD119" i="5"/>
  <c r="BF119" i="5" s="1"/>
  <c r="BC119" i="5"/>
  <c r="BG119" i="5" s="1"/>
  <c r="D120" i="5" s="1"/>
  <c r="P120" i="5" s="1"/>
  <c r="BB121" i="5"/>
  <c r="AU122" i="5"/>
  <c r="J120" i="4"/>
  <c r="AA99" i="4"/>
  <c r="AT98" i="4" s="1"/>
  <c r="BQ128" i="5"/>
  <c r="BK129" i="5" s="1"/>
  <c r="BR118" i="5"/>
  <c r="BS118" i="5" s="1"/>
  <c r="BW118" i="5" s="1"/>
  <c r="E119" i="5" s="1"/>
  <c r="Q119" i="5" s="1"/>
  <c r="BP120" i="5"/>
  <c r="BM121" i="5"/>
  <c r="BR119" i="5"/>
  <c r="BV119" i="5"/>
  <c r="BL121" i="5"/>
  <c r="BT120" i="5" s="1"/>
  <c r="AQ101" i="4"/>
  <c r="AD101" i="4"/>
  <c r="Z102" i="4"/>
  <c r="BN101" i="4"/>
  <c r="AW97" i="4"/>
  <c r="AE98" i="4"/>
  <c r="AG98" i="4" s="1"/>
  <c r="AB99" i="4"/>
  <c r="AF102" i="4"/>
  <c r="Y102" i="4"/>
  <c r="BY59" i="4"/>
  <c r="CO59" i="4" s="1"/>
  <c r="CP59" i="4" s="1"/>
  <c r="BU128" i="5"/>
  <c r="AI128" i="5"/>
  <c r="AO128" i="5"/>
  <c r="AK128" i="5"/>
  <c r="CG60" i="4"/>
  <c r="CM59" i="4"/>
  <c r="CN59" i="4" s="1"/>
  <c r="F78" i="4" s="1"/>
  <c r="BR60" i="4"/>
  <c r="BS72" i="4" s="1"/>
  <c r="BT84" i="4" s="1"/>
  <c r="BU96" i="4" s="1"/>
  <c r="CC71" i="4"/>
  <c r="BZ71" i="4"/>
  <c r="CB71" i="4" s="1"/>
  <c r="F120" i="5"/>
  <c r="R120" i="5" s="1"/>
  <c r="AD131" i="5"/>
  <c r="AC132" i="5"/>
  <c r="BJ132" i="5"/>
  <c r="J127" i="5"/>
  <c r="V127" i="5" s="1"/>
  <c r="CT102" i="4"/>
  <c r="CZ101" i="4" s="1"/>
  <c r="CZ100" i="4"/>
  <c r="DA100" i="4" s="1"/>
  <c r="CV102" i="4"/>
  <c r="CW101" i="4"/>
  <c r="CX101" i="4" s="1"/>
  <c r="DF101" i="4" s="1"/>
  <c r="CA101" i="4"/>
  <c r="CY102" i="4"/>
  <c r="CS103" i="4" s="1"/>
  <c r="BP102" i="4"/>
  <c r="BI102" i="4"/>
  <c r="X102" i="4"/>
  <c r="K121" i="4" s="1"/>
  <c r="DL128" i="5"/>
  <c r="DZ128" i="5"/>
  <c r="EA126" i="5"/>
  <c r="EB125" i="5"/>
  <c r="I126" i="5" s="1"/>
  <c r="U126" i="5" s="1"/>
  <c r="DN126" i="5"/>
  <c r="H127" i="5" s="1"/>
  <c r="T127" i="5" s="1"/>
  <c r="CX128" i="5"/>
  <c r="CY125" i="5"/>
  <c r="CZ125" i="5"/>
  <c r="G126" i="5" s="1"/>
  <c r="S126" i="5" s="1"/>
  <c r="DC127" i="5"/>
  <c r="DK126" i="5" s="1"/>
  <c r="DM126" i="5" s="1"/>
  <c r="N128" i="5"/>
  <c r="DH97" i="4"/>
  <c r="I116" i="4" s="1"/>
  <c r="DD98" i="4"/>
  <c r="DH98" i="4" s="1"/>
  <c r="I117" i="4" s="1"/>
  <c r="DG127" i="5"/>
  <c r="DI127" i="5" s="1"/>
  <c r="DJ127" i="5" s="1"/>
  <c r="CP128" i="5"/>
  <c r="CO128" i="5"/>
  <c r="CW127" i="5" s="1"/>
  <c r="CN128" i="5"/>
  <c r="CU126" i="5"/>
  <c r="CV126" i="5" s="1"/>
  <c r="DT127" i="5"/>
  <c r="DU127" i="5" s="1"/>
  <c r="B129" i="5"/>
  <c r="DH128" i="5"/>
  <c r="BY128" i="5"/>
  <c r="CD128" i="5" s="1"/>
  <c r="AA129" i="5"/>
  <c r="DV128" i="5"/>
  <c r="CT128" i="5"/>
  <c r="AB128" i="5"/>
  <c r="K129" i="5" s="1"/>
  <c r="W129" i="5" s="1"/>
  <c r="DW126" i="5"/>
  <c r="DX126" i="5" s="1"/>
  <c r="DD128" i="5"/>
  <c r="DB128" i="5"/>
  <c r="CR127" i="5"/>
  <c r="CS127" i="5" s="1"/>
  <c r="DR128" i="5"/>
  <c r="DQ128" i="5"/>
  <c r="DY127" i="5" s="1"/>
  <c r="DP128" i="5"/>
  <c r="DG100" i="4"/>
  <c r="DB100" i="4"/>
  <c r="DC100" i="4" s="1"/>
  <c r="W103" i="4"/>
  <c r="C121" i="4"/>
  <c r="CU102" i="4"/>
  <c r="AA100" i="4" l="1"/>
  <c r="AT99" i="4" s="1"/>
  <c r="AV129" i="5"/>
  <c r="CK125" i="5"/>
  <c r="J121" i="4"/>
  <c r="AX121" i="5"/>
  <c r="AZ121" i="5" s="1"/>
  <c r="AW122" i="5"/>
  <c r="BO129" i="5"/>
  <c r="CF129" i="5"/>
  <c r="CI129" i="5" s="1"/>
  <c r="CJ129" i="5"/>
  <c r="AY129" i="5"/>
  <c r="BA129" i="5"/>
  <c r="BE129" i="5"/>
  <c r="BD120" i="5"/>
  <c r="BF120" i="5" s="1"/>
  <c r="BC120" i="5"/>
  <c r="BG120" i="5" s="1"/>
  <c r="D121" i="5" s="1"/>
  <c r="P121" i="5" s="1"/>
  <c r="BZ129" i="5"/>
  <c r="CG129" i="5" s="1"/>
  <c r="CC125" i="5"/>
  <c r="CE125" i="5" s="1"/>
  <c r="CH125" i="5" s="1"/>
  <c r="CL125" i="5" s="1"/>
  <c r="CB126" i="5"/>
  <c r="BB122" i="5"/>
  <c r="AU123" i="5"/>
  <c r="CA129" i="5"/>
  <c r="BQ129" i="5"/>
  <c r="BK130" i="5" s="1"/>
  <c r="BP121" i="5"/>
  <c r="BM122" i="5"/>
  <c r="BS119" i="5"/>
  <c r="BW119" i="5" s="1"/>
  <c r="E120" i="5" s="1"/>
  <c r="Q120" i="5" s="1"/>
  <c r="BV120" i="5"/>
  <c r="BL122" i="5"/>
  <c r="BT121" i="5" s="1"/>
  <c r="AQ102" i="4"/>
  <c r="AD102" i="4"/>
  <c r="Z103" i="4"/>
  <c r="BN102" i="4"/>
  <c r="AE99" i="4"/>
  <c r="AG99" i="4" s="1"/>
  <c r="AB100" i="4"/>
  <c r="AW98" i="4"/>
  <c r="AF103" i="4"/>
  <c r="AU103" i="4"/>
  <c r="CE103" i="4"/>
  <c r="Y103" i="4"/>
  <c r="AA101" i="4"/>
  <c r="AT100" i="4" s="1"/>
  <c r="BU129" i="5"/>
  <c r="AK129" i="5"/>
  <c r="AO129" i="5"/>
  <c r="AI129" i="5"/>
  <c r="CQ59" i="4"/>
  <c r="G78" i="4" s="1"/>
  <c r="F121" i="5"/>
  <c r="R121" i="5" s="1"/>
  <c r="BV60" i="4"/>
  <c r="BX60" i="4" s="1"/>
  <c r="CK60" i="4" s="1"/>
  <c r="CL60" i="4" s="1"/>
  <c r="CH60" i="4"/>
  <c r="CI60" i="4" s="1"/>
  <c r="CJ60" i="4" s="1"/>
  <c r="CF61" i="4" s="1"/>
  <c r="AD132" i="5"/>
  <c r="AC133" i="5"/>
  <c r="BJ133" i="5"/>
  <c r="CR128" i="5"/>
  <c r="J128" i="5"/>
  <c r="V128" i="5" s="1"/>
  <c r="N129" i="5"/>
  <c r="CT103" i="4"/>
  <c r="CZ102" i="4" s="1"/>
  <c r="DA101" i="4"/>
  <c r="CW102" i="4"/>
  <c r="CX102" i="4" s="1"/>
  <c r="DF102" i="4" s="1"/>
  <c r="CA102" i="4"/>
  <c r="CY103" i="4"/>
  <c r="CS104" i="4" s="1"/>
  <c r="BP103" i="4"/>
  <c r="BI103" i="4"/>
  <c r="BN103" i="4" s="1"/>
  <c r="X103" i="4"/>
  <c r="K122" i="4" s="1"/>
  <c r="DL129" i="5"/>
  <c r="DZ129" i="5"/>
  <c r="EA127" i="5"/>
  <c r="EB126" i="5"/>
  <c r="I127" i="5" s="1"/>
  <c r="U127" i="5" s="1"/>
  <c r="DN127" i="5"/>
  <c r="H128" i="5" s="1"/>
  <c r="T128" i="5" s="1"/>
  <c r="CY126" i="5"/>
  <c r="CZ126" i="5"/>
  <c r="G127" i="5" s="1"/>
  <c r="S127" i="5" s="1"/>
  <c r="CX129" i="5"/>
  <c r="DC128" i="5"/>
  <c r="DK127" i="5" s="1"/>
  <c r="DM127" i="5" s="1"/>
  <c r="DE98" i="4"/>
  <c r="H117" i="4" s="1"/>
  <c r="DD99" i="4"/>
  <c r="DE99" i="4" s="1"/>
  <c r="H118" i="4" s="1"/>
  <c r="DE128" i="5"/>
  <c r="DF128" i="5"/>
  <c r="DT128" i="5"/>
  <c r="CU127" i="5"/>
  <c r="CV127" i="5" s="1"/>
  <c r="CQ128" i="5"/>
  <c r="CP129" i="5"/>
  <c r="CO129" i="5"/>
  <c r="CW128" i="5" s="1"/>
  <c r="CN129" i="5"/>
  <c r="DR129" i="5"/>
  <c r="DQ129" i="5"/>
  <c r="DY128" i="5" s="1"/>
  <c r="DP129" i="5"/>
  <c r="B130" i="5"/>
  <c r="DH129" i="5"/>
  <c r="BY129" i="5"/>
  <c r="CD129" i="5" s="1"/>
  <c r="DV129" i="5"/>
  <c r="CT129" i="5"/>
  <c r="AA130" i="5"/>
  <c r="AB129" i="5"/>
  <c r="K130" i="5" s="1"/>
  <c r="W130" i="5" s="1"/>
  <c r="DW127" i="5"/>
  <c r="DX127" i="5" s="1"/>
  <c r="EB127" i="5" s="1"/>
  <c r="DS128" i="5"/>
  <c r="DB129" i="5"/>
  <c r="DD129" i="5"/>
  <c r="DG101" i="4"/>
  <c r="DB101" i="4"/>
  <c r="DC101" i="4" s="1"/>
  <c r="W104" i="4"/>
  <c r="C122" i="4"/>
  <c r="B121" i="4" s="1"/>
  <c r="CU103" i="4"/>
  <c r="CA130" i="5" l="1"/>
  <c r="CK126" i="5"/>
  <c r="BB123" i="5"/>
  <c r="AU124" i="5"/>
  <c r="BZ130" i="5"/>
  <c r="CG130" i="5" s="1"/>
  <c r="BO130" i="5"/>
  <c r="CF130" i="5"/>
  <c r="CI130" i="5" s="1"/>
  <c r="CJ130" i="5"/>
  <c r="AY130" i="5"/>
  <c r="BE130" i="5"/>
  <c r="BA130" i="5"/>
  <c r="CC126" i="5"/>
  <c r="CE126" i="5" s="1"/>
  <c r="CH126" i="5" s="1"/>
  <c r="CL126" i="5" s="1"/>
  <c r="CB127" i="5"/>
  <c r="AX122" i="5"/>
  <c r="AZ122" i="5" s="1"/>
  <c r="AW123" i="5"/>
  <c r="BD121" i="5"/>
  <c r="BF121" i="5" s="1"/>
  <c r="BC121" i="5"/>
  <c r="BG121" i="5" s="1"/>
  <c r="D122" i="5" s="1"/>
  <c r="P122" i="5" s="1"/>
  <c r="AV130" i="5"/>
  <c r="BQ130" i="5"/>
  <c r="BK131" i="5" s="1"/>
  <c r="BL123" i="5"/>
  <c r="BT122" i="5" s="1"/>
  <c r="BM123" i="5"/>
  <c r="BP122" i="5"/>
  <c r="BR121" i="5"/>
  <c r="BR120" i="5"/>
  <c r="BS120" i="5" s="1"/>
  <c r="BW120" i="5" s="1"/>
  <c r="E121" i="5" s="1"/>
  <c r="Q121" i="5" s="1"/>
  <c r="AQ103" i="4"/>
  <c r="AD103" i="4"/>
  <c r="AA102" i="4"/>
  <c r="AT101" i="4" s="1"/>
  <c r="AW99" i="4"/>
  <c r="Z104" i="4"/>
  <c r="AU104" i="4"/>
  <c r="AF104" i="4"/>
  <c r="CE104" i="4"/>
  <c r="Y104" i="4"/>
  <c r="AE100" i="4"/>
  <c r="AG100" i="4" s="1"/>
  <c r="AB101" i="4"/>
  <c r="AO130" i="5"/>
  <c r="AK130" i="5"/>
  <c r="BU130" i="5"/>
  <c r="AI130" i="5"/>
  <c r="BR61" i="4"/>
  <c r="BS73" i="4" s="1"/>
  <c r="BT85" i="4" s="1"/>
  <c r="BU97" i="4" s="1"/>
  <c r="CM60" i="4"/>
  <c r="CN60" i="4" s="1"/>
  <c r="F79" i="4" s="1"/>
  <c r="F122" i="5"/>
  <c r="R122" i="5" s="1"/>
  <c r="CG61" i="4"/>
  <c r="CH61" i="4" s="1"/>
  <c r="CI61" i="4" s="1"/>
  <c r="CJ61" i="4" s="1"/>
  <c r="CF62" i="4" s="1"/>
  <c r="BY60" i="4"/>
  <c r="CO60" i="4" s="1"/>
  <c r="CP60" i="4" s="1"/>
  <c r="CC72" i="4"/>
  <c r="BZ72" i="4"/>
  <c r="CB72" i="4" s="1"/>
  <c r="DE129" i="5"/>
  <c r="DE130" i="5" s="1"/>
  <c r="AD133" i="5"/>
  <c r="AC134" i="5"/>
  <c r="BJ134" i="5"/>
  <c r="CS128" i="5"/>
  <c r="CU128" i="5" s="1"/>
  <c r="CV128" i="5" s="1"/>
  <c r="J129" i="5"/>
  <c r="V129" i="5" s="1"/>
  <c r="DA102" i="4"/>
  <c r="J122" i="4"/>
  <c r="CT104" i="4"/>
  <c r="CZ103" i="4" s="1"/>
  <c r="BP104" i="4"/>
  <c r="CY104" i="4"/>
  <c r="CS105" i="4" s="1"/>
  <c r="BI104" i="4"/>
  <c r="CA104" i="4" s="1"/>
  <c r="X104" i="4"/>
  <c r="K123" i="4" s="1"/>
  <c r="CW103" i="4"/>
  <c r="CA103" i="4"/>
  <c r="DL130" i="5"/>
  <c r="DZ130" i="5"/>
  <c r="EA128" i="5"/>
  <c r="I128" i="5"/>
  <c r="U128" i="5" s="1"/>
  <c r="CX130" i="5"/>
  <c r="CZ127" i="5"/>
  <c r="G128" i="5" s="1"/>
  <c r="S128" i="5" s="1"/>
  <c r="CY127" i="5"/>
  <c r="DC129" i="5"/>
  <c r="DK128" i="5" s="1"/>
  <c r="DM128" i="5" s="1"/>
  <c r="DH99" i="4"/>
  <c r="I118" i="4" s="1"/>
  <c r="DD100" i="4"/>
  <c r="DH100" i="4" s="1"/>
  <c r="I119" i="4" s="1"/>
  <c r="N130" i="5"/>
  <c r="CV103" i="4"/>
  <c r="CV104" i="4" s="1"/>
  <c r="DG102" i="4"/>
  <c r="DG128" i="5"/>
  <c r="DI128" i="5" s="1"/>
  <c r="DJ128" i="5" s="1"/>
  <c r="DN128" i="5" s="1"/>
  <c r="DU128" i="5"/>
  <c r="DW128" i="5" s="1"/>
  <c r="DX128" i="5" s="1"/>
  <c r="EB128" i="5" s="1"/>
  <c r="CQ129" i="5"/>
  <c r="CQ130" i="5" s="1"/>
  <c r="DF129" i="5"/>
  <c r="CR129" i="5"/>
  <c r="DT129" i="5"/>
  <c r="B131" i="5"/>
  <c r="DH130" i="5"/>
  <c r="BY130" i="5"/>
  <c r="CD130" i="5" s="1"/>
  <c r="AA131" i="5"/>
  <c r="CT130" i="5"/>
  <c r="DV130" i="5"/>
  <c r="AB130" i="5"/>
  <c r="K131" i="5" s="1"/>
  <c r="W131" i="5" s="1"/>
  <c r="CP130" i="5"/>
  <c r="CN130" i="5"/>
  <c r="CO130" i="5"/>
  <c r="CW129" i="5" s="1"/>
  <c r="DR130" i="5"/>
  <c r="DP130" i="5"/>
  <c r="DQ130" i="5"/>
  <c r="DY129" i="5" s="1"/>
  <c r="DB130" i="5"/>
  <c r="DD130" i="5"/>
  <c r="DS129" i="5"/>
  <c r="DB102" i="4"/>
  <c r="DC102" i="4" s="1"/>
  <c r="W105" i="4"/>
  <c r="C123" i="4"/>
  <c r="CU104" i="4"/>
  <c r="AV131" i="5" l="1"/>
  <c r="BZ131" i="5"/>
  <c r="CG131" i="5" s="1"/>
  <c r="AX123" i="5"/>
  <c r="AZ123" i="5" s="1"/>
  <c r="AW124" i="5"/>
  <c r="BO131" i="5"/>
  <c r="CJ131" i="5"/>
  <c r="CF131" i="5"/>
  <c r="CI131" i="5" s="1"/>
  <c r="BA131" i="5"/>
  <c r="AV132" i="5" s="1"/>
  <c r="BE131" i="5"/>
  <c r="AY131" i="5"/>
  <c r="BD122" i="5"/>
  <c r="BF122" i="5" s="1"/>
  <c r="BC122" i="5"/>
  <c r="BG122" i="5" s="1"/>
  <c r="D123" i="5" s="1"/>
  <c r="P123" i="5" s="1"/>
  <c r="BB124" i="5"/>
  <c r="AU125" i="5"/>
  <c r="CA131" i="5"/>
  <c r="CC127" i="5"/>
  <c r="CE127" i="5" s="1"/>
  <c r="CI127" i="5" s="1"/>
  <c r="CB128" i="5"/>
  <c r="BR122" i="5"/>
  <c r="BS122" i="5" s="1"/>
  <c r="BQ131" i="5"/>
  <c r="BK132" i="5" s="1"/>
  <c r="BS121" i="5"/>
  <c r="BW121" i="5" s="1"/>
  <c r="E122" i="5" s="1"/>
  <c r="Q122" i="5" s="1"/>
  <c r="BM124" i="5"/>
  <c r="BP123" i="5"/>
  <c r="BL124" i="5"/>
  <c r="BT123" i="5" s="1"/>
  <c r="BV121" i="5"/>
  <c r="BV122" i="5" s="1"/>
  <c r="AQ104" i="4"/>
  <c r="AD104" i="4"/>
  <c r="Z105" i="4"/>
  <c r="AF105" i="4"/>
  <c r="CE105" i="4"/>
  <c r="AU105" i="4"/>
  <c r="Y105" i="4"/>
  <c r="AE101" i="4"/>
  <c r="AG101" i="4" s="1"/>
  <c r="AB102" i="4"/>
  <c r="AA103" i="4"/>
  <c r="BN104" i="4"/>
  <c r="AW100" i="4"/>
  <c r="BV61" i="4"/>
  <c r="BX61" i="4" s="1"/>
  <c r="CK61" i="4" s="1"/>
  <c r="CL61" i="4" s="1"/>
  <c r="CM61" i="4" s="1"/>
  <c r="CN61" i="4" s="1"/>
  <c r="F80" i="4" s="1"/>
  <c r="BU131" i="5"/>
  <c r="AK131" i="5"/>
  <c r="AO131" i="5"/>
  <c r="AI131" i="5"/>
  <c r="DG129" i="5"/>
  <c r="DI129" i="5" s="1"/>
  <c r="DJ129" i="5" s="1"/>
  <c r="DN129" i="5" s="1"/>
  <c r="CQ60" i="4"/>
  <c r="G79" i="4" s="1"/>
  <c r="CG62" i="4"/>
  <c r="BR62" i="4"/>
  <c r="BS74" i="4" s="1"/>
  <c r="BT86" i="4" s="1"/>
  <c r="BU98" i="4" s="1"/>
  <c r="CC73" i="4"/>
  <c r="BZ73" i="4"/>
  <c r="CB73" i="4" s="1"/>
  <c r="F123" i="5"/>
  <c r="R123" i="5" s="1"/>
  <c r="AD134" i="5"/>
  <c r="AC135" i="5"/>
  <c r="BJ135" i="5"/>
  <c r="DT130" i="5"/>
  <c r="J130" i="5"/>
  <c r="V130" i="5" s="1"/>
  <c r="DA103" i="4"/>
  <c r="J123" i="4"/>
  <c r="CV105" i="4"/>
  <c r="CW104" i="4"/>
  <c r="DC130" i="5"/>
  <c r="DK129" i="5" s="1"/>
  <c r="DM129" i="5" s="1"/>
  <c r="BP105" i="4"/>
  <c r="CY105" i="4"/>
  <c r="CS106" i="4" s="1"/>
  <c r="BI105" i="4"/>
  <c r="BN105" i="4" s="1"/>
  <c r="X105" i="4"/>
  <c r="K124" i="4" s="1"/>
  <c r="CT105" i="4"/>
  <c r="CZ104" i="4" s="1"/>
  <c r="DL131" i="5"/>
  <c r="DZ131" i="5"/>
  <c r="EA129" i="5"/>
  <c r="I129" i="5"/>
  <c r="U129" i="5" s="1"/>
  <c r="H129" i="5"/>
  <c r="T129" i="5" s="1"/>
  <c r="CY128" i="5"/>
  <c r="CZ128" i="5"/>
  <c r="G129" i="5" s="1"/>
  <c r="S129" i="5" s="1"/>
  <c r="CX131" i="5"/>
  <c r="DE100" i="4"/>
  <c r="H119" i="4" s="1"/>
  <c r="DD101" i="4"/>
  <c r="DE101" i="4" s="1"/>
  <c r="H120" i="4" s="1"/>
  <c r="N131" i="5"/>
  <c r="CS129" i="5"/>
  <c r="CU129" i="5" s="1"/>
  <c r="CV129" i="5" s="1"/>
  <c r="DU129" i="5"/>
  <c r="DW129" i="5" s="1"/>
  <c r="DX129" i="5" s="1"/>
  <c r="CR130" i="5"/>
  <c r="CS130" i="5" s="1"/>
  <c r="CQ131" i="5"/>
  <c r="CO131" i="5"/>
  <c r="CW130" i="5" s="1"/>
  <c r="CP131" i="5"/>
  <c r="CN131" i="5"/>
  <c r="DD131" i="5"/>
  <c r="DB131" i="5"/>
  <c r="DE131" i="5"/>
  <c r="DS130" i="5"/>
  <c r="DF130" i="5"/>
  <c r="DG130" i="5" s="1"/>
  <c r="B132" i="5"/>
  <c r="DV131" i="5"/>
  <c r="CT131" i="5"/>
  <c r="DH131" i="5"/>
  <c r="AA132" i="5"/>
  <c r="BY131" i="5"/>
  <c r="CD131" i="5" s="1"/>
  <c r="AB131" i="5"/>
  <c r="K132" i="5" s="1"/>
  <c r="W132" i="5" s="1"/>
  <c r="DQ131" i="5"/>
  <c r="DY130" i="5" s="1"/>
  <c r="DP131" i="5"/>
  <c r="DR131" i="5"/>
  <c r="CX103" i="4"/>
  <c r="DF103" i="4" s="1"/>
  <c r="W106" i="4"/>
  <c r="C124" i="4"/>
  <c r="CU105" i="4"/>
  <c r="CA132" i="5" l="1"/>
  <c r="BB125" i="5"/>
  <c r="AU126" i="5"/>
  <c r="AX124" i="5"/>
  <c r="AZ124" i="5" s="1"/>
  <c r="AW125" i="5"/>
  <c r="BD123" i="5"/>
  <c r="BF123" i="5" s="1"/>
  <c r="BC123" i="5"/>
  <c r="BG123" i="5" s="1"/>
  <c r="D124" i="5" s="1"/>
  <c r="P124" i="5" s="1"/>
  <c r="BO132" i="5"/>
  <c r="CF132" i="5"/>
  <c r="CI132" i="5" s="1"/>
  <c r="BA132" i="5"/>
  <c r="AY132" i="5"/>
  <c r="CJ132" i="5"/>
  <c r="BE132" i="5"/>
  <c r="CC128" i="5"/>
  <c r="CE128" i="5" s="1"/>
  <c r="CH128" i="5" s="1"/>
  <c r="CB129" i="5"/>
  <c r="CK127" i="5"/>
  <c r="CH127" i="5"/>
  <c r="CL127" i="5" s="1"/>
  <c r="BZ132" i="5"/>
  <c r="CG132" i="5" s="1"/>
  <c r="AA104" i="4"/>
  <c r="AT103" i="4" s="1"/>
  <c r="AW103" i="4" s="1"/>
  <c r="AT102" i="4"/>
  <c r="BR123" i="5"/>
  <c r="BS123" i="5" s="1"/>
  <c r="BW123" i="5" s="1"/>
  <c r="E124" i="5" s="1"/>
  <c r="Q124" i="5" s="1"/>
  <c r="BQ132" i="5"/>
  <c r="BK133" i="5" s="1"/>
  <c r="BL125" i="5"/>
  <c r="BT124" i="5" s="1"/>
  <c r="BV123" i="5"/>
  <c r="BM125" i="5"/>
  <c r="BP124" i="5"/>
  <c r="BW122" i="5"/>
  <c r="E123" i="5" s="1"/>
  <c r="Q123" i="5" s="1"/>
  <c r="AQ105" i="4"/>
  <c r="AD105" i="4"/>
  <c r="AW101" i="4"/>
  <c r="AE102" i="4"/>
  <c r="AB103" i="4"/>
  <c r="AU106" i="4"/>
  <c r="AF106" i="4"/>
  <c r="CE106" i="4"/>
  <c r="Y106" i="4"/>
  <c r="Z106" i="4"/>
  <c r="BY61" i="4"/>
  <c r="CO61" i="4" s="1"/>
  <c r="CP61" i="4" s="1"/>
  <c r="BU132" i="5"/>
  <c r="AO132" i="5"/>
  <c r="AK132" i="5"/>
  <c r="AI132" i="5"/>
  <c r="CH62" i="4"/>
  <c r="CI62" i="4" s="1"/>
  <c r="CJ62" i="4" s="1"/>
  <c r="CF63" i="4" s="1"/>
  <c r="BV62" i="4"/>
  <c r="BX62" i="4" s="1"/>
  <c r="CK62" i="4" s="1"/>
  <c r="CL62" i="4" s="1"/>
  <c r="F124" i="5"/>
  <c r="R124" i="5" s="1"/>
  <c r="AD135" i="5"/>
  <c r="AC136" i="5"/>
  <c r="BJ136" i="5"/>
  <c r="DU130" i="5"/>
  <c r="DW130" i="5" s="1"/>
  <c r="DX130" i="5" s="1"/>
  <c r="DF131" i="5"/>
  <c r="DG131" i="5" s="1"/>
  <c r="J131" i="5"/>
  <c r="V131" i="5" s="1"/>
  <c r="J124" i="4"/>
  <c r="DA104" i="4"/>
  <c r="DC131" i="5"/>
  <c r="DK130" i="5" s="1"/>
  <c r="DM130" i="5" s="1"/>
  <c r="CW105" i="4"/>
  <c r="CX105" i="4" s="1"/>
  <c r="DF105" i="4" s="1"/>
  <c r="CA105" i="4"/>
  <c r="CY106" i="4"/>
  <c r="CS107" i="4" s="1"/>
  <c r="BP106" i="4"/>
  <c r="BI106" i="4"/>
  <c r="BN106" i="4" s="1"/>
  <c r="X106" i="4"/>
  <c r="K125" i="4" s="1"/>
  <c r="CT106" i="4"/>
  <c r="CZ105" i="4" s="1"/>
  <c r="CV106" i="4"/>
  <c r="DL132" i="5"/>
  <c r="DZ132" i="5"/>
  <c r="EA130" i="5"/>
  <c r="EB129" i="5"/>
  <c r="I130" i="5" s="1"/>
  <c r="U130" i="5" s="1"/>
  <c r="H130" i="5"/>
  <c r="T130" i="5" s="1"/>
  <c r="CZ129" i="5"/>
  <c r="G130" i="5" s="1"/>
  <c r="S130" i="5" s="1"/>
  <c r="CY129" i="5"/>
  <c r="CX132" i="5"/>
  <c r="DH101" i="4"/>
  <c r="I120" i="4" s="1"/>
  <c r="DD102" i="4"/>
  <c r="DE102" i="4" s="1"/>
  <c r="H121" i="4" s="1"/>
  <c r="N132" i="5"/>
  <c r="DS131" i="5"/>
  <c r="DS132" i="5" s="1"/>
  <c r="CU130" i="5"/>
  <c r="CV130" i="5" s="1"/>
  <c r="CR131" i="5"/>
  <c r="CS131" i="5" s="1"/>
  <c r="DI130" i="5"/>
  <c r="DJ130" i="5" s="1"/>
  <c r="B133" i="5"/>
  <c r="DV132" i="5"/>
  <c r="CT132" i="5"/>
  <c r="DH132" i="5"/>
  <c r="BY132" i="5"/>
  <c r="CD132" i="5" s="1"/>
  <c r="AA133" i="5"/>
  <c r="AB132" i="5"/>
  <c r="K133" i="5" s="1"/>
  <c r="W133" i="5" s="1"/>
  <c r="DT131" i="5"/>
  <c r="CP132" i="5"/>
  <c r="CQ132" i="5"/>
  <c r="CO132" i="5"/>
  <c r="CW131" i="5" s="1"/>
  <c r="CN132" i="5"/>
  <c r="DR132" i="5"/>
  <c r="DQ132" i="5"/>
  <c r="DY131" i="5" s="1"/>
  <c r="DP132" i="5"/>
  <c r="DE132" i="5"/>
  <c r="DD132" i="5"/>
  <c r="DB132" i="5"/>
  <c r="DG103" i="4"/>
  <c r="DB103" i="4"/>
  <c r="DC103" i="4" s="1"/>
  <c r="CX104" i="4"/>
  <c r="DF104" i="4" s="1"/>
  <c r="CU106" i="4"/>
  <c r="W107" i="4"/>
  <c r="C125" i="4"/>
  <c r="CK128" i="5" l="1"/>
  <c r="CL128" i="5"/>
  <c r="CC129" i="5"/>
  <c r="CE129" i="5" s="1"/>
  <c r="CH129" i="5" s="1"/>
  <c r="CB130" i="5"/>
  <c r="AX125" i="5"/>
  <c r="AZ125" i="5" s="1"/>
  <c r="AW126" i="5"/>
  <c r="BD124" i="5"/>
  <c r="BF124" i="5" s="1"/>
  <c r="BC124" i="5"/>
  <c r="BG124" i="5" s="1"/>
  <c r="D125" i="5" s="1"/>
  <c r="P125" i="5" s="1"/>
  <c r="BB126" i="5"/>
  <c r="AU127" i="5"/>
  <c r="BZ133" i="5"/>
  <c r="CG133" i="5" s="1"/>
  <c r="AV133" i="5"/>
  <c r="CA133" i="5"/>
  <c r="BO133" i="5"/>
  <c r="CF133" i="5"/>
  <c r="CI133" i="5" s="1"/>
  <c r="AY133" i="5"/>
  <c r="CJ133" i="5"/>
  <c r="BA133" i="5"/>
  <c r="BE133" i="5"/>
  <c r="AA105" i="4"/>
  <c r="AT104" i="4" s="1"/>
  <c r="AW104" i="4" s="1"/>
  <c r="AG102" i="4"/>
  <c r="AC103" i="4"/>
  <c r="AC104" i="4" s="1"/>
  <c r="AC105" i="4" s="1"/>
  <c r="AC106" i="4" s="1"/>
  <c r="AC107" i="4" s="1"/>
  <c r="BR124" i="5"/>
  <c r="BS124" i="5" s="1"/>
  <c r="BW124" i="5" s="1"/>
  <c r="E125" i="5" s="1"/>
  <c r="Q125" i="5" s="1"/>
  <c r="BQ133" i="5"/>
  <c r="BK134" i="5" s="1"/>
  <c r="BP125" i="5"/>
  <c r="BM126" i="5"/>
  <c r="BV124" i="5"/>
  <c r="BL126" i="5"/>
  <c r="BT125" i="5" s="1"/>
  <c r="AQ106" i="4"/>
  <c r="AD106" i="4"/>
  <c r="Z107" i="4"/>
  <c r="AF107" i="4"/>
  <c r="CE107" i="4"/>
  <c r="AU107" i="4"/>
  <c r="Y107" i="4"/>
  <c r="AB104" i="4"/>
  <c r="CQ61" i="4"/>
  <c r="G80" i="4" s="1"/>
  <c r="J125" i="4"/>
  <c r="BU133" i="5"/>
  <c r="AK133" i="5"/>
  <c r="AO133" i="5"/>
  <c r="AI133" i="5"/>
  <c r="BY62" i="4"/>
  <c r="CO62" i="4" s="1"/>
  <c r="CP62" i="4" s="1"/>
  <c r="CC74" i="4"/>
  <c r="BZ74" i="4"/>
  <c r="CB74" i="4" s="1"/>
  <c r="CM62" i="4"/>
  <c r="F125" i="5"/>
  <c r="R125" i="5" s="1"/>
  <c r="CG63" i="4"/>
  <c r="BR63" i="4"/>
  <c r="BS75" i="4" s="1"/>
  <c r="BT87" i="4" s="1"/>
  <c r="BU99" i="4" s="1"/>
  <c r="AD136" i="5"/>
  <c r="AC137" i="5"/>
  <c r="BJ137" i="5"/>
  <c r="J132" i="5"/>
  <c r="V132" i="5" s="1"/>
  <c r="DC132" i="5"/>
  <c r="DK131" i="5" s="1"/>
  <c r="DM131" i="5" s="1"/>
  <c r="DA105" i="4"/>
  <c r="DH102" i="4"/>
  <c r="I121" i="4" s="1"/>
  <c r="CV107" i="4"/>
  <c r="CW106" i="4"/>
  <c r="CX106" i="4" s="1"/>
  <c r="DF106" i="4" s="1"/>
  <c r="CA106" i="4"/>
  <c r="CY107" i="4"/>
  <c r="CS108" i="4" s="1"/>
  <c r="BP107" i="4"/>
  <c r="BI107" i="4"/>
  <c r="BN107" i="4" s="1"/>
  <c r="X107" i="4"/>
  <c r="K126" i="4" s="1"/>
  <c r="CT107" i="4"/>
  <c r="DL133" i="5"/>
  <c r="DZ133" i="5"/>
  <c r="EA131" i="5"/>
  <c r="EB130" i="5"/>
  <c r="I131" i="5" s="1"/>
  <c r="U131" i="5" s="1"/>
  <c r="DN130" i="5"/>
  <c r="H131" i="5" s="1"/>
  <c r="T131" i="5" s="1"/>
  <c r="CY130" i="5"/>
  <c r="CZ130" i="5"/>
  <c r="G131" i="5" s="1"/>
  <c r="S131" i="5" s="1"/>
  <c r="CX133" i="5"/>
  <c r="N133" i="5"/>
  <c r="DB105" i="4"/>
  <c r="DC105" i="4" s="1"/>
  <c r="DU131" i="5"/>
  <c r="DW131" i="5" s="1"/>
  <c r="DX131" i="5" s="1"/>
  <c r="EB131" i="5" s="1"/>
  <c r="DR133" i="5"/>
  <c r="DQ133" i="5"/>
  <c r="DY132" i="5" s="1"/>
  <c r="DP133" i="5"/>
  <c r="DS133" i="5"/>
  <c r="CU131" i="5"/>
  <c r="CV131" i="5" s="1"/>
  <c r="DI131" i="5"/>
  <c r="DJ131" i="5" s="1"/>
  <c r="DE133" i="5"/>
  <c r="DD133" i="5"/>
  <c r="DB133" i="5"/>
  <c r="DF132" i="5"/>
  <c r="DG132" i="5" s="1"/>
  <c r="CR132" i="5"/>
  <c r="CS132" i="5" s="1"/>
  <c r="B134" i="5"/>
  <c r="DV133" i="5"/>
  <c r="CT133" i="5"/>
  <c r="DH133" i="5"/>
  <c r="BY133" i="5"/>
  <c r="CD133" i="5" s="1"/>
  <c r="AA134" i="5"/>
  <c r="AB133" i="5"/>
  <c r="K134" i="5" s="1"/>
  <c r="W134" i="5" s="1"/>
  <c r="DT132" i="5"/>
  <c r="DU132" i="5" s="1"/>
  <c r="CP133" i="5"/>
  <c r="CQ133" i="5"/>
  <c r="CO133" i="5"/>
  <c r="CW132" i="5" s="1"/>
  <c r="CN133" i="5"/>
  <c r="DG104" i="4"/>
  <c r="DB104" i="4"/>
  <c r="DC104" i="4" s="1"/>
  <c r="DG105" i="4"/>
  <c r="DD103" i="4"/>
  <c r="DH103" i="4" s="1"/>
  <c r="I122" i="4" s="1"/>
  <c r="C126" i="4"/>
  <c r="W108" i="4"/>
  <c r="CU107" i="4"/>
  <c r="CK129" i="5" l="1"/>
  <c r="CL129" i="5"/>
  <c r="BO134" i="5"/>
  <c r="AY134" i="5"/>
  <c r="CF134" i="5"/>
  <c r="CI134" i="5" s="1"/>
  <c r="CJ134" i="5"/>
  <c r="BE134" i="5"/>
  <c r="BA134" i="5"/>
  <c r="AX126" i="5"/>
  <c r="AZ126" i="5" s="1"/>
  <c r="AW127" i="5"/>
  <c r="BB127" i="5"/>
  <c r="AU128" i="5"/>
  <c r="BD125" i="5"/>
  <c r="BF125" i="5" s="1"/>
  <c r="BC125" i="5"/>
  <c r="BG125" i="5" s="1"/>
  <c r="D126" i="5" s="1"/>
  <c r="P126" i="5" s="1"/>
  <c r="BZ134" i="5"/>
  <c r="CG134" i="5" s="1"/>
  <c r="CC130" i="5"/>
  <c r="CE130" i="5" s="1"/>
  <c r="CH130" i="5" s="1"/>
  <c r="CB131" i="5"/>
  <c r="CA134" i="5"/>
  <c r="AV134" i="5"/>
  <c r="AE103" i="4"/>
  <c r="AG103" i="4" s="1"/>
  <c r="AA106" i="4"/>
  <c r="AT105" i="4" s="1"/>
  <c r="AW105" i="4" s="1"/>
  <c r="AC108" i="4"/>
  <c r="BR125" i="5"/>
  <c r="BS125" i="5" s="1"/>
  <c r="BW125" i="5" s="1"/>
  <c r="E126" i="5" s="1"/>
  <c r="Q126" i="5" s="1"/>
  <c r="BQ134" i="5"/>
  <c r="BK135" i="5" s="1"/>
  <c r="BL127" i="5"/>
  <c r="BT126" i="5" s="1"/>
  <c r="BV125" i="5"/>
  <c r="BM127" i="5"/>
  <c r="BP126" i="5"/>
  <c r="AQ107" i="4"/>
  <c r="AD107" i="4"/>
  <c r="J126" i="4"/>
  <c r="Z108" i="4"/>
  <c r="CE108" i="4"/>
  <c r="AF108" i="4"/>
  <c r="AU108" i="4"/>
  <c r="Y108" i="4"/>
  <c r="AE104" i="4"/>
  <c r="AG104" i="4" s="1"/>
  <c r="AB105" i="4"/>
  <c r="BU134" i="5"/>
  <c r="AK134" i="5"/>
  <c r="AO134" i="5"/>
  <c r="AI134" i="5"/>
  <c r="CQ62" i="4"/>
  <c r="G81" i="4" s="1"/>
  <c r="CN62" i="4"/>
  <c r="F81" i="4" s="1"/>
  <c r="F126" i="5"/>
  <c r="R126" i="5" s="1"/>
  <c r="CH63" i="4"/>
  <c r="CI63" i="4" s="1"/>
  <c r="CJ63" i="4" s="1"/>
  <c r="CF64" i="4" s="1"/>
  <c r="BV63" i="4"/>
  <c r="BX63" i="4" s="1"/>
  <c r="CK63" i="4" s="1"/>
  <c r="CL63" i="4" s="1"/>
  <c r="AD137" i="5"/>
  <c r="AC138" i="5"/>
  <c r="BJ138" i="5"/>
  <c r="CR133" i="5"/>
  <c r="CS133" i="5" s="1"/>
  <c r="DC133" i="5"/>
  <c r="DK132" i="5" s="1"/>
  <c r="DM132" i="5" s="1"/>
  <c r="J133" i="5"/>
  <c r="V133" i="5" s="1"/>
  <c r="CT108" i="4"/>
  <c r="CZ107" i="4" s="1"/>
  <c r="CY108" i="4"/>
  <c r="CS109" i="4" s="1"/>
  <c r="BP108" i="4"/>
  <c r="BI108" i="4"/>
  <c r="CA108" i="4" s="1"/>
  <c r="X108" i="4"/>
  <c r="K127" i="4" s="1"/>
  <c r="CV108" i="4"/>
  <c r="CZ106" i="4"/>
  <c r="DA106" i="4" s="1"/>
  <c r="CW107" i="4"/>
  <c r="CX107" i="4" s="1"/>
  <c r="DF107" i="4" s="1"/>
  <c r="CA107" i="4"/>
  <c r="DL134" i="5"/>
  <c r="DZ134" i="5"/>
  <c r="EA132" i="5"/>
  <c r="I132" i="5"/>
  <c r="U132" i="5" s="1"/>
  <c r="DN131" i="5"/>
  <c r="H132" i="5" s="1"/>
  <c r="T132" i="5" s="1"/>
  <c r="CY131" i="5"/>
  <c r="CZ131" i="5"/>
  <c r="G132" i="5" s="1"/>
  <c r="S132" i="5" s="1"/>
  <c r="CX134" i="5"/>
  <c r="N134" i="5"/>
  <c r="DG106" i="4"/>
  <c r="DF133" i="5"/>
  <c r="DG133" i="5" s="1"/>
  <c r="DT133" i="5"/>
  <c r="DU133" i="5" s="1"/>
  <c r="CU132" i="5"/>
  <c r="CV132" i="5" s="1"/>
  <c r="DI132" i="5"/>
  <c r="DJ132" i="5" s="1"/>
  <c r="DN132" i="5" s="1"/>
  <c r="DW132" i="5"/>
  <c r="DX132" i="5" s="1"/>
  <c r="DE134" i="5"/>
  <c r="DD134" i="5"/>
  <c r="DB134" i="5"/>
  <c r="CN134" i="5"/>
  <c r="CQ134" i="5"/>
  <c r="CP134" i="5"/>
  <c r="CO134" i="5"/>
  <c r="CW133" i="5" s="1"/>
  <c r="B135" i="5"/>
  <c r="AA135" i="5"/>
  <c r="DV134" i="5"/>
  <c r="CT134" i="5"/>
  <c r="BY134" i="5"/>
  <c r="CD134" i="5" s="1"/>
  <c r="DH134" i="5"/>
  <c r="AB134" i="5"/>
  <c r="K135" i="5" s="1"/>
  <c r="W135" i="5" s="1"/>
  <c r="DP134" i="5"/>
  <c r="DS134" i="5"/>
  <c r="DR134" i="5"/>
  <c r="DQ134" i="5"/>
  <c r="DY133" i="5" s="1"/>
  <c r="DE103" i="4"/>
  <c r="H122" i="4" s="1"/>
  <c r="DB106" i="4"/>
  <c r="DC106" i="4" s="1"/>
  <c r="DD104" i="4"/>
  <c r="DD105" i="4" s="1"/>
  <c r="BL67" i="4"/>
  <c r="CU108" i="4"/>
  <c r="W109" i="4"/>
  <c r="C127" i="4"/>
  <c r="AV135" i="5" l="1"/>
  <c r="CA135" i="5"/>
  <c r="CK130" i="5"/>
  <c r="CL130" i="5"/>
  <c r="BB128" i="5"/>
  <c r="AU129" i="5"/>
  <c r="BO135" i="5"/>
  <c r="CF135" i="5"/>
  <c r="CI135" i="5" s="1"/>
  <c r="CJ135" i="5"/>
  <c r="BA135" i="5"/>
  <c r="AV136" i="5" s="1"/>
  <c r="BE135" i="5"/>
  <c r="AY135" i="5"/>
  <c r="CC131" i="5"/>
  <c r="CE131" i="5" s="1"/>
  <c r="CH131" i="5" s="1"/>
  <c r="CB132" i="5"/>
  <c r="AX127" i="5"/>
  <c r="AZ127" i="5" s="1"/>
  <c r="AW128" i="5"/>
  <c r="BZ135" i="5"/>
  <c r="CG135" i="5" s="1"/>
  <c r="BD126" i="5"/>
  <c r="BF126" i="5" s="1"/>
  <c r="BC126" i="5"/>
  <c r="BG126" i="5" s="1"/>
  <c r="D127" i="5" s="1"/>
  <c r="P127" i="5" s="1"/>
  <c r="AC109" i="4"/>
  <c r="AA107" i="4"/>
  <c r="AT106" i="4" s="1"/>
  <c r="AW106" i="4" s="1"/>
  <c r="BR126" i="5"/>
  <c r="BS126" i="5" s="1"/>
  <c r="BW126" i="5" s="1"/>
  <c r="E127" i="5" s="1"/>
  <c r="Q127" i="5" s="1"/>
  <c r="BQ135" i="5"/>
  <c r="BK136" i="5" s="1"/>
  <c r="BP127" i="5"/>
  <c r="BN128" i="5" s="1"/>
  <c r="BN129" i="5" s="1"/>
  <c r="BN130" i="5" s="1"/>
  <c r="BN131" i="5" s="1"/>
  <c r="BN132" i="5" s="1"/>
  <c r="BN133" i="5" s="1"/>
  <c r="BN134" i="5" s="1"/>
  <c r="BN135" i="5" s="1"/>
  <c r="BM128" i="5"/>
  <c r="BL128" i="5"/>
  <c r="BT127" i="5" s="1"/>
  <c r="BV126" i="5"/>
  <c r="AQ108" i="4"/>
  <c r="AD108" i="4"/>
  <c r="J127" i="4"/>
  <c r="BN108" i="4"/>
  <c r="AU109" i="4"/>
  <c r="AF109" i="4"/>
  <c r="CE109" i="4"/>
  <c r="Y109" i="4"/>
  <c r="AE105" i="4"/>
  <c r="AG105" i="4" s="1"/>
  <c r="AB106" i="4"/>
  <c r="Z109" i="4"/>
  <c r="AK135" i="5"/>
  <c r="BU135" i="5"/>
  <c r="AO135" i="5"/>
  <c r="AI135" i="5"/>
  <c r="BY63" i="4"/>
  <c r="CO63" i="4" s="1"/>
  <c r="CP63" i="4" s="1"/>
  <c r="BR64" i="4"/>
  <c r="BS76" i="4" s="1"/>
  <c r="BT88" i="4" s="1"/>
  <c r="BU100" i="4" s="1"/>
  <c r="CG64" i="4"/>
  <c r="CM63" i="4"/>
  <c r="CN63" i="4" s="1"/>
  <c r="F82" i="4" s="1"/>
  <c r="CC75" i="4"/>
  <c r="BZ75" i="4"/>
  <c r="CB75" i="4" s="1"/>
  <c r="F127" i="5"/>
  <c r="R127" i="5" s="1"/>
  <c r="DC134" i="5"/>
  <c r="DK133" i="5" s="1"/>
  <c r="DM133" i="5" s="1"/>
  <c r="AD138" i="5"/>
  <c r="AC139" i="5"/>
  <c r="BJ139" i="5"/>
  <c r="DF134" i="5"/>
  <c r="DG134" i="5" s="1"/>
  <c r="J134" i="5"/>
  <c r="V134" i="5" s="1"/>
  <c r="CT109" i="4"/>
  <c r="CZ108" i="4" s="1"/>
  <c r="CW108" i="4"/>
  <c r="CX108" i="4" s="1"/>
  <c r="DF108" i="4" s="1"/>
  <c r="CY109" i="4"/>
  <c r="CS110" i="4" s="1"/>
  <c r="BP109" i="4"/>
  <c r="BI109" i="4"/>
  <c r="BN109" i="4" s="1"/>
  <c r="X109" i="4"/>
  <c r="K128" i="4" s="1"/>
  <c r="DA107" i="4"/>
  <c r="CV109" i="4"/>
  <c r="DL135" i="5"/>
  <c r="DZ135" i="5"/>
  <c r="EB132" i="5"/>
  <c r="I133" i="5" s="1"/>
  <c r="U133" i="5" s="1"/>
  <c r="EA133" i="5"/>
  <c r="H133" i="5"/>
  <c r="T133" i="5" s="1"/>
  <c r="CX135" i="5"/>
  <c r="CY132" i="5"/>
  <c r="CZ132" i="5"/>
  <c r="G133" i="5" s="1"/>
  <c r="S133" i="5" s="1"/>
  <c r="N135" i="5"/>
  <c r="DE135" i="5"/>
  <c r="DD135" i="5"/>
  <c r="DB135" i="5"/>
  <c r="DQ135" i="5"/>
  <c r="DY134" i="5" s="1"/>
  <c r="DP135" i="5"/>
  <c r="DS135" i="5"/>
  <c r="DR135" i="5"/>
  <c r="CR134" i="5"/>
  <c r="CS134" i="5" s="1"/>
  <c r="DW133" i="5"/>
  <c r="DX133" i="5" s="1"/>
  <c r="EB133" i="5" s="1"/>
  <c r="DI133" i="5"/>
  <c r="DJ133" i="5" s="1"/>
  <c r="DT134" i="5"/>
  <c r="DU134" i="5" s="1"/>
  <c r="CU133" i="5"/>
  <c r="CV133" i="5" s="1"/>
  <c r="B136" i="5"/>
  <c r="AA136" i="5"/>
  <c r="DV135" i="5"/>
  <c r="CT135" i="5"/>
  <c r="BY135" i="5"/>
  <c r="CD135" i="5" s="1"/>
  <c r="DH135" i="5"/>
  <c r="AB135" i="5"/>
  <c r="K136" i="5" s="1"/>
  <c r="W136" i="5" s="1"/>
  <c r="CO135" i="5"/>
  <c r="CW134" i="5" s="1"/>
  <c r="CN135" i="5"/>
  <c r="CQ135" i="5"/>
  <c r="CP135" i="5"/>
  <c r="DE105" i="4"/>
  <c r="H124" i="4" s="1"/>
  <c r="DH105" i="4"/>
  <c r="I124" i="4" s="1"/>
  <c r="DG107" i="4"/>
  <c r="DB107" i="4"/>
  <c r="DC107" i="4" s="1"/>
  <c r="DD106" i="4"/>
  <c r="DH106" i="4" s="1"/>
  <c r="I125" i="4" s="1"/>
  <c r="DH104" i="4"/>
  <c r="I123" i="4" s="1"/>
  <c r="DE104" i="4"/>
  <c r="H123" i="4" s="1"/>
  <c r="BM67" i="4"/>
  <c r="BO67" i="4" s="1"/>
  <c r="BQ67" i="4" s="1"/>
  <c r="BL68" i="4"/>
  <c r="W110" i="4"/>
  <c r="C128" i="4"/>
  <c r="CU109" i="4"/>
  <c r="AA108" i="4" l="1"/>
  <c r="CK131" i="5"/>
  <c r="CL131" i="5"/>
  <c r="BZ136" i="5"/>
  <c r="CG136" i="5" s="1"/>
  <c r="BO136" i="5"/>
  <c r="CF136" i="5"/>
  <c r="CI136" i="5" s="1"/>
  <c r="CJ136" i="5"/>
  <c r="BA136" i="5"/>
  <c r="AV137" i="5" s="1"/>
  <c r="BE136" i="5"/>
  <c r="AY136" i="5"/>
  <c r="CC132" i="5"/>
  <c r="CE132" i="5" s="1"/>
  <c r="CH132" i="5" s="1"/>
  <c r="CB133" i="5"/>
  <c r="CA136" i="5"/>
  <c r="AC110" i="4"/>
  <c r="BB129" i="5"/>
  <c r="AU130" i="5"/>
  <c r="AX128" i="5"/>
  <c r="AZ128" i="5" s="1"/>
  <c r="AW129" i="5"/>
  <c r="BD127" i="5"/>
  <c r="BF127" i="5" s="1"/>
  <c r="BC127" i="5"/>
  <c r="BG127" i="5" s="1"/>
  <c r="D128" i="5" s="1"/>
  <c r="P128" i="5" s="1"/>
  <c r="BN136" i="5"/>
  <c r="AT107" i="4"/>
  <c r="AW107" i="4" s="1"/>
  <c r="BR127" i="5"/>
  <c r="BS127" i="5" s="1"/>
  <c r="BW127" i="5" s="1"/>
  <c r="BQ136" i="5"/>
  <c r="BK137" i="5" s="1"/>
  <c r="BL129" i="5"/>
  <c r="BT128" i="5" s="1"/>
  <c r="BV127" i="5"/>
  <c r="BP128" i="5"/>
  <c r="BM129" i="5"/>
  <c r="AA109" i="4"/>
  <c r="J128" i="4"/>
  <c r="AQ109" i="4"/>
  <c r="AD109" i="4"/>
  <c r="AE106" i="4"/>
  <c r="AG106" i="4" s="1"/>
  <c r="AB107" i="4"/>
  <c r="CE110" i="4"/>
  <c r="AU110" i="4"/>
  <c r="AF110" i="4"/>
  <c r="Y110" i="4"/>
  <c r="Z110" i="4"/>
  <c r="BV64" i="4"/>
  <c r="BX64" i="4" s="1"/>
  <c r="CK64" i="4" s="1"/>
  <c r="CL64" i="4" s="1"/>
  <c r="CM64" i="4" s="1"/>
  <c r="CN64" i="4" s="1"/>
  <c r="F83" i="4" s="1"/>
  <c r="AK136" i="5"/>
  <c r="AO136" i="5"/>
  <c r="BU136" i="5"/>
  <c r="AI136" i="5"/>
  <c r="CC76" i="4"/>
  <c r="F128" i="5"/>
  <c r="R128" i="5" s="1"/>
  <c r="CH64" i="4"/>
  <c r="CI64" i="4" s="1"/>
  <c r="CJ64" i="4" s="1"/>
  <c r="CF65" i="4" s="1"/>
  <c r="CQ63" i="4"/>
  <c r="G82" i="4" s="1"/>
  <c r="AD139" i="5"/>
  <c r="AC140" i="5"/>
  <c r="DC135" i="5"/>
  <c r="DK134" i="5" s="1"/>
  <c r="DM134" i="5" s="1"/>
  <c r="BJ140" i="5"/>
  <c r="J135" i="5"/>
  <c r="V135" i="5" s="1"/>
  <c r="DA108" i="4"/>
  <c r="CW109" i="4"/>
  <c r="CX109" i="4" s="1"/>
  <c r="DF109" i="4" s="1"/>
  <c r="CA109" i="4"/>
  <c r="CV110" i="4"/>
  <c r="CY110" i="4"/>
  <c r="CS111" i="4" s="1"/>
  <c r="BP110" i="4"/>
  <c r="BI110" i="4"/>
  <c r="BN110" i="4" s="1"/>
  <c r="X110" i="4"/>
  <c r="K129" i="4" s="1"/>
  <c r="CT110" i="4"/>
  <c r="CZ109" i="4" s="1"/>
  <c r="DL136" i="5"/>
  <c r="DZ136" i="5"/>
  <c r="EA134" i="5"/>
  <c r="I134" i="5"/>
  <c r="U134" i="5" s="1"/>
  <c r="DN133" i="5"/>
  <c r="H134" i="5" s="1"/>
  <c r="T134" i="5" s="1"/>
  <c r="CY133" i="5"/>
  <c r="CZ133" i="5"/>
  <c r="G134" i="5" s="1"/>
  <c r="S134" i="5" s="1"/>
  <c r="CX136" i="5"/>
  <c r="N136" i="5"/>
  <c r="CU134" i="5"/>
  <c r="CV134" i="5" s="1"/>
  <c r="DW134" i="5"/>
  <c r="DX134" i="5" s="1"/>
  <c r="DF135" i="5"/>
  <c r="DG135" i="5" s="1"/>
  <c r="CR135" i="5"/>
  <c r="CS135" i="5" s="1"/>
  <c r="B137" i="5"/>
  <c r="AA137" i="5"/>
  <c r="DH136" i="5"/>
  <c r="BY136" i="5"/>
  <c r="CD136" i="5" s="1"/>
  <c r="DV136" i="5"/>
  <c r="CT136" i="5"/>
  <c r="AB136" i="5"/>
  <c r="K137" i="5" s="1"/>
  <c r="W137" i="5" s="1"/>
  <c r="DT135" i="5"/>
  <c r="DU135" i="5" s="1"/>
  <c r="DI134" i="5"/>
  <c r="DJ134" i="5" s="1"/>
  <c r="DN134" i="5" s="1"/>
  <c r="DE136" i="5"/>
  <c r="DD136" i="5"/>
  <c r="DB136" i="5"/>
  <c r="CP136" i="5"/>
  <c r="CO136" i="5"/>
  <c r="CW135" i="5" s="1"/>
  <c r="CN136" i="5"/>
  <c r="CQ136" i="5"/>
  <c r="DR136" i="5"/>
  <c r="DQ136" i="5"/>
  <c r="DY135" i="5" s="1"/>
  <c r="DP136" i="5"/>
  <c r="DS136" i="5"/>
  <c r="DD107" i="4"/>
  <c r="DE107" i="4" s="1"/>
  <c r="H126" i="4" s="1"/>
  <c r="DG108" i="4"/>
  <c r="DB108" i="4"/>
  <c r="DC108" i="4" s="1"/>
  <c r="DE106" i="4"/>
  <c r="H125" i="4" s="1"/>
  <c r="BM68" i="4"/>
  <c r="BO68" i="4" s="1"/>
  <c r="BQ68" i="4" s="1"/>
  <c r="BL69" i="4"/>
  <c r="W111" i="4"/>
  <c r="C129" i="4"/>
  <c r="CU110" i="4"/>
  <c r="CL132" i="5" l="1"/>
  <c r="CK132" i="5"/>
  <c r="BD128" i="5"/>
  <c r="BF128" i="5" s="1"/>
  <c r="BC128" i="5"/>
  <c r="BG128" i="5" s="1"/>
  <c r="D129" i="5" s="1"/>
  <c r="P129" i="5" s="1"/>
  <c r="BZ137" i="5"/>
  <c r="CG137" i="5" s="1"/>
  <c r="BB130" i="5"/>
  <c r="AU131" i="5"/>
  <c r="BO137" i="5"/>
  <c r="CJ137" i="5"/>
  <c r="AY137" i="5"/>
  <c r="CF137" i="5"/>
  <c r="CI137" i="5" s="1"/>
  <c r="BA137" i="5"/>
  <c r="BE137" i="5"/>
  <c r="AC111" i="4"/>
  <c r="CA137" i="5"/>
  <c r="CA138" i="5" s="1"/>
  <c r="CC133" i="5"/>
  <c r="CE133" i="5" s="1"/>
  <c r="CH133" i="5" s="1"/>
  <c r="CB134" i="5"/>
  <c r="AX129" i="5"/>
  <c r="AZ129" i="5" s="1"/>
  <c r="AW130" i="5"/>
  <c r="BN137" i="5"/>
  <c r="AA110" i="4"/>
  <c r="AT109" i="4" s="1"/>
  <c r="AW109" i="4" s="1"/>
  <c r="AT108" i="4"/>
  <c r="BQ137" i="5"/>
  <c r="BK138" i="5" s="1"/>
  <c r="E128" i="5"/>
  <c r="Q128" i="5" s="1"/>
  <c r="E15" i="5"/>
  <c r="E31" i="5" s="1"/>
  <c r="BP129" i="5"/>
  <c r="BM130" i="5"/>
  <c r="BV128" i="5"/>
  <c r="BL130" i="5"/>
  <c r="BT129" i="5" s="1"/>
  <c r="J129" i="4"/>
  <c r="AQ110" i="4"/>
  <c r="AD110" i="4"/>
  <c r="AE107" i="4"/>
  <c r="AG107" i="4" s="1"/>
  <c r="AB108" i="4"/>
  <c r="AF111" i="4"/>
  <c r="AU111" i="4"/>
  <c r="CE111" i="4"/>
  <c r="Y111" i="4"/>
  <c r="Z111" i="4"/>
  <c r="BY64" i="4"/>
  <c r="CO64" i="4" s="1"/>
  <c r="CP64" i="4" s="1"/>
  <c r="DC136" i="5"/>
  <c r="DK135" i="5" s="1"/>
  <c r="DM135" i="5" s="1"/>
  <c r="BU137" i="5"/>
  <c r="AK137" i="5"/>
  <c r="AO137" i="5"/>
  <c r="AI137" i="5"/>
  <c r="BZ76" i="4"/>
  <c r="CB76" i="4" s="1"/>
  <c r="CG65" i="4"/>
  <c r="CH65" i="4" s="1"/>
  <c r="CI65" i="4" s="1"/>
  <c r="CJ65" i="4" s="1"/>
  <c r="BR65" i="4"/>
  <c r="BS77" i="4" s="1"/>
  <c r="BT89" i="4" s="1"/>
  <c r="BU101" i="4" s="1"/>
  <c r="AD140" i="5"/>
  <c r="AC141" i="5"/>
  <c r="BJ141" i="5"/>
  <c r="DT136" i="5"/>
  <c r="DU136" i="5" s="1"/>
  <c r="DA109" i="4"/>
  <c r="J136" i="5"/>
  <c r="V136" i="5" s="1"/>
  <c r="CT111" i="4"/>
  <c r="CZ110" i="4" s="1"/>
  <c r="CV111" i="4"/>
  <c r="CW110" i="4"/>
  <c r="CX110" i="4" s="1"/>
  <c r="DF110" i="4" s="1"/>
  <c r="CA110" i="4"/>
  <c r="CY111" i="4"/>
  <c r="CS112" i="4" s="1"/>
  <c r="BP111" i="4"/>
  <c r="BI111" i="4"/>
  <c r="BN111" i="4" s="1"/>
  <c r="X111" i="4"/>
  <c r="K130" i="4" s="1"/>
  <c r="DL137" i="5"/>
  <c r="DZ137" i="5"/>
  <c r="EB134" i="5"/>
  <c r="I135" i="5" s="1"/>
  <c r="U135" i="5" s="1"/>
  <c r="EA135" i="5"/>
  <c r="H135" i="5"/>
  <c r="T135" i="5" s="1"/>
  <c r="CX137" i="5"/>
  <c r="CY134" i="5"/>
  <c r="CZ134" i="5"/>
  <c r="G135" i="5" s="1"/>
  <c r="S135" i="5" s="1"/>
  <c r="N137" i="5"/>
  <c r="DB109" i="4"/>
  <c r="DC109" i="4" s="1"/>
  <c r="DD108" i="4"/>
  <c r="DE108" i="4" s="1"/>
  <c r="H127" i="4" s="1"/>
  <c r="DH107" i="4"/>
  <c r="I126" i="4" s="1"/>
  <c r="DW135" i="5"/>
  <c r="DX135" i="5" s="1"/>
  <c r="EB135" i="5" s="1"/>
  <c r="CU135" i="5"/>
  <c r="CV135" i="5" s="1"/>
  <c r="CR136" i="5"/>
  <c r="CS136" i="5" s="1"/>
  <c r="DF136" i="5"/>
  <c r="DG136" i="5" s="1"/>
  <c r="CO137" i="5"/>
  <c r="CW136" i="5" s="1"/>
  <c r="CP137" i="5"/>
  <c r="CN137" i="5"/>
  <c r="CQ137" i="5"/>
  <c r="DQ137" i="5"/>
  <c r="DY136" i="5" s="1"/>
  <c r="DS137" i="5"/>
  <c r="DP137" i="5"/>
  <c r="DR137" i="5"/>
  <c r="DB137" i="5"/>
  <c r="DE137" i="5"/>
  <c r="DD137" i="5"/>
  <c r="B138" i="5"/>
  <c r="DV137" i="5"/>
  <c r="AA138" i="5"/>
  <c r="CT137" i="5"/>
  <c r="DH137" i="5"/>
  <c r="BY137" i="5"/>
  <c r="CD137" i="5" s="1"/>
  <c r="AB137" i="5"/>
  <c r="K138" i="5" s="1"/>
  <c r="W138" i="5" s="1"/>
  <c r="DI135" i="5"/>
  <c r="DJ135" i="5" s="1"/>
  <c r="DN135" i="5" s="1"/>
  <c r="DG109" i="4"/>
  <c r="BM69" i="4"/>
  <c r="BO69" i="4" s="1"/>
  <c r="BQ69" i="4" s="1"/>
  <c r="BL70" i="4"/>
  <c r="CU111" i="4"/>
  <c r="W112" i="4"/>
  <c r="C130" i="4"/>
  <c r="AA111" i="4" l="1"/>
  <c r="AT110" i="4" s="1"/>
  <c r="CL133" i="5"/>
  <c r="CK133" i="5"/>
  <c r="BB131" i="5"/>
  <c r="AU132" i="5"/>
  <c r="AC112" i="4"/>
  <c r="BO138" i="5"/>
  <c r="BA138" i="5"/>
  <c r="CJ138" i="5"/>
  <c r="AY138" i="5"/>
  <c r="CF138" i="5"/>
  <c r="CI138" i="5" s="1"/>
  <c r="BE138" i="5"/>
  <c r="AX130" i="5"/>
  <c r="AZ130" i="5" s="1"/>
  <c r="AW131" i="5"/>
  <c r="AV138" i="5"/>
  <c r="BZ138" i="5"/>
  <c r="CG138" i="5" s="1"/>
  <c r="BD129" i="5"/>
  <c r="BF129" i="5" s="1"/>
  <c r="BC129" i="5"/>
  <c r="BG129" i="5" s="1"/>
  <c r="D130" i="5" s="1"/>
  <c r="P130" i="5" s="1"/>
  <c r="CC134" i="5"/>
  <c r="CE134" i="5" s="1"/>
  <c r="CH134" i="5" s="1"/>
  <c r="CB135" i="5"/>
  <c r="BN138" i="5"/>
  <c r="BR128" i="5"/>
  <c r="BS128" i="5" s="1"/>
  <c r="BW128" i="5" s="1"/>
  <c r="E129" i="5" s="1"/>
  <c r="Q129" i="5" s="1"/>
  <c r="BQ138" i="5"/>
  <c r="BK139" i="5" s="1"/>
  <c r="BM131" i="5"/>
  <c r="BP130" i="5"/>
  <c r="BV129" i="5"/>
  <c r="BL131" i="5"/>
  <c r="BT130" i="5" s="1"/>
  <c r="J130" i="4"/>
  <c r="AQ111" i="4"/>
  <c r="AD111" i="4"/>
  <c r="DC137" i="5"/>
  <c r="DK136" i="5" s="1"/>
  <c r="DM136" i="5" s="1"/>
  <c r="AE108" i="4"/>
  <c r="AG108" i="4" s="1"/>
  <c r="AB109" i="4"/>
  <c r="AU112" i="4"/>
  <c r="AF112" i="4"/>
  <c r="CE112" i="4"/>
  <c r="Y112" i="4"/>
  <c r="Z112" i="4"/>
  <c r="AA112" i="4"/>
  <c r="AT111" i="4" s="1"/>
  <c r="AW110" i="4"/>
  <c r="CQ64" i="4"/>
  <c r="G83" i="4" s="1"/>
  <c r="AO138" i="5"/>
  <c r="BU138" i="5"/>
  <c r="AK138" i="5"/>
  <c r="AI138" i="5"/>
  <c r="BV65" i="4"/>
  <c r="BX65" i="4" s="1"/>
  <c r="CK65" i="4" s="1"/>
  <c r="CL65" i="4" s="1"/>
  <c r="BR66" i="4"/>
  <c r="BS78" i="4" s="1"/>
  <c r="BT90" i="4" s="1"/>
  <c r="BU102" i="4" s="1"/>
  <c r="F129" i="5"/>
  <c r="R129" i="5" s="1"/>
  <c r="AD141" i="5"/>
  <c r="AC142" i="5"/>
  <c r="BJ142" i="5"/>
  <c r="DA110" i="4"/>
  <c r="J137" i="5"/>
  <c r="V137" i="5" s="1"/>
  <c r="CW111" i="4"/>
  <c r="CX111" i="4" s="1"/>
  <c r="DF111" i="4" s="1"/>
  <c r="CA111" i="4"/>
  <c r="CV112" i="4"/>
  <c r="CT112" i="4"/>
  <c r="CZ111" i="4" s="1"/>
  <c r="BP112" i="4"/>
  <c r="CY112" i="4"/>
  <c r="CS113" i="4" s="1"/>
  <c r="BI112" i="4"/>
  <c r="CA112" i="4" s="1"/>
  <c r="X112" i="4"/>
  <c r="K131" i="4" s="1"/>
  <c r="DH108" i="4"/>
  <c r="I127" i="4" s="1"/>
  <c r="DL138" i="5"/>
  <c r="DZ138" i="5"/>
  <c r="EA136" i="5"/>
  <c r="I136" i="5"/>
  <c r="U136" i="5" s="1"/>
  <c r="H136" i="5"/>
  <c r="T136" i="5" s="1"/>
  <c r="CX138" i="5"/>
  <c r="CY135" i="5"/>
  <c r="CZ135" i="5"/>
  <c r="G136" i="5" s="1"/>
  <c r="S136" i="5" s="1"/>
  <c r="N138" i="5"/>
  <c r="DD109" i="4"/>
  <c r="DE109" i="4" s="1"/>
  <c r="H128" i="4" s="1"/>
  <c r="DG110" i="4"/>
  <c r="DT137" i="5"/>
  <c r="DU137" i="5" s="1"/>
  <c r="CR137" i="5"/>
  <c r="CS137" i="5" s="1"/>
  <c r="DI136" i="5"/>
  <c r="DJ136" i="5" s="1"/>
  <c r="DW136" i="5"/>
  <c r="DX136" i="5" s="1"/>
  <c r="EB136" i="5" s="1"/>
  <c r="DF137" i="5"/>
  <c r="DG137" i="5" s="1"/>
  <c r="CP138" i="5"/>
  <c r="CQ138" i="5"/>
  <c r="CO138" i="5"/>
  <c r="CW137" i="5" s="1"/>
  <c r="CN138" i="5"/>
  <c r="DV138" i="5"/>
  <c r="CT138" i="5"/>
  <c r="B139" i="5"/>
  <c r="DH138" i="5"/>
  <c r="BY138" i="5"/>
  <c r="CD138" i="5" s="1"/>
  <c r="AA139" i="5"/>
  <c r="AB138" i="5"/>
  <c r="K139" i="5" s="1"/>
  <c r="W139" i="5" s="1"/>
  <c r="DR138" i="5"/>
  <c r="DP138" i="5"/>
  <c r="DQ138" i="5"/>
  <c r="DY137" i="5" s="1"/>
  <c r="DS138" i="5"/>
  <c r="CU136" i="5"/>
  <c r="CV136" i="5" s="1"/>
  <c r="DD138" i="5"/>
  <c r="DB138" i="5"/>
  <c r="DE138" i="5"/>
  <c r="DB110" i="4"/>
  <c r="DC110" i="4" s="1"/>
  <c r="BM70" i="4"/>
  <c r="BO70" i="4" s="1"/>
  <c r="BQ70" i="4" s="1"/>
  <c r="BL71" i="4"/>
  <c r="CU112" i="4"/>
  <c r="W113" i="4"/>
  <c r="C131" i="4"/>
  <c r="AV139" i="5" l="1"/>
  <c r="CL134" i="5"/>
  <c r="CK134" i="5"/>
  <c r="CG139" i="5"/>
  <c r="CF139" i="5"/>
  <c r="CJ139" i="5"/>
  <c r="BA139" i="5"/>
  <c r="BE139" i="5"/>
  <c r="BB139" i="5"/>
  <c r="AY139" i="5"/>
  <c r="BZ139" i="5"/>
  <c r="CA139" i="5"/>
  <c r="AX131" i="5"/>
  <c r="AZ131" i="5" s="1"/>
  <c r="AW132" i="5"/>
  <c r="BB132" i="5"/>
  <c r="AU133" i="5"/>
  <c r="CC135" i="5"/>
  <c r="CE135" i="5" s="1"/>
  <c r="CH135" i="5" s="1"/>
  <c r="CB136" i="5"/>
  <c r="BD130" i="5"/>
  <c r="BF130" i="5" s="1"/>
  <c r="BC130" i="5"/>
  <c r="BG130" i="5" s="1"/>
  <c r="D131" i="5" s="1"/>
  <c r="P131" i="5" s="1"/>
  <c r="AC113" i="4"/>
  <c r="BQ139" i="5"/>
  <c r="BK140" i="5" s="1"/>
  <c r="BO139" i="5"/>
  <c r="BN139" i="5"/>
  <c r="J131" i="4"/>
  <c r="BR129" i="5"/>
  <c r="BS129" i="5" s="1"/>
  <c r="BW129" i="5" s="1"/>
  <c r="E130" i="5" s="1"/>
  <c r="Q130" i="5" s="1"/>
  <c r="BL132" i="5"/>
  <c r="BT131" i="5" s="1"/>
  <c r="BV130" i="5"/>
  <c r="BP131" i="5"/>
  <c r="BM132" i="5"/>
  <c r="DC138" i="5"/>
  <c r="DK137" i="5" s="1"/>
  <c r="DM137" i="5" s="1"/>
  <c r="AL139" i="5"/>
  <c r="AQ112" i="4"/>
  <c r="AD112" i="4"/>
  <c r="AW111" i="4"/>
  <c r="BN112" i="4"/>
  <c r="AE109" i="4"/>
  <c r="AG109" i="4" s="1"/>
  <c r="AB110" i="4"/>
  <c r="Z113" i="4"/>
  <c r="AA113" i="4"/>
  <c r="AT112" i="4" s="1"/>
  <c r="AF113" i="4"/>
  <c r="AU113" i="4"/>
  <c r="CE113" i="4"/>
  <c r="Y113" i="4"/>
  <c r="DA111" i="4"/>
  <c r="BU139" i="5"/>
  <c r="AO139" i="5"/>
  <c r="AK139" i="5"/>
  <c r="AI139" i="5"/>
  <c r="BY65" i="4"/>
  <c r="CO65" i="4" s="1"/>
  <c r="CP65" i="4" s="1"/>
  <c r="F130" i="5"/>
  <c r="R130" i="5" s="1"/>
  <c r="BV66" i="4"/>
  <c r="BX66" i="4" s="1"/>
  <c r="CC77" i="4"/>
  <c r="BZ77" i="4"/>
  <c r="CB77" i="4" s="1"/>
  <c r="CM65" i="4"/>
  <c r="AD142" i="5"/>
  <c r="AC143" i="5"/>
  <c r="BJ143" i="5"/>
  <c r="J138" i="5"/>
  <c r="V138" i="5" s="1"/>
  <c r="CT113" i="4"/>
  <c r="CZ112" i="4" s="1"/>
  <c r="CV113" i="4"/>
  <c r="CW112" i="4"/>
  <c r="CX112" i="4" s="1"/>
  <c r="DF112" i="4" s="1"/>
  <c r="BP113" i="4"/>
  <c r="CY113" i="4"/>
  <c r="CS114" i="4" s="1"/>
  <c r="BI113" i="4"/>
  <c r="BN113" i="4" s="1"/>
  <c r="X113" i="4"/>
  <c r="K132" i="4" s="1"/>
  <c r="DL139" i="5"/>
  <c r="DZ139" i="5"/>
  <c r="EA137" i="5"/>
  <c r="I137" i="5"/>
  <c r="U137" i="5" s="1"/>
  <c r="DN136" i="5"/>
  <c r="H137" i="5" s="1"/>
  <c r="T137" i="5" s="1"/>
  <c r="CY136" i="5"/>
  <c r="CZ136" i="5"/>
  <c r="G137" i="5" s="1"/>
  <c r="S137" i="5" s="1"/>
  <c r="CX139" i="5"/>
  <c r="N139" i="5"/>
  <c r="DH109" i="4"/>
  <c r="I128" i="4" s="1"/>
  <c r="DD110" i="4"/>
  <c r="DG111" i="4"/>
  <c r="CR138" i="5"/>
  <c r="CS138" i="5" s="1"/>
  <c r="DF138" i="5"/>
  <c r="DG138" i="5" s="1"/>
  <c r="DI138" i="5" s="1"/>
  <c r="DJ138" i="5" s="1"/>
  <c r="DT138" i="5"/>
  <c r="DU138" i="5" s="1"/>
  <c r="DE139" i="5"/>
  <c r="DD139" i="5"/>
  <c r="DB139" i="5"/>
  <c r="B140" i="5"/>
  <c r="A129" i="5" s="1"/>
  <c r="AA140" i="5"/>
  <c r="DV139" i="5"/>
  <c r="CT139" i="5"/>
  <c r="DH139" i="5"/>
  <c r="BY139" i="5"/>
  <c r="CD139" i="5" s="1"/>
  <c r="AB139" i="5"/>
  <c r="K140" i="5" s="1"/>
  <c r="W140" i="5" s="1"/>
  <c r="CN139" i="5"/>
  <c r="CQ139" i="5"/>
  <c r="CP139" i="5"/>
  <c r="CO139" i="5"/>
  <c r="CW138" i="5" s="1"/>
  <c r="DP139" i="5"/>
  <c r="DS139" i="5"/>
  <c r="DQ139" i="5"/>
  <c r="DY138" i="5" s="1"/>
  <c r="DR139" i="5"/>
  <c r="CU137" i="5"/>
  <c r="CV137" i="5" s="1"/>
  <c r="DW137" i="5"/>
  <c r="DX137" i="5" s="1"/>
  <c r="DI137" i="5"/>
  <c r="DJ137" i="5" s="1"/>
  <c r="DB111" i="4"/>
  <c r="DC111" i="4" s="1"/>
  <c r="BM71" i="4"/>
  <c r="BO71" i="4" s="1"/>
  <c r="BQ71" i="4" s="1"/>
  <c r="BL72" i="4"/>
  <c r="C132" i="4"/>
  <c r="W114" i="4"/>
  <c r="BQ114" i="4" s="1"/>
  <c r="CU113" i="4"/>
  <c r="CL135" i="5" l="1"/>
  <c r="CK135" i="5"/>
  <c r="J132" i="4"/>
  <c r="AX132" i="5"/>
  <c r="AZ132" i="5" s="1"/>
  <c r="AW133" i="5"/>
  <c r="BD131" i="5"/>
  <c r="BF131" i="5" s="1"/>
  <c r="BC131" i="5"/>
  <c r="BG131" i="5" s="1"/>
  <c r="D132" i="5" s="1"/>
  <c r="P132" i="5" s="1"/>
  <c r="AC114" i="4"/>
  <c r="CC136" i="5"/>
  <c r="CE136" i="5" s="1"/>
  <c r="CH136" i="5" s="1"/>
  <c r="CB137" i="5"/>
  <c r="BO140" i="5"/>
  <c r="BA140" i="5"/>
  <c r="AY140" i="5"/>
  <c r="CF140" i="5"/>
  <c r="CI140" i="5" s="1"/>
  <c r="CD140" i="5"/>
  <c r="CJ140" i="5"/>
  <c r="BE140" i="5"/>
  <c r="BB133" i="5"/>
  <c r="AU134" i="5"/>
  <c r="BR130" i="5"/>
  <c r="BS130" i="5" s="1"/>
  <c r="BW130" i="5" s="1"/>
  <c r="E131" i="5" s="1"/>
  <c r="Q131" i="5" s="1"/>
  <c r="DC139" i="5"/>
  <c r="DK138" i="5" s="1"/>
  <c r="DM138" i="5" s="1"/>
  <c r="BQ140" i="5"/>
  <c r="BK141" i="5" s="1"/>
  <c r="BP132" i="5"/>
  <c r="BM133" i="5"/>
  <c r="BL133" i="5"/>
  <c r="BT132" i="5" s="1"/>
  <c r="BV131" i="5"/>
  <c r="AQ113" i="4"/>
  <c r="AD113" i="4"/>
  <c r="DA112" i="4"/>
  <c r="AW112" i="4"/>
  <c r="Z114" i="4"/>
  <c r="AA114" i="4"/>
  <c r="AT113" i="4" s="1"/>
  <c r="AF114" i="4"/>
  <c r="Y114" i="4"/>
  <c r="AE110" i="4"/>
  <c r="AG110" i="4" s="1"/>
  <c r="AB111" i="4"/>
  <c r="AW108" i="4"/>
  <c r="BY66" i="4"/>
  <c r="CO66" i="4" s="1"/>
  <c r="CE66" i="4"/>
  <c r="CF66" i="4" s="1"/>
  <c r="CG66" i="4" s="1"/>
  <c r="CQ65" i="4"/>
  <c r="G84" i="4" s="1"/>
  <c r="BU140" i="5"/>
  <c r="AI140" i="5"/>
  <c r="AK140" i="5"/>
  <c r="AO140" i="5"/>
  <c r="CN65" i="4"/>
  <c r="F84" i="4" s="1"/>
  <c r="CK66" i="4"/>
  <c r="F131" i="5"/>
  <c r="R131" i="5" s="1"/>
  <c r="CC78" i="4"/>
  <c r="BZ78" i="4"/>
  <c r="CB78" i="4" s="1"/>
  <c r="AD143" i="5"/>
  <c r="AC144" i="5"/>
  <c r="BJ144" i="5"/>
  <c r="J139" i="5"/>
  <c r="V139" i="5" s="1"/>
  <c r="CW113" i="4"/>
  <c r="CX113" i="4" s="1"/>
  <c r="DF113" i="4" s="1"/>
  <c r="CA113" i="4"/>
  <c r="BP114" i="4"/>
  <c r="CY114" i="4"/>
  <c r="CS115" i="4" s="1"/>
  <c r="BI114" i="4"/>
  <c r="BN114" i="4" s="1"/>
  <c r="X114" i="4"/>
  <c r="K133" i="4" s="1"/>
  <c r="CV114" i="4"/>
  <c r="CT114" i="4"/>
  <c r="CZ113" i="4" s="1"/>
  <c r="DL140" i="5"/>
  <c r="DZ140" i="5"/>
  <c r="EA138" i="5"/>
  <c r="EB137" i="5"/>
  <c r="I138" i="5" s="1"/>
  <c r="U138" i="5" s="1"/>
  <c r="DN137" i="5"/>
  <c r="H138" i="5" s="1"/>
  <c r="T138" i="5" s="1"/>
  <c r="DN138" i="5"/>
  <c r="H139" i="5" s="1"/>
  <c r="T139" i="5" s="1"/>
  <c r="CY137" i="5"/>
  <c r="CZ137" i="5"/>
  <c r="G138" i="5" s="1"/>
  <c r="S138" i="5" s="1"/>
  <c r="CX140" i="5"/>
  <c r="N140" i="5"/>
  <c r="DE110" i="4"/>
  <c r="H129" i="4" s="1"/>
  <c r="DH110" i="4"/>
  <c r="I129" i="4" s="1"/>
  <c r="DD111" i="4"/>
  <c r="DG112" i="4"/>
  <c r="CR139" i="5"/>
  <c r="CS139" i="5" s="1"/>
  <c r="CQ140" i="5" s="1"/>
  <c r="DW138" i="5"/>
  <c r="DX138" i="5" s="1"/>
  <c r="DF139" i="5"/>
  <c r="DG139" i="5" s="1"/>
  <c r="DE140" i="5" s="1"/>
  <c r="DT139" i="5"/>
  <c r="DU139" i="5" s="1"/>
  <c r="B141" i="5"/>
  <c r="AA141" i="5"/>
  <c r="DV140" i="5"/>
  <c r="CT140" i="5"/>
  <c r="DH140" i="5"/>
  <c r="BY140" i="5"/>
  <c r="AB140" i="5"/>
  <c r="K141" i="5" s="1"/>
  <c r="W141" i="5" s="1"/>
  <c r="CU138" i="5"/>
  <c r="CV138" i="5" s="1"/>
  <c r="CO140" i="5"/>
  <c r="CW139" i="5" s="1"/>
  <c r="CN140" i="5"/>
  <c r="CP140" i="5"/>
  <c r="DD140" i="5"/>
  <c r="DB140" i="5"/>
  <c r="DQ140" i="5"/>
  <c r="DY139" i="5" s="1"/>
  <c r="DP140" i="5"/>
  <c r="DR140" i="5"/>
  <c r="DB112" i="4"/>
  <c r="DC112" i="4" s="1"/>
  <c r="BM72" i="4"/>
  <c r="BO72" i="4" s="1"/>
  <c r="BL73" i="4"/>
  <c r="W115" i="4"/>
  <c r="C133" i="4"/>
  <c r="CU114" i="4"/>
  <c r="J133" i="4" l="1"/>
  <c r="DC140" i="5"/>
  <c r="DK139" i="5" s="1"/>
  <c r="DM139" i="5" s="1"/>
  <c r="CL136" i="5"/>
  <c r="CK136" i="5"/>
  <c r="CC137" i="5"/>
  <c r="CE137" i="5" s="1"/>
  <c r="CH137" i="5" s="1"/>
  <c r="CB138" i="5"/>
  <c r="AX133" i="5"/>
  <c r="AZ133" i="5" s="1"/>
  <c r="AW134" i="5"/>
  <c r="BD132" i="5"/>
  <c r="BF132" i="5" s="1"/>
  <c r="BC132" i="5"/>
  <c r="BG132" i="5" s="1"/>
  <c r="D133" i="5" s="1"/>
  <c r="P133" i="5" s="1"/>
  <c r="BO141" i="5"/>
  <c r="BA141" i="5"/>
  <c r="CF141" i="5"/>
  <c r="CI141" i="5" s="1"/>
  <c r="CD141" i="5"/>
  <c r="CJ141" i="5"/>
  <c r="AY141" i="5"/>
  <c r="BE141" i="5"/>
  <c r="BB134" i="5"/>
  <c r="AU135" i="5"/>
  <c r="BR131" i="5"/>
  <c r="BS131" i="5" s="1"/>
  <c r="BW131" i="5" s="1"/>
  <c r="E132" i="5" s="1"/>
  <c r="Q132" i="5" s="1"/>
  <c r="BQ141" i="5"/>
  <c r="BK142" i="5" s="1"/>
  <c r="BV132" i="5"/>
  <c r="BL134" i="5"/>
  <c r="BT133" i="5" s="1"/>
  <c r="BM134" i="5"/>
  <c r="BP133" i="5"/>
  <c r="CD72" i="4"/>
  <c r="BQ72" i="4"/>
  <c r="AQ114" i="4"/>
  <c r="AD114" i="4"/>
  <c r="DA113" i="4"/>
  <c r="AW113" i="4"/>
  <c r="AA115" i="4"/>
  <c r="AT114" i="4" s="1"/>
  <c r="AE111" i="4"/>
  <c r="AG111" i="4" s="1"/>
  <c r="AB112" i="4"/>
  <c r="AF115" i="4"/>
  <c r="AU115" i="4"/>
  <c r="CE115" i="4"/>
  <c r="Y115" i="4"/>
  <c r="BN115" i="4"/>
  <c r="CP66" i="4"/>
  <c r="CL66" i="4"/>
  <c r="CM66" i="4" s="1"/>
  <c r="BU141" i="5"/>
  <c r="AK141" i="5"/>
  <c r="AO141" i="5"/>
  <c r="AI141" i="5"/>
  <c r="F132" i="5"/>
  <c r="R132" i="5" s="1"/>
  <c r="CH66" i="4"/>
  <c r="CI66" i="4" s="1"/>
  <c r="CJ66" i="4" s="1"/>
  <c r="CF67" i="4" s="1"/>
  <c r="AD144" i="5"/>
  <c r="AC145" i="5"/>
  <c r="BJ145" i="5"/>
  <c r="DF140" i="5"/>
  <c r="DG140" i="5" s="1"/>
  <c r="J140" i="5"/>
  <c r="V140" i="5" s="1"/>
  <c r="N141" i="5"/>
  <c r="CY115" i="4"/>
  <c r="CS116" i="4" s="1"/>
  <c r="BP115" i="4"/>
  <c r="BI115" i="4"/>
  <c r="X115" i="4"/>
  <c r="K134" i="4" s="1"/>
  <c r="CT115" i="4"/>
  <c r="CZ114" i="4" s="1"/>
  <c r="CW114" i="4"/>
  <c r="CX114" i="4" s="1"/>
  <c r="DF114" i="4" s="1"/>
  <c r="CA114" i="4"/>
  <c r="DL141" i="5"/>
  <c r="DZ141" i="5"/>
  <c r="EA139" i="5"/>
  <c r="EB138" i="5"/>
  <c r="I139" i="5" s="1"/>
  <c r="U139" i="5" s="1"/>
  <c r="CX141" i="5"/>
  <c r="CY138" i="5"/>
  <c r="CZ138" i="5"/>
  <c r="G139" i="5" s="1"/>
  <c r="S139" i="5" s="1"/>
  <c r="DH111" i="4"/>
  <c r="I130" i="4" s="1"/>
  <c r="DE111" i="4"/>
  <c r="H130" i="4" s="1"/>
  <c r="DD112" i="4"/>
  <c r="DT140" i="5"/>
  <c r="CR140" i="5"/>
  <c r="CS140" i="5" s="1"/>
  <c r="DI139" i="5"/>
  <c r="DJ139" i="5" s="1"/>
  <c r="DW139" i="5"/>
  <c r="DX139" i="5" s="1"/>
  <c r="CP141" i="5"/>
  <c r="CO141" i="5"/>
  <c r="CW140" i="5" s="1"/>
  <c r="CN141" i="5"/>
  <c r="CQ141" i="5"/>
  <c r="DH141" i="5"/>
  <c r="BY141" i="5"/>
  <c r="B142" i="5"/>
  <c r="AA142" i="5"/>
  <c r="DV141" i="5"/>
  <c r="CT141" i="5"/>
  <c r="AB141" i="5"/>
  <c r="K142" i="5" s="1"/>
  <c r="W142" i="5" s="1"/>
  <c r="DS140" i="5"/>
  <c r="DR141" i="5"/>
  <c r="DQ141" i="5"/>
  <c r="DY140" i="5" s="1"/>
  <c r="DP141" i="5"/>
  <c r="CU139" i="5"/>
  <c r="CV139" i="5" s="1"/>
  <c r="DE141" i="5"/>
  <c r="DD141" i="5"/>
  <c r="DC141" i="5"/>
  <c r="DK140" i="5" s="1"/>
  <c r="DB141" i="5"/>
  <c r="DG113" i="4"/>
  <c r="DB113" i="4"/>
  <c r="DC113" i="4" s="1"/>
  <c r="BM73" i="4"/>
  <c r="BO73" i="4" s="1"/>
  <c r="BQ73" i="4" s="1"/>
  <c r="BL74" i="4"/>
  <c r="CU115" i="4"/>
  <c r="W116" i="4"/>
  <c r="C134" i="4"/>
  <c r="B133" i="4" s="1"/>
  <c r="CK137" i="5" l="1"/>
  <c r="CL137" i="5"/>
  <c r="AX134" i="5"/>
  <c r="AZ134" i="5" s="1"/>
  <c r="AW135" i="5"/>
  <c r="BD133" i="5"/>
  <c r="BF133" i="5" s="1"/>
  <c r="BC133" i="5"/>
  <c r="BG133" i="5" s="1"/>
  <c r="D134" i="5" s="1"/>
  <c r="P134" i="5" s="1"/>
  <c r="CC138" i="5"/>
  <c r="CE138" i="5" s="1"/>
  <c r="CH138" i="5" s="1"/>
  <c r="CB139" i="5"/>
  <c r="CC139" i="5" s="1"/>
  <c r="CE139" i="5" s="1"/>
  <c r="BB135" i="5"/>
  <c r="AU136" i="5"/>
  <c r="BO142" i="5"/>
  <c r="CF142" i="5"/>
  <c r="CI142" i="5" s="1"/>
  <c r="CD142" i="5"/>
  <c r="AY142" i="5"/>
  <c r="BA142" i="5"/>
  <c r="BE142" i="5"/>
  <c r="CJ142" i="5"/>
  <c r="BR133" i="5"/>
  <c r="BS133" i="5" s="1"/>
  <c r="BW133" i="5" s="1"/>
  <c r="E134" i="5" s="1"/>
  <c r="Q134" i="5" s="1"/>
  <c r="BR132" i="5"/>
  <c r="BS132" i="5" s="1"/>
  <c r="BW132" i="5" s="1"/>
  <c r="E133" i="5" s="1"/>
  <c r="Q133" i="5" s="1"/>
  <c r="BQ142" i="5"/>
  <c r="BK143" i="5" s="1"/>
  <c r="BP134" i="5"/>
  <c r="BM135" i="5"/>
  <c r="BL135" i="5"/>
  <c r="BT134" i="5" s="1"/>
  <c r="BV133" i="5"/>
  <c r="AQ115" i="4"/>
  <c r="AD115" i="4"/>
  <c r="DA114" i="4"/>
  <c r="CQ66" i="4"/>
  <c r="G85" i="4" s="1"/>
  <c r="AA116" i="4"/>
  <c r="AT115" i="4" s="1"/>
  <c r="AE112" i="4"/>
  <c r="AG112" i="4" s="1"/>
  <c r="AB113" i="4"/>
  <c r="CE116" i="4"/>
  <c r="AU116" i="4"/>
  <c r="AF116" i="4"/>
  <c r="BN116" i="4"/>
  <c r="Y116" i="4"/>
  <c r="BU142" i="5"/>
  <c r="AK142" i="5"/>
  <c r="AO142" i="5"/>
  <c r="AI142" i="5"/>
  <c r="CG67" i="4"/>
  <c r="F133" i="5"/>
  <c r="R133" i="5" s="1"/>
  <c r="CN66" i="4"/>
  <c r="F85" i="4" s="1"/>
  <c r="BR67" i="4"/>
  <c r="BS79" i="4" s="1"/>
  <c r="BT91" i="4" s="1"/>
  <c r="BU103" i="4" s="1"/>
  <c r="AD145" i="5"/>
  <c r="AC146" i="5"/>
  <c r="BJ146" i="5"/>
  <c r="DT141" i="5"/>
  <c r="J141" i="5"/>
  <c r="V141" i="5" s="1"/>
  <c r="J134" i="4"/>
  <c r="CT116" i="4"/>
  <c r="CZ115" i="4" s="1"/>
  <c r="CW115" i="4"/>
  <c r="CA115" i="4"/>
  <c r="BP116" i="4"/>
  <c r="CY116" i="4"/>
  <c r="CS117" i="4" s="1"/>
  <c r="BI116" i="4"/>
  <c r="CA116" i="4" s="1"/>
  <c r="X116" i="4"/>
  <c r="K135" i="4" s="1"/>
  <c r="DL142" i="5"/>
  <c r="DZ142" i="5"/>
  <c r="EA140" i="5"/>
  <c r="EB139" i="5"/>
  <c r="I140" i="5" s="1"/>
  <c r="U140" i="5" s="1"/>
  <c r="DM140" i="5"/>
  <c r="DN139" i="5"/>
  <c r="H140" i="5" s="1"/>
  <c r="T140" i="5" s="1"/>
  <c r="CY139" i="5"/>
  <c r="CZ139" i="5"/>
  <c r="G140" i="5" s="1"/>
  <c r="S140" i="5" s="1"/>
  <c r="CX142" i="5"/>
  <c r="N142" i="5"/>
  <c r="DH112" i="4"/>
  <c r="I131" i="4" s="1"/>
  <c r="DE112" i="4"/>
  <c r="H131" i="4" s="1"/>
  <c r="DD113" i="4"/>
  <c r="CV115" i="4"/>
  <c r="CV116" i="4" s="1"/>
  <c r="DG114" i="4"/>
  <c r="DU140" i="5"/>
  <c r="DW140" i="5" s="1"/>
  <c r="DX140" i="5" s="1"/>
  <c r="DF141" i="5"/>
  <c r="DG141" i="5" s="1"/>
  <c r="CR141" i="5"/>
  <c r="CS141" i="5" s="1"/>
  <c r="DE142" i="5"/>
  <c r="DD142" i="5"/>
  <c r="DB142" i="5"/>
  <c r="DC142" i="5"/>
  <c r="DK141" i="5" s="1"/>
  <c r="DI140" i="5"/>
  <c r="DJ140" i="5" s="1"/>
  <c r="DR142" i="5"/>
  <c r="DQ142" i="5"/>
  <c r="DY141" i="5" s="1"/>
  <c r="DP142" i="5"/>
  <c r="B143" i="5"/>
  <c r="DH142" i="5"/>
  <c r="BY142" i="5"/>
  <c r="AA143" i="5"/>
  <c r="DV142" i="5"/>
  <c r="CT142" i="5"/>
  <c r="AB142" i="5"/>
  <c r="K143" i="5" s="1"/>
  <c r="W143" i="5" s="1"/>
  <c r="DS141" i="5"/>
  <c r="CU140" i="5"/>
  <c r="CV140" i="5" s="1"/>
  <c r="CQ142" i="5"/>
  <c r="CP142" i="5"/>
  <c r="CO142" i="5"/>
  <c r="CW141" i="5" s="1"/>
  <c r="CN142" i="5"/>
  <c r="DB114" i="4"/>
  <c r="DC114" i="4" s="1"/>
  <c r="BM74" i="4"/>
  <c r="BO74" i="4" s="1"/>
  <c r="BQ74" i="4" s="1"/>
  <c r="BL75" i="4"/>
  <c r="C135" i="4"/>
  <c r="W117" i="4"/>
  <c r="CU116" i="4"/>
  <c r="CL138" i="5" l="1"/>
  <c r="CK138" i="5"/>
  <c r="CH139" i="5"/>
  <c r="CI139" i="5" s="1"/>
  <c r="AX135" i="5"/>
  <c r="AZ135" i="5" s="1"/>
  <c r="AW136" i="5"/>
  <c r="BO143" i="5"/>
  <c r="CJ143" i="5"/>
  <c r="CF143" i="5"/>
  <c r="CI143" i="5" s="1"/>
  <c r="CD143" i="5"/>
  <c r="AY143" i="5"/>
  <c r="BE143" i="5"/>
  <c r="BA143" i="5"/>
  <c r="BB136" i="5"/>
  <c r="AU137" i="5"/>
  <c r="BD134" i="5"/>
  <c r="BF134" i="5" s="1"/>
  <c r="BC134" i="5"/>
  <c r="BG134" i="5" s="1"/>
  <c r="D135" i="5" s="1"/>
  <c r="P135" i="5" s="1"/>
  <c r="BQ143" i="5"/>
  <c r="BK144" i="5" s="1"/>
  <c r="BL136" i="5"/>
  <c r="BT135" i="5" s="1"/>
  <c r="BV134" i="5"/>
  <c r="BM136" i="5"/>
  <c r="BP135" i="5"/>
  <c r="DA115" i="4"/>
  <c r="AQ116" i="4"/>
  <c r="AD116" i="4"/>
  <c r="AA117" i="4"/>
  <c r="AT116" i="4" s="1"/>
  <c r="AE113" i="4"/>
  <c r="AG113" i="4" s="1"/>
  <c r="AB114" i="4"/>
  <c r="AF117" i="4"/>
  <c r="AU117" i="4"/>
  <c r="CE117" i="4"/>
  <c r="BN117" i="4"/>
  <c r="Y117" i="4"/>
  <c r="AW115" i="4"/>
  <c r="DU141" i="5"/>
  <c r="DW141" i="5" s="1"/>
  <c r="DX141" i="5" s="1"/>
  <c r="EB141" i="5" s="1"/>
  <c r="BU143" i="5"/>
  <c r="AO143" i="5"/>
  <c r="AK143" i="5"/>
  <c r="AI143" i="5"/>
  <c r="F134" i="5"/>
  <c r="R134" i="5" s="1"/>
  <c r="BV67" i="4"/>
  <c r="BX67" i="4" s="1"/>
  <c r="CK67" i="4" s="1"/>
  <c r="CL67" i="4" s="1"/>
  <c r="CH67" i="4"/>
  <c r="CI67" i="4" s="1"/>
  <c r="CJ67" i="4" s="1"/>
  <c r="CF68" i="4" s="1"/>
  <c r="AD146" i="5"/>
  <c r="AC147" i="5"/>
  <c r="BJ147" i="5"/>
  <c r="CR142" i="5"/>
  <c r="CS142" i="5" s="1"/>
  <c r="J142" i="5"/>
  <c r="V142" i="5" s="1"/>
  <c r="J135" i="4"/>
  <c r="CV117" i="4"/>
  <c r="CT117" i="4"/>
  <c r="CZ116" i="4" s="1"/>
  <c r="BP117" i="4"/>
  <c r="CY117" i="4"/>
  <c r="CS118" i="4" s="1"/>
  <c r="BI117" i="4"/>
  <c r="X117" i="4"/>
  <c r="K136" i="4" s="1"/>
  <c r="CW116" i="4"/>
  <c r="CX116" i="4" s="1"/>
  <c r="DF116" i="4" s="1"/>
  <c r="DL143" i="5"/>
  <c r="DZ143" i="5"/>
  <c r="EA141" i="5"/>
  <c r="EB140" i="5"/>
  <c r="I141" i="5" s="1"/>
  <c r="U141" i="5" s="1"/>
  <c r="DN140" i="5"/>
  <c r="H141" i="5" s="1"/>
  <c r="T141" i="5" s="1"/>
  <c r="DM141" i="5"/>
  <c r="CX143" i="5"/>
  <c r="CY140" i="5"/>
  <c r="CZ140" i="5"/>
  <c r="G141" i="5" s="1"/>
  <c r="S141" i="5" s="1"/>
  <c r="N143" i="5"/>
  <c r="DH113" i="4"/>
  <c r="I132" i="4" s="1"/>
  <c r="DE113" i="4"/>
  <c r="H132" i="4" s="1"/>
  <c r="DD114" i="4"/>
  <c r="DI141" i="5"/>
  <c r="DJ141" i="5" s="1"/>
  <c r="DT142" i="5"/>
  <c r="DF142" i="5"/>
  <c r="DG142" i="5" s="1"/>
  <c r="B144" i="5"/>
  <c r="DH143" i="5"/>
  <c r="BY143" i="5"/>
  <c r="AA144" i="5"/>
  <c r="CT143" i="5"/>
  <c r="DV143" i="5"/>
  <c r="AB143" i="5"/>
  <c r="K144" i="5" s="1"/>
  <c r="W144" i="5" s="1"/>
  <c r="CU141" i="5"/>
  <c r="CV141" i="5" s="1"/>
  <c r="CQ143" i="5"/>
  <c r="CP143" i="5"/>
  <c r="CO143" i="5"/>
  <c r="CW142" i="5" s="1"/>
  <c r="CN143" i="5"/>
  <c r="DR143" i="5"/>
  <c r="DQ143" i="5"/>
  <c r="DY142" i="5" s="1"/>
  <c r="DP143" i="5"/>
  <c r="DB143" i="5"/>
  <c r="DE143" i="5"/>
  <c r="DC143" i="5"/>
  <c r="DK142" i="5" s="1"/>
  <c r="DD143" i="5"/>
  <c r="DS142" i="5"/>
  <c r="CX115" i="4"/>
  <c r="DF115" i="4" s="1"/>
  <c r="BM75" i="4"/>
  <c r="BO75" i="4" s="1"/>
  <c r="BQ75" i="4" s="1"/>
  <c r="BL76" i="4"/>
  <c r="W118" i="4"/>
  <c r="C136" i="4"/>
  <c r="CU117" i="4"/>
  <c r="CK139" i="5" l="1"/>
  <c r="CL139" i="5"/>
  <c r="AX136" i="5"/>
  <c r="AZ136" i="5" s="1"/>
  <c r="AW137" i="5"/>
  <c r="BD135" i="5"/>
  <c r="BF135" i="5" s="1"/>
  <c r="BC135" i="5"/>
  <c r="BG135" i="5" s="1"/>
  <c r="D136" i="5" s="1"/>
  <c r="P136" i="5" s="1"/>
  <c r="BB137" i="5"/>
  <c r="AU138" i="5"/>
  <c r="BO144" i="5"/>
  <c r="CF144" i="5"/>
  <c r="CI144" i="5" s="1"/>
  <c r="CD144" i="5"/>
  <c r="CJ144" i="5"/>
  <c r="BA144" i="5"/>
  <c r="AY144" i="5"/>
  <c r="BE144" i="5"/>
  <c r="BR134" i="5"/>
  <c r="BS134" i="5" s="1"/>
  <c r="BW134" i="5" s="1"/>
  <c r="E135" i="5" s="1"/>
  <c r="Q135" i="5" s="1"/>
  <c r="BQ144" i="5"/>
  <c r="BK145" i="5" s="1"/>
  <c r="BM137" i="5"/>
  <c r="BP136" i="5"/>
  <c r="BV135" i="5"/>
  <c r="BL137" i="5"/>
  <c r="BT136" i="5" s="1"/>
  <c r="DA116" i="4"/>
  <c r="AQ117" i="4"/>
  <c r="AD117" i="4"/>
  <c r="AW116" i="4"/>
  <c r="AU118" i="4"/>
  <c r="CE118" i="4"/>
  <c r="AF118" i="4"/>
  <c r="BN118" i="4"/>
  <c r="Y118" i="4"/>
  <c r="AA118" i="4"/>
  <c r="AT117" i="4" s="1"/>
  <c r="AE114" i="4"/>
  <c r="AB115" i="4"/>
  <c r="J136" i="4"/>
  <c r="BU144" i="5"/>
  <c r="AK144" i="5"/>
  <c r="AO144" i="5"/>
  <c r="AI144" i="5"/>
  <c r="BY67" i="4"/>
  <c r="CO67" i="4" s="1"/>
  <c r="CP67" i="4" s="1"/>
  <c r="CG68" i="4"/>
  <c r="F135" i="5"/>
  <c r="R135" i="5" s="1"/>
  <c r="BZ79" i="4"/>
  <c r="CB79" i="4" s="1"/>
  <c r="CC79" i="4"/>
  <c r="BR68" i="4"/>
  <c r="BS80" i="4" s="1"/>
  <c r="BT92" i="4" s="1"/>
  <c r="BU104" i="4" s="1"/>
  <c r="CM67" i="4"/>
  <c r="CN67" i="4" s="1"/>
  <c r="F86" i="4" s="1"/>
  <c r="AD147" i="5"/>
  <c r="AC148" i="5"/>
  <c r="BJ148" i="5"/>
  <c r="CR143" i="5"/>
  <c r="CS143" i="5" s="1"/>
  <c r="J143" i="5"/>
  <c r="V143" i="5" s="1"/>
  <c r="CW117" i="4"/>
  <c r="CX117" i="4" s="1"/>
  <c r="DF117" i="4" s="1"/>
  <c r="CA117" i="4"/>
  <c r="CT118" i="4"/>
  <c r="CZ117" i="4" s="1"/>
  <c r="CY118" i="4"/>
  <c r="CS119" i="4" s="1"/>
  <c r="BP118" i="4"/>
  <c r="BI118" i="4"/>
  <c r="X118" i="4"/>
  <c r="K137" i="4" s="1"/>
  <c r="CV118" i="4"/>
  <c r="DL144" i="5"/>
  <c r="DZ144" i="5"/>
  <c r="EA142" i="5"/>
  <c r="I142" i="5"/>
  <c r="U142" i="5" s="1"/>
  <c r="DM142" i="5"/>
  <c r="DN141" i="5"/>
  <c r="H142" i="5" s="1"/>
  <c r="T142" i="5" s="1"/>
  <c r="DU142" i="5"/>
  <c r="DW142" i="5" s="1"/>
  <c r="DX142" i="5" s="1"/>
  <c r="EB142" i="5" s="1"/>
  <c r="CY141" i="5"/>
  <c r="CZ141" i="5"/>
  <c r="G142" i="5" s="1"/>
  <c r="S142" i="5" s="1"/>
  <c r="CX144" i="5"/>
  <c r="N144" i="5"/>
  <c r="DE114" i="4"/>
  <c r="H133" i="4" s="1"/>
  <c r="DH114" i="4"/>
  <c r="I133" i="4" s="1"/>
  <c r="DS143" i="5"/>
  <c r="DS144" i="5" s="1"/>
  <c r="DT143" i="5"/>
  <c r="DF143" i="5"/>
  <c r="DG143" i="5" s="1"/>
  <c r="DR144" i="5"/>
  <c r="DQ144" i="5"/>
  <c r="DY143" i="5" s="1"/>
  <c r="DP144" i="5"/>
  <c r="CQ144" i="5"/>
  <c r="CP144" i="5"/>
  <c r="CO144" i="5"/>
  <c r="CW143" i="5" s="1"/>
  <c r="CN144" i="5"/>
  <c r="DI142" i="5"/>
  <c r="DJ142" i="5" s="1"/>
  <c r="DC144" i="5"/>
  <c r="DK143" i="5" s="1"/>
  <c r="DB144" i="5"/>
  <c r="DD144" i="5"/>
  <c r="DE144" i="5"/>
  <c r="CU142" i="5"/>
  <c r="CV142" i="5" s="1"/>
  <c r="B145" i="5"/>
  <c r="DH144" i="5"/>
  <c r="BY144" i="5"/>
  <c r="AA145" i="5"/>
  <c r="DV144" i="5"/>
  <c r="CT144" i="5"/>
  <c r="AB144" i="5"/>
  <c r="K145" i="5" s="1"/>
  <c r="W145" i="5" s="1"/>
  <c r="DG116" i="4"/>
  <c r="DG115" i="4"/>
  <c r="DB115" i="4"/>
  <c r="DC115" i="4" s="1"/>
  <c r="DB116" i="4"/>
  <c r="DC116" i="4" s="1"/>
  <c r="BM76" i="4"/>
  <c r="BO76" i="4" s="1"/>
  <c r="BQ76" i="4" s="1"/>
  <c r="BL77" i="4"/>
  <c r="CU118" i="4"/>
  <c r="C137" i="4"/>
  <c r="W119" i="4"/>
  <c r="BZ140" i="5" l="1"/>
  <c r="BZ141" i="5" s="1"/>
  <c r="BZ142" i="5" s="1"/>
  <c r="BZ143" i="5" s="1"/>
  <c r="BZ144" i="5" s="1"/>
  <c r="BZ145" i="5" s="1"/>
  <c r="CK140" i="5"/>
  <c r="CK141" i="5" s="1"/>
  <c r="CA140" i="5"/>
  <c r="CA141" i="5" s="1"/>
  <c r="CA142" i="5" s="1"/>
  <c r="CA143" i="5" s="1"/>
  <c r="CA144" i="5" s="1"/>
  <c r="CA145" i="5" s="1"/>
  <c r="AX137" i="5"/>
  <c r="AZ137" i="5" s="1"/>
  <c r="AW138" i="5"/>
  <c r="BD136" i="5"/>
  <c r="BF136" i="5" s="1"/>
  <c r="BC136" i="5"/>
  <c r="BG136" i="5" s="1"/>
  <c r="D137" i="5" s="1"/>
  <c r="P137" i="5" s="1"/>
  <c r="BO145" i="5"/>
  <c r="CF145" i="5"/>
  <c r="CI145" i="5" s="1"/>
  <c r="CD145" i="5"/>
  <c r="BA145" i="5"/>
  <c r="CJ145" i="5"/>
  <c r="BE145" i="5"/>
  <c r="AY145" i="5"/>
  <c r="BB138" i="5"/>
  <c r="AU139" i="5"/>
  <c r="AG114" i="4"/>
  <c r="AC115" i="4"/>
  <c r="AC116" i="4" s="1"/>
  <c r="AC117" i="4" s="1"/>
  <c r="AC118" i="4" s="1"/>
  <c r="AC119" i="4" s="1"/>
  <c r="BR135" i="5"/>
  <c r="BS135" i="5" s="1"/>
  <c r="BW135" i="5" s="1"/>
  <c r="E136" i="5" s="1"/>
  <c r="Q136" i="5" s="1"/>
  <c r="BQ145" i="5"/>
  <c r="BK146" i="5" s="1"/>
  <c r="BP137" i="5"/>
  <c r="BM138" i="5"/>
  <c r="BV136" i="5"/>
  <c r="BL138" i="5"/>
  <c r="BT137" i="5" s="1"/>
  <c r="DA117" i="4"/>
  <c r="AQ118" i="4"/>
  <c r="AD118" i="4"/>
  <c r="J137" i="4"/>
  <c r="AA119" i="4"/>
  <c r="AT118" i="4" s="1"/>
  <c r="AW117" i="4"/>
  <c r="AB116" i="4"/>
  <c r="AF119" i="4"/>
  <c r="CE119" i="4"/>
  <c r="AU119" i="4"/>
  <c r="BN119" i="4"/>
  <c r="Y119" i="4"/>
  <c r="Z115" i="4"/>
  <c r="BU145" i="5"/>
  <c r="AK145" i="5"/>
  <c r="AO145" i="5"/>
  <c r="AI145" i="5"/>
  <c r="CQ67" i="4"/>
  <c r="G86" i="4" s="1"/>
  <c r="BV68" i="4"/>
  <c r="BX68" i="4" s="1"/>
  <c r="CK68" i="4" s="1"/>
  <c r="CL68" i="4" s="1"/>
  <c r="CH68" i="4"/>
  <c r="CI68" i="4" s="1"/>
  <c r="CJ68" i="4" s="1"/>
  <c r="CF69" i="4" s="1"/>
  <c r="F136" i="5"/>
  <c r="R136" i="5" s="1"/>
  <c r="AD148" i="5"/>
  <c r="AC149" i="5"/>
  <c r="BJ149" i="5"/>
  <c r="DT144" i="5"/>
  <c r="DU144" i="5" s="1"/>
  <c r="J144" i="5"/>
  <c r="V144" i="5" s="1"/>
  <c r="CW118" i="4"/>
  <c r="CX118" i="4" s="1"/>
  <c r="DF118" i="4" s="1"/>
  <c r="CA118" i="4"/>
  <c r="CY119" i="4"/>
  <c r="CS120" i="4" s="1"/>
  <c r="BP119" i="4"/>
  <c r="BI119" i="4"/>
  <c r="X119" i="4"/>
  <c r="K138" i="4" s="1"/>
  <c r="CT119" i="4"/>
  <c r="CZ118" i="4" s="1"/>
  <c r="CV119" i="4"/>
  <c r="DL145" i="5"/>
  <c r="DZ145" i="5"/>
  <c r="EA143" i="5"/>
  <c r="I143" i="5"/>
  <c r="U143" i="5" s="1"/>
  <c r="DM143" i="5"/>
  <c r="DN142" i="5"/>
  <c r="H143" i="5" s="1"/>
  <c r="T143" i="5" s="1"/>
  <c r="CY142" i="5"/>
  <c r="CZ142" i="5"/>
  <c r="G143" i="5" s="1"/>
  <c r="S143" i="5" s="1"/>
  <c r="CX145" i="5"/>
  <c r="N145" i="5"/>
  <c r="DD115" i="4"/>
  <c r="DB117" i="4"/>
  <c r="DC117" i="4" s="1"/>
  <c r="DU143" i="5"/>
  <c r="DW143" i="5" s="1"/>
  <c r="DX143" i="5" s="1"/>
  <c r="CR144" i="5"/>
  <c r="CS144" i="5" s="1"/>
  <c r="DF144" i="5"/>
  <c r="DG144" i="5" s="1"/>
  <c r="B146" i="5"/>
  <c r="DH145" i="5"/>
  <c r="BY145" i="5"/>
  <c r="AA146" i="5"/>
  <c r="DV145" i="5"/>
  <c r="CT145" i="5"/>
  <c r="AB145" i="5"/>
  <c r="K146" i="5" s="1"/>
  <c r="W146" i="5" s="1"/>
  <c r="DC145" i="5"/>
  <c r="DK144" i="5" s="1"/>
  <c r="DB145" i="5"/>
  <c r="DD145" i="5"/>
  <c r="DE145" i="5"/>
  <c r="CU143" i="5"/>
  <c r="CV143" i="5" s="1"/>
  <c r="CQ145" i="5"/>
  <c r="CP145" i="5"/>
  <c r="CO145" i="5"/>
  <c r="CW144" i="5" s="1"/>
  <c r="CN145" i="5"/>
  <c r="DS145" i="5"/>
  <c r="DR145" i="5"/>
  <c r="DQ145" i="5"/>
  <c r="DY144" i="5" s="1"/>
  <c r="DP145" i="5"/>
  <c r="DI143" i="5"/>
  <c r="DJ143" i="5" s="1"/>
  <c r="DN143" i="5" s="1"/>
  <c r="DG117" i="4"/>
  <c r="BM77" i="4"/>
  <c r="BO77" i="4" s="1"/>
  <c r="BQ77" i="4" s="1"/>
  <c r="BL78" i="4"/>
  <c r="CU119" i="4"/>
  <c r="W120" i="4"/>
  <c r="C138" i="4"/>
  <c r="CB140" i="5" l="1"/>
  <c r="CB141" i="5" s="1"/>
  <c r="BO146" i="5"/>
  <c r="AY146" i="5"/>
  <c r="CJ146" i="5"/>
  <c r="CF146" i="5"/>
  <c r="CI146" i="5" s="1"/>
  <c r="CD146" i="5"/>
  <c r="BE146" i="5"/>
  <c r="BA146" i="5"/>
  <c r="AX138" i="5"/>
  <c r="AZ138" i="5" s="1"/>
  <c r="AW139" i="5"/>
  <c r="AX139" i="5" s="1"/>
  <c r="AZ139" i="5" s="1"/>
  <c r="BD137" i="5"/>
  <c r="BF137" i="5" s="1"/>
  <c r="BC137" i="5"/>
  <c r="BG137" i="5" s="1"/>
  <c r="D138" i="5" s="1"/>
  <c r="P138" i="5" s="1"/>
  <c r="CA146" i="5"/>
  <c r="CK142" i="5"/>
  <c r="CC140" i="5"/>
  <c r="CE140" i="5" s="1"/>
  <c r="BZ146" i="5"/>
  <c r="AE115" i="4"/>
  <c r="AG115" i="4" s="1"/>
  <c r="AC120" i="4"/>
  <c r="BR136" i="5"/>
  <c r="BS136" i="5" s="1"/>
  <c r="BW136" i="5" s="1"/>
  <c r="E137" i="5" s="1"/>
  <c r="Q137" i="5" s="1"/>
  <c r="BQ146" i="5"/>
  <c r="BK147" i="5" s="1"/>
  <c r="BM139" i="5"/>
  <c r="BP139" i="5" s="1"/>
  <c r="BN140" i="5" s="1"/>
  <c r="BN141" i="5" s="1"/>
  <c r="BN142" i="5" s="1"/>
  <c r="BN143" i="5" s="1"/>
  <c r="BN144" i="5" s="1"/>
  <c r="BN145" i="5" s="1"/>
  <c r="BN146" i="5" s="1"/>
  <c r="BP138" i="5"/>
  <c r="BV137" i="5"/>
  <c r="BL139" i="5"/>
  <c r="BT138" i="5" s="1"/>
  <c r="DA118" i="4"/>
  <c r="J138" i="4"/>
  <c r="AQ119" i="4"/>
  <c r="AD119" i="4"/>
  <c r="Z116" i="4"/>
  <c r="AW118" i="4"/>
  <c r="AA120" i="4"/>
  <c r="AT119" i="4" s="1"/>
  <c r="AU120" i="4"/>
  <c r="AF120" i="4"/>
  <c r="CE120" i="4"/>
  <c r="BN120" i="4"/>
  <c r="Y120" i="4"/>
  <c r="AE116" i="4"/>
  <c r="AB117" i="4"/>
  <c r="BU146" i="5"/>
  <c r="AO146" i="5"/>
  <c r="AK146" i="5"/>
  <c r="AI146" i="5"/>
  <c r="BR69" i="4"/>
  <c r="BS81" i="4" s="1"/>
  <c r="BT93" i="4" s="1"/>
  <c r="BU105" i="4" s="1"/>
  <c r="CM68" i="4"/>
  <c r="CN68" i="4" s="1"/>
  <c r="F87" i="4" s="1"/>
  <c r="CG69" i="4"/>
  <c r="F137" i="5"/>
  <c r="R137" i="5" s="1"/>
  <c r="BY68" i="4"/>
  <c r="CO68" i="4" s="1"/>
  <c r="CP68" i="4" s="1"/>
  <c r="BZ80" i="4"/>
  <c r="CB80" i="4" s="1"/>
  <c r="CC80" i="4"/>
  <c r="AD149" i="5"/>
  <c r="AC150" i="5"/>
  <c r="BJ150" i="5"/>
  <c r="DT145" i="5"/>
  <c r="DU145" i="5" s="1"/>
  <c r="J145" i="5"/>
  <c r="V145" i="5" s="1"/>
  <c r="CW119" i="4"/>
  <c r="CX119" i="4" s="1"/>
  <c r="DF119" i="4" s="1"/>
  <c r="CA119" i="4"/>
  <c r="BP120" i="4"/>
  <c r="CY120" i="4"/>
  <c r="CS121" i="4" s="1"/>
  <c r="BI120" i="4"/>
  <c r="X120" i="4"/>
  <c r="K139" i="4" s="1"/>
  <c r="CV120" i="4"/>
  <c r="CT120" i="4"/>
  <c r="CZ119" i="4" s="1"/>
  <c r="DL146" i="5"/>
  <c r="DZ146" i="5"/>
  <c r="EA144" i="5"/>
  <c r="EB143" i="5"/>
  <c r="I144" i="5" s="1"/>
  <c r="U144" i="5" s="1"/>
  <c r="DM144" i="5"/>
  <c r="H144" i="5"/>
  <c r="T144" i="5" s="1"/>
  <c r="CZ143" i="5"/>
  <c r="G144" i="5" s="1"/>
  <c r="S144" i="5" s="1"/>
  <c r="CY143" i="5"/>
  <c r="CX146" i="5"/>
  <c r="N146" i="5"/>
  <c r="DE115" i="4"/>
  <c r="H134" i="4" s="1"/>
  <c r="DD116" i="4"/>
  <c r="DE116" i="4" s="1"/>
  <c r="H135" i="4" s="1"/>
  <c r="DH115" i="4"/>
  <c r="I134" i="4" s="1"/>
  <c r="DG118" i="4"/>
  <c r="DF145" i="5"/>
  <c r="DG145" i="5" s="1"/>
  <c r="DI145" i="5" s="1"/>
  <c r="DJ145" i="5" s="1"/>
  <c r="DI144" i="5"/>
  <c r="DJ144" i="5" s="1"/>
  <c r="DW144" i="5"/>
  <c r="DX144" i="5" s="1"/>
  <c r="CU144" i="5"/>
  <c r="CV144" i="5" s="1"/>
  <c r="DD146" i="5"/>
  <c r="DC146" i="5"/>
  <c r="DK145" i="5" s="1"/>
  <c r="DB146" i="5"/>
  <c r="DE146" i="5"/>
  <c r="CQ146" i="5"/>
  <c r="CP146" i="5"/>
  <c r="CO146" i="5"/>
  <c r="CW145" i="5" s="1"/>
  <c r="CN146" i="5"/>
  <c r="DS146" i="5"/>
  <c r="DR146" i="5"/>
  <c r="DQ146" i="5"/>
  <c r="DY145" i="5" s="1"/>
  <c r="DP146" i="5"/>
  <c r="CR145" i="5"/>
  <c r="CS145" i="5" s="1"/>
  <c r="B147" i="5"/>
  <c r="DV146" i="5"/>
  <c r="CT146" i="5"/>
  <c r="DH146" i="5"/>
  <c r="BY146" i="5"/>
  <c r="AA147" i="5"/>
  <c r="AB146" i="5"/>
  <c r="K147" i="5" s="1"/>
  <c r="W147" i="5" s="1"/>
  <c r="DB118" i="4"/>
  <c r="DC118" i="4" s="1"/>
  <c r="BM78" i="4"/>
  <c r="BO78" i="4" s="1"/>
  <c r="CU120" i="4"/>
  <c r="W121" i="4"/>
  <c r="C139" i="4"/>
  <c r="BZ147" i="5" l="1"/>
  <c r="CK143" i="5"/>
  <c r="CC141" i="5"/>
  <c r="CE141" i="5" s="1"/>
  <c r="CB142" i="5"/>
  <c r="BD139" i="5"/>
  <c r="BC139" i="5"/>
  <c r="CG140" i="5"/>
  <c r="CH140" i="5" s="1"/>
  <c r="CL140" i="5" s="1"/>
  <c r="BD138" i="5"/>
  <c r="BF138" i="5" s="1"/>
  <c r="BC138" i="5"/>
  <c r="BG138" i="5" s="1"/>
  <c r="D139" i="5" s="1"/>
  <c r="P139" i="5" s="1"/>
  <c r="CA147" i="5"/>
  <c r="BO147" i="5"/>
  <c r="CJ147" i="5"/>
  <c r="CF147" i="5"/>
  <c r="CI147" i="5" s="1"/>
  <c r="CD147" i="5"/>
  <c r="AY147" i="5"/>
  <c r="BE147" i="5"/>
  <c r="BA147" i="5"/>
  <c r="BN147" i="5"/>
  <c r="AC121" i="4"/>
  <c r="BR137" i="5"/>
  <c r="BS137" i="5" s="1"/>
  <c r="BW137" i="5" s="1"/>
  <c r="E138" i="5" s="1"/>
  <c r="Q138" i="5" s="1"/>
  <c r="BR139" i="5"/>
  <c r="BS139" i="5" s="1"/>
  <c r="BQ147" i="5"/>
  <c r="BK148" i="5" s="1"/>
  <c r="J139" i="4"/>
  <c r="BL140" i="5"/>
  <c r="BT139" i="5" s="1"/>
  <c r="BV138" i="5"/>
  <c r="DA119" i="4"/>
  <c r="BJ79" i="4"/>
  <c r="BJ80" i="4" s="1"/>
  <c r="BQ78" i="4"/>
  <c r="AQ120" i="4"/>
  <c r="AD120" i="4"/>
  <c r="Z117" i="4"/>
  <c r="AG116" i="4"/>
  <c r="AW119" i="4"/>
  <c r="AA121" i="4"/>
  <c r="AT120" i="4" s="1"/>
  <c r="AE117" i="4"/>
  <c r="AB118" i="4"/>
  <c r="AF121" i="4"/>
  <c r="AU121" i="4"/>
  <c r="CE121" i="4"/>
  <c r="BN121" i="4"/>
  <c r="Y121" i="4"/>
  <c r="BV69" i="4"/>
  <c r="BX69" i="4" s="1"/>
  <c r="CK69" i="4" s="1"/>
  <c r="CL69" i="4" s="1"/>
  <c r="CM69" i="4" s="1"/>
  <c r="CN69" i="4" s="1"/>
  <c r="F88" i="4" s="1"/>
  <c r="BU147" i="5"/>
  <c r="AK147" i="5"/>
  <c r="AO147" i="5"/>
  <c r="AI147" i="5"/>
  <c r="F138" i="5"/>
  <c r="R138" i="5" s="1"/>
  <c r="BK79" i="4"/>
  <c r="CQ68" i="4"/>
  <c r="G87" i="4" s="1"/>
  <c r="CH69" i="4"/>
  <c r="CI69" i="4" s="1"/>
  <c r="CJ69" i="4" s="1"/>
  <c r="CF70" i="4" s="1"/>
  <c r="AD150" i="5"/>
  <c r="AC151" i="5"/>
  <c r="BJ151" i="5"/>
  <c r="DT146" i="5"/>
  <c r="DU146" i="5" s="1"/>
  <c r="J146" i="5"/>
  <c r="V146" i="5" s="1"/>
  <c r="CW120" i="4"/>
  <c r="CX120" i="4" s="1"/>
  <c r="DF120" i="4" s="1"/>
  <c r="CA120" i="4"/>
  <c r="BP121" i="4"/>
  <c r="CY121" i="4"/>
  <c r="CS122" i="4" s="1"/>
  <c r="BI121" i="4"/>
  <c r="X121" i="4"/>
  <c r="K140" i="4" s="1"/>
  <c r="CT121" i="4"/>
  <c r="CZ120" i="4" s="1"/>
  <c r="CV121" i="4"/>
  <c r="DL147" i="5"/>
  <c r="DZ147" i="5"/>
  <c r="EA145" i="5"/>
  <c r="EB144" i="5"/>
  <c r="I145" i="5" s="1"/>
  <c r="U145" i="5" s="1"/>
  <c r="DM145" i="5"/>
  <c r="DN145" i="5"/>
  <c r="H146" i="5" s="1"/>
  <c r="T146" i="5" s="1"/>
  <c r="DN144" i="5"/>
  <c r="H145" i="5" s="1"/>
  <c r="T145" i="5" s="1"/>
  <c r="CY144" i="5"/>
  <c r="CZ144" i="5"/>
  <c r="G145" i="5" s="1"/>
  <c r="S145" i="5" s="1"/>
  <c r="CX147" i="5"/>
  <c r="N147" i="5"/>
  <c r="DD117" i="4"/>
  <c r="DE117" i="4" s="1"/>
  <c r="H136" i="4" s="1"/>
  <c r="DH116" i="4"/>
  <c r="I135" i="4" s="1"/>
  <c r="DG119" i="4"/>
  <c r="B148" i="5"/>
  <c r="AA148" i="5"/>
  <c r="CT147" i="5"/>
  <c r="DV147" i="5"/>
  <c r="DH147" i="5"/>
  <c r="BY147" i="5"/>
  <c r="AB147" i="5"/>
  <c r="K148" i="5" s="1"/>
  <c r="W148" i="5" s="1"/>
  <c r="DF146" i="5"/>
  <c r="DG146" i="5" s="1"/>
  <c r="CR146" i="5"/>
  <c r="CS146" i="5" s="1"/>
  <c r="CU145" i="5"/>
  <c r="CV145" i="5" s="1"/>
  <c r="CQ147" i="5"/>
  <c r="CP147" i="5"/>
  <c r="CN147" i="5"/>
  <c r="CO147" i="5"/>
  <c r="CW146" i="5" s="1"/>
  <c r="DW145" i="5"/>
  <c r="DX145" i="5" s="1"/>
  <c r="EB145" i="5" s="1"/>
  <c r="DP147" i="5"/>
  <c r="DS147" i="5"/>
  <c r="DQ147" i="5"/>
  <c r="DY146" i="5" s="1"/>
  <c r="DR147" i="5"/>
  <c r="DE147" i="5"/>
  <c r="DD147" i="5"/>
  <c r="DC147" i="5"/>
  <c r="DK146" i="5" s="1"/>
  <c r="DB147" i="5"/>
  <c r="DB119" i="4"/>
  <c r="DC119" i="4" s="1"/>
  <c r="CU121" i="4"/>
  <c r="W122" i="4"/>
  <c r="C140" i="4"/>
  <c r="CK144" i="5" l="1"/>
  <c r="BG139" i="5"/>
  <c r="D140" i="5" s="1"/>
  <c r="P140" i="5" s="1"/>
  <c r="BF139" i="5"/>
  <c r="AV140" i="5" s="1"/>
  <c r="AV141" i="5" s="1"/>
  <c r="AV142" i="5" s="1"/>
  <c r="AV143" i="5" s="1"/>
  <c r="AV144" i="5" s="1"/>
  <c r="AV145" i="5" s="1"/>
  <c r="AV146" i="5" s="1"/>
  <c r="AV147" i="5" s="1"/>
  <c r="AV148" i="5" s="1"/>
  <c r="BO148" i="5"/>
  <c r="CF148" i="5"/>
  <c r="CI148" i="5" s="1"/>
  <c r="CD148" i="5"/>
  <c r="BA148" i="5"/>
  <c r="AY148" i="5"/>
  <c r="CJ148" i="5"/>
  <c r="BE148" i="5"/>
  <c r="CA148" i="5"/>
  <c r="CC142" i="5"/>
  <c r="CE142" i="5" s="1"/>
  <c r="CB143" i="5"/>
  <c r="CG141" i="5"/>
  <c r="CH141" i="5" s="1"/>
  <c r="CL141" i="5" s="1"/>
  <c r="BZ148" i="5"/>
  <c r="J140" i="4"/>
  <c r="AC122" i="4"/>
  <c r="BN148" i="5"/>
  <c r="BR138" i="5"/>
  <c r="BS138" i="5" s="1"/>
  <c r="BW138" i="5" s="1"/>
  <c r="E139" i="5" s="1"/>
  <c r="Q139" i="5" s="1"/>
  <c r="BW139" i="5"/>
  <c r="E140" i="5" s="1"/>
  <c r="Q140" i="5" s="1"/>
  <c r="DA120" i="4"/>
  <c r="BQ148" i="5"/>
  <c r="BK149" i="5" s="1"/>
  <c r="BL141" i="5"/>
  <c r="BT140" i="5" s="1"/>
  <c r="BJ81" i="4"/>
  <c r="BQ80" i="4"/>
  <c r="AQ121" i="4"/>
  <c r="AD121" i="4"/>
  <c r="BL79" i="4"/>
  <c r="BQ79" i="4"/>
  <c r="Z118" i="4"/>
  <c r="AG117" i="4"/>
  <c r="AA122" i="4"/>
  <c r="AT121" i="4" s="1"/>
  <c r="AE118" i="4"/>
  <c r="AB119" i="4"/>
  <c r="AF122" i="4"/>
  <c r="CE122" i="4"/>
  <c r="AU122" i="4"/>
  <c r="BN122" i="4"/>
  <c r="Y122" i="4"/>
  <c r="BM140" i="5"/>
  <c r="BK80" i="4"/>
  <c r="CD79" i="4" s="1"/>
  <c r="CD78" i="4"/>
  <c r="BY69" i="4"/>
  <c r="CO69" i="4" s="1"/>
  <c r="CP69" i="4" s="1"/>
  <c r="CC81" i="4"/>
  <c r="BZ81" i="4"/>
  <c r="CB81" i="4" s="1"/>
  <c r="BU148" i="5"/>
  <c r="AK148" i="5"/>
  <c r="AO148" i="5"/>
  <c r="AI148" i="5"/>
  <c r="F139" i="5"/>
  <c r="R139" i="5" s="1"/>
  <c r="CG70" i="4"/>
  <c r="BR70" i="4"/>
  <c r="BS82" i="4" s="1"/>
  <c r="BT94" i="4" s="1"/>
  <c r="BU106" i="4" s="1"/>
  <c r="AD151" i="5"/>
  <c r="AC152" i="5"/>
  <c r="BJ152" i="5"/>
  <c r="DF147" i="5"/>
  <c r="DG147" i="5" s="1"/>
  <c r="J147" i="5"/>
  <c r="V147" i="5" s="1"/>
  <c r="CW121" i="4"/>
  <c r="CX121" i="4" s="1"/>
  <c r="DF121" i="4" s="1"/>
  <c r="CA121" i="4"/>
  <c r="CY122" i="4"/>
  <c r="CS123" i="4" s="1"/>
  <c r="BP122" i="4"/>
  <c r="BI122" i="4"/>
  <c r="X122" i="4"/>
  <c r="K141" i="4" s="1"/>
  <c r="CV122" i="4"/>
  <c r="CT122" i="4"/>
  <c r="CZ121" i="4" s="1"/>
  <c r="DL148" i="5"/>
  <c r="DZ148" i="5"/>
  <c r="EA146" i="5"/>
  <c r="I146" i="5"/>
  <c r="U146" i="5" s="1"/>
  <c r="DM146" i="5"/>
  <c r="CZ145" i="5"/>
  <c r="G146" i="5" s="1"/>
  <c r="S146" i="5" s="1"/>
  <c r="CY145" i="5"/>
  <c r="CX148" i="5"/>
  <c r="N148" i="5"/>
  <c r="DH117" i="4"/>
  <c r="I136" i="4" s="1"/>
  <c r="DD118" i="4"/>
  <c r="DE118" i="4" s="1"/>
  <c r="H137" i="4" s="1"/>
  <c r="DG120" i="4"/>
  <c r="CU146" i="5"/>
  <c r="CV146" i="5" s="1"/>
  <c r="DD148" i="5"/>
  <c r="DB148" i="5"/>
  <c r="DC148" i="5"/>
  <c r="DK147" i="5" s="1"/>
  <c r="DE148" i="5"/>
  <c r="DI146" i="5"/>
  <c r="DJ146" i="5" s="1"/>
  <c r="DN146" i="5" s="1"/>
  <c r="B149" i="5"/>
  <c r="DV148" i="5"/>
  <c r="CT148" i="5"/>
  <c r="DH148" i="5"/>
  <c r="BY148" i="5"/>
  <c r="AA149" i="5"/>
  <c r="AB148" i="5"/>
  <c r="K149" i="5" s="1"/>
  <c r="W149" i="5" s="1"/>
  <c r="DT147" i="5"/>
  <c r="DU147" i="5" s="1"/>
  <c r="CR147" i="5"/>
  <c r="CS147" i="5" s="1"/>
  <c r="DQ148" i="5"/>
  <c r="DY147" i="5" s="1"/>
  <c r="DS148" i="5"/>
  <c r="DP148" i="5"/>
  <c r="DR148" i="5"/>
  <c r="DW146" i="5"/>
  <c r="DX146" i="5" s="1"/>
  <c r="EB146" i="5" s="1"/>
  <c r="CO148" i="5"/>
  <c r="CW147" i="5" s="1"/>
  <c r="CP148" i="5"/>
  <c r="CN148" i="5"/>
  <c r="CQ148" i="5"/>
  <c r="DB120" i="4"/>
  <c r="DC120" i="4" s="1"/>
  <c r="CU122" i="4"/>
  <c r="W123" i="4"/>
  <c r="C141" i="4"/>
  <c r="J141" i="4" l="1"/>
  <c r="E16" i="5"/>
  <c r="E32" i="5" s="1"/>
  <c r="CA149" i="5"/>
  <c r="BZ149" i="5"/>
  <c r="AV149" i="5"/>
  <c r="CK145" i="5"/>
  <c r="DA121" i="4"/>
  <c r="CC143" i="5"/>
  <c r="CE143" i="5" s="1"/>
  <c r="CB144" i="5"/>
  <c r="CG142" i="5"/>
  <c r="CH142" i="5" s="1"/>
  <c r="CL142" i="5" s="1"/>
  <c r="AU140" i="5"/>
  <c r="BO149" i="5"/>
  <c r="BA149" i="5"/>
  <c r="CF149" i="5"/>
  <c r="CD149" i="5"/>
  <c r="CJ149" i="5"/>
  <c r="BE149" i="5"/>
  <c r="AY149" i="5"/>
  <c r="AC123" i="4"/>
  <c r="BN149" i="5"/>
  <c r="BQ149" i="5"/>
  <c r="BK150" i="5" s="1"/>
  <c r="BL142" i="5"/>
  <c r="BT141" i="5" s="1"/>
  <c r="BL80" i="4"/>
  <c r="BM79" i="4"/>
  <c r="BO79" i="4" s="1"/>
  <c r="AQ122" i="4"/>
  <c r="AD122" i="4"/>
  <c r="BJ82" i="4"/>
  <c r="BQ81" i="4"/>
  <c r="Z119" i="4"/>
  <c r="AG118" i="4"/>
  <c r="BK81" i="4"/>
  <c r="CD80" i="4" s="1"/>
  <c r="AE119" i="4"/>
  <c r="AB120" i="4"/>
  <c r="AA123" i="4"/>
  <c r="AT122" i="4" s="1"/>
  <c r="AW121" i="4"/>
  <c r="AF123" i="4"/>
  <c r="AU123" i="4"/>
  <c r="CE123" i="4"/>
  <c r="Y123" i="4"/>
  <c r="BN123" i="4"/>
  <c r="BM141" i="5"/>
  <c r="BV139" i="5"/>
  <c r="CQ69" i="4"/>
  <c r="G88" i="4" s="1"/>
  <c r="BU149" i="5"/>
  <c r="AK149" i="5"/>
  <c r="AO149" i="5"/>
  <c r="AI149" i="5"/>
  <c r="F140" i="5"/>
  <c r="R140" i="5" s="1"/>
  <c r="BV70" i="4"/>
  <c r="BX70" i="4" s="1"/>
  <c r="CK70" i="4" s="1"/>
  <c r="CL70" i="4" s="1"/>
  <c r="CH70" i="4"/>
  <c r="CI70" i="4" s="1"/>
  <c r="CJ70" i="4" s="1"/>
  <c r="CF71" i="4" s="1"/>
  <c r="AD152" i="5"/>
  <c r="AC153" i="5"/>
  <c r="BJ153" i="5"/>
  <c r="DT148" i="5"/>
  <c r="DU148" i="5" s="1"/>
  <c r="J148" i="5"/>
  <c r="V148" i="5" s="1"/>
  <c r="DH118" i="4"/>
  <c r="I137" i="4" s="1"/>
  <c r="CW122" i="4"/>
  <c r="CX122" i="4" s="1"/>
  <c r="DF122" i="4" s="1"/>
  <c r="CA122" i="4"/>
  <c r="CY123" i="4"/>
  <c r="CS124" i="4" s="1"/>
  <c r="BP123" i="4"/>
  <c r="BI123" i="4"/>
  <c r="X123" i="4"/>
  <c r="K142" i="4" s="1"/>
  <c r="CT123" i="4"/>
  <c r="CZ122" i="4" s="1"/>
  <c r="CV123" i="4"/>
  <c r="DL149" i="5"/>
  <c r="DZ149" i="5"/>
  <c r="EA147" i="5"/>
  <c r="I147" i="5"/>
  <c r="U147" i="5" s="1"/>
  <c r="DM147" i="5"/>
  <c r="H147" i="5"/>
  <c r="T147" i="5" s="1"/>
  <c r="CX149" i="5"/>
  <c r="CY146" i="5"/>
  <c r="CZ146" i="5"/>
  <c r="G147" i="5" s="1"/>
  <c r="S147" i="5" s="1"/>
  <c r="N149" i="5"/>
  <c r="DD119" i="4"/>
  <c r="DE119" i="4" s="1"/>
  <c r="H138" i="4" s="1"/>
  <c r="DB121" i="4"/>
  <c r="DC121" i="4" s="1"/>
  <c r="DF148" i="5"/>
  <c r="DG148" i="5" s="1"/>
  <c r="DI148" i="5" s="1"/>
  <c r="DJ148" i="5" s="1"/>
  <c r="DW147" i="5"/>
  <c r="DX147" i="5" s="1"/>
  <c r="CU147" i="5"/>
  <c r="CV147" i="5" s="1"/>
  <c r="CP149" i="5"/>
  <c r="CQ149" i="5"/>
  <c r="CO149" i="5"/>
  <c r="CW148" i="5" s="1"/>
  <c r="CN149" i="5"/>
  <c r="DI147" i="5"/>
  <c r="DJ147" i="5" s="1"/>
  <c r="DR149" i="5"/>
  <c r="DP149" i="5"/>
  <c r="DQ149" i="5"/>
  <c r="DY148" i="5" s="1"/>
  <c r="DS149" i="5"/>
  <c r="DE149" i="5"/>
  <c r="DC149" i="5"/>
  <c r="DK148" i="5" s="1"/>
  <c r="DB149" i="5"/>
  <c r="DD149" i="5"/>
  <c r="CR148" i="5"/>
  <c r="CS148" i="5" s="1"/>
  <c r="B150" i="5"/>
  <c r="DH149" i="5"/>
  <c r="BY149" i="5"/>
  <c r="DV149" i="5"/>
  <c r="CT149" i="5"/>
  <c r="AA150" i="5"/>
  <c r="AB149" i="5"/>
  <c r="K150" i="5" s="1"/>
  <c r="W150" i="5" s="1"/>
  <c r="DG121" i="4"/>
  <c r="W124" i="4"/>
  <c r="C142" i="4"/>
  <c r="J142" i="4" s="1"/>
  <c r="CU123" i="4"/>
  <c r="DA122" i="4" l="1"/>
  <c r="BZ150" i="5"/>
  <c r="CI149" i="5"/>
  <c r="CK146" i="5"/>
  <c r="AU141" i="5"/>
  <c r="AW140" i="5"/>
  <c r="AV150" i="5"/>
  <c r="CC144" i="5"/>
  <c r="CE144" i="5" s="1"/>
  <c r="CB145" i="5"/>
  <c r="CA150" i="5"/>
  <c r="BO150" i="5"/>
  <c r="AY150" i="5"/>
  <c r="CF150" i="5"/>
  <c r="CI150" i="5" s="1"/>
  <c r="CD150" i="5"/>
  <c r="BE150" i="5"/>
  <c r="CJ150" i="5"/>
  <c r="BA150" i="5"/>
  <c r="AC124" i="4"/>
  <c r="CG143" i="5"/>
  <c r="CH143" i="5" s="1"/>
  <c r="CL143" i="5" s="1"/>
  <c r="BN150" i="5"/>
  <c r="BP140" i="5"/>
  <c r="BR140" i="5" s="1"/>
  <c r="BS140" i="5" s="1"/>
  <c r="BW140" i="5" s="1"/>
  <c r="E141" i="5" s="1"/>
  <c r="Q141" i="5" s="1"/>
  <c r="BQ150" i="5"/>
  <c r="BK151" i="5" s="1"/>
  <c r="BL143" i="5"/>
  <c r="BT142" i="5" s="1"/>
  <c r="BK82" i="4"/>
  <c r="CD81" i="4" s="1"/>
  <c r="BJ83" i="4"/>
  <c r="BQ82" i="4"/>
  <c r="AQ123" i="4"/>
  <c r="AD123" i="4"/>
  <c r="BM80" i="4"/>
  <c r="BO80" i="4" s="1"/>
  <c r="BL81" i="4"/>
  <c r="AG119" i="4"/>
  <c r="Z120" i="4"/>
  <c r="CE124" i="4"/>
  <c r="AU124" i="4"/>
  <c r="AF124" i="4"/>
  <c r="BN124" i="4"/>
  <c r="Y124" i="4"/>
  <c r="AA124" i="4"/>
  <c r="AT123" i="4" s="1"/>
  <c r="AW122" i="4"/>
  <c r="AE120" i="4"/>
  <c r="AB121" i="4"/>
  <c r="BV140" i="5"/>
  <c r="BM142" i="5"/>
  <c r="BU150" i="5"/>
  <c r="AO150" i="5"/>
  <c r="AK150" i="5"/>
  <c r="AI150" i="5"/>
  <c r="CC82" i="4"/>
  <c r="BZ82" i="4"/>
  <c r="CB82" i="4" s="1"/>
  <c r="CG71" i="4"/>
  <c r="CH71" i="4" s="1"/>
  <c r="CI71" i="4" s="1"/>
  <c r="CJ71" i="4" s="1"/>
  <c r="CF72" i="4" s="1"/>
  <c r="BR71" i="4"/>
  <c r="BS83" i="4" s="1"/>
  <c r="BT95" i="4" s="1"/>
  <c r="BU107" i="4" s="1"/>
  <c r="CM70" i="4"/>
  <c r="CN70" i="4" s="1"/>
  <c r="F89" i="4" s="1"/>
  <c r="BY70" i="4"/>
  <c r="CO70" i="4" s="1"/>
  <c r="CP70" i="4" s="1"/>
  <c r="AD153" i="5"/>
  <c r="AC154" i="5"/>
  <c r="BJ154" i="5"/>
  <c r="CR149" i="5"/>
  <c r="CS149" i="5" s="1"/>
  <c r="J149" i="5"/>
  <c r="V149" i="5" s="1"/>
  <c r="CW123" i="4"/>
  <c r="CX123" i="4" s="1"/>
  <c r="DF123" i="4" s="1"/>
  <c r="CA123" i="4"/>
  <c r="BP124" i="4"/>
  <c r="CY124" i="4"/>
  <c r="CS125" i="4" s="1"/>
  <c r="BI124" i="4"/>
  <c r="CA124" i="4" s="1"/>
  <c r="X124" i="4"/>
  <c r="K143" i="4" s="1"/>
  <c r="CV124" i="4"/>
  <c r="CT124" i="4"/>
  <c r="CZ123" i="4" s="1"/>
  <c r="DL150" i="5"/>
  <c r="DZ150" i="5"/>
  <c r="EA148" i="5"/>
  <c r="EB147" i="5"/>
  <c r="I148" i="5" s="1"/>
  <c r="U148" i="5" s="1"/>
  <c r="DM148" i="5"/>
  <c r="DN148" i="5"/>
  <c r="H149" i="5" s="1"/>
  <c r="T149" i="5" s="1"/>
  <c r="DN147" i="5"/>
  <c r="H148" i="5" s="1"/>
  <c r="T148" i="5" s="1"/>
  <c r="CY147" i="5"/>
  <c r="CZ147" i="5"/>
  <c r="G148" i="5" s="1"/>
  <c r="S148" i="5" s="1"/>
  <c r="CX150" i="5"/>
  <c r="DD120" i="4"/>
  <c r="DD121" i="4" s="1"/>
  <c r="DE121" i="4" s="1"/>
  <c r="H140" i="4" s="1"/>
  <c r="DH119" i="4"/>
  <c r="I138" i="4" s="1"/>
  <c r="N150" i="5"/>
  <c r="DG122" i="4"/>
  <c r="DF149" i="5"/>
  <c r="DG149" i="5" s="1"/>
  <c r="DT149" i="5"/>
  <c r="DU149" i="5" s="1"/>
  <c r="CU148" i="5"/>
  <c r="CV148" i="5" s="1"/>
  <c r="DP150" i="5"/>
  <c r="DS150" i="5"/>
  <c r="DR150" i="5"/>
  <c r="DQ150" i="5"/>
  <c r="DY149" i="5" s="1"/>
  <c r="DW148" i="5"/>
  <c r="DX148" i="5" s="1"/>
  <c r="B151" i="5"/>
  <c r="AA151" i="5"/>
  <c r="BY150" i="5"/>
  <c r="DV150" i="5"/>
  <c r="DH150" i="5"/>
  <c r="CT150" i="5"/>
  <c r="AB150" i="5"/>
  <c r="K151" i="5" s="1"/>
  <c r="W151" i="5" s="1"/>
  <c r="CN150" i="5"/>
  <c r="CQ150" i="5"/>
  <c r="CP150" i="5"/>
  <c r="CO150" i="5"/>
  <c r="CW149" i="5" s="1"/>
  <c r="DE150" i="5"/>
  <c r="DD150" i="5"/>
  <c r="DC150" i="5"/>
  <c r="DK149" i="5" s="1"/>
  <c r="DB150" i="5"/>
  <c r="DB122" i="4"/>
  <c r="DC122" i="4" s="1"/>
  <c r="W125" i="4"/>
  <c r="C143" i="4"/>
  <c r="J143" i="4" s="1"/>
  <c r="CU124" i="4"/>
  <c r="DA123" i="4" l="1"/>
  <c r="AV151" i="5"/>
  <c r="CK147" i="5"/>
  <c r="AC125" i="4"/>
  <c r="AX140" i="5"/>
  <c r="AZ140" i="5" s="1"/>
  <c r="AW141" i="5"/>
  <c r="BB141" i="5"/>
  <c r="AU142" i="5"/>
  <c r="CA151" i="5"/>
  <c r="CC145" i="5"/>
  <c r="CE145" i="5" s="1"/>
  <c r="CB146" i="5"/>
  <c r="CF151" i="5"/>
  <c r="CD151" i="5"/>
  <c r="CJ151" i="5"/>
  <c r="AY151" i="5"/>
  <c r="BA151" i="5"/>
  <c r="BE151" i="5"/>
  <c r="CG144" i="5"/>
  <c r="CH144" i="5" s="1"/>
  <c r="CL144" i="5" s="1"/>
  <c r="BZ151" i="5"/>
  <c r="BQ151" i="5"/>
  <c r="BO151" i="5"/>
  <c r="BN151" i="5"/>
  <c r="BP141" i="5"/>
  <c r="BR141" i="5" s="1"/>
  <c r="BS141" i="5" s="1"/>
  <c r="BW141" i="5" s="1"/>
  <c r="E142" i="5" s="1"/>
  <c r="Q142" i="5" s="1"/>
  <c r="BK83" i="4"/>
  <c r="CD82" i="4" s="1"/>
  <c r="BL144" i="5"/>
  <c r="BT143" i="5" s="1"/>
  <c r="AL151" i="5"/>
  <c r="BR151" i="5"/>
  <c r="BM81" i="4"/>
  <c r="BO81" i="4" s="1"/>
  <c r="BL82" i="4"/>
  <c r="AQ124" i="4"/>
  <c r="AD124" i="4"/>
  <c r="BJ84" i="4"/>
  <c r="BQ83" i="4"/>
  <c r="AG120" i="4"/>
  <c r="Z121" i="4"/>
  <c r="AE121" i="4"/>
  <c r="AB122" i="4"/>
  <c r="AF125" i="4"/>
  <c r="CE125" i="4"/>
  <c r="AU125" i="4"/>
  <c r="BN125" i="4"/>
  <c r="Y125" i="4"/>
  <c r="AW123" i="4"/>
  <c r="AA125" i="4"/>
  <c r="AT124" i="4" s="1"/>
  <c r="BM143" i="5"/>
  <c r="BV141" i="5"/>
  <c r="BU151" i="5"/>
  <c r="AK151" i="5"/>
  <c r="AO151" i="5"/>
  <c r="AI151" i="5"/>
  <c r="CG72" i="4"/>
  <c r="F141" i="5"/>
  <c r="R141" i="5" s="1"/>
  <c r="CQ70" i="4"/>
  <c r="G89" i="4" s="1"/>
  <c r="BV71" i="4"/>
  <c r="BX71" i="4" s="1"/>
  <c r="CK71" i="4" s="1"/>
  <c r="CL71" i="4" s="1"/>
  <c r="BR72" i="4"/>
  <c r="BS84" i="4" s="1"/>
  <c r="BT96" i="4" s="1"/>
  <c r="BU108" i="4" s="1"/>
  <c r="AD154" i="5"/>
  <c r="AC155" i="5"/>
  <c r="J150" i="5"/>
  <c r="V150" i="5" s="1"/>
  <c r="BJ155" i="5"/>
  <c r="DT150" i="5"/>
  <c r="DU150" i="5" s="1"/>
  <c r="CW124" i="4"/>
  <c r="CX124" i="4" s="1"/>
  <c r="DF124" i="4" s="1"/>
  <c r="CT125" i="4"/>
  <c r="CZ124" i="4" s="1"/>
  <c r="CV125" i="4"/>
  <c r="BP125" i="4"/>
  <c r="CY125" i="4"/>
  <c r="CS126" i="4" s="1"/>
  <c r="BI125" i="4"/>
  <c r="X125" i="4"/>
  <c r="K144" i="4" s="1"/>
  <c r="DL151" i="5"/>
  <c r="DZ151" i="5"/>
  <c r="EA149" i="5"/>
  <c r="EB148" i="5"/>
  <c r="I149" i="5" s="1"/>
  <c r="U149" i="5" s="1"/>
  <c r="DM149" i="5"/>
  <c r="CY148" i="5"/>
  <c r="CZ148" i="5"/>
  <c r="G149" i="5" s="1"/>
  <c r="S149" i="5" s="1"/>
  <c r="CX151" i="5"/>
  <c r="DE120" i="4"/>
  <c r="H139" i="4" s="1"/>
  <c r="DH120" i="4"/>
  <c r="I139" i="4" s="1"/>
  <c r="N151" i="5"/>
  <c r="DH121" i="4"/>
  <c r="I140" i="4" s="1"/>
  <c r="DD122" i="4"/>
  <c r="DB123" i="4"/>
  <c r="DC123" i="4" s="1"/>
  <c r="CR150" i="5"/>
  <c r="CS150" i="5" s="1"/>
  <c r="CO151" i="5"/>
  <c r="CW150" i="5" s="1"/>
  <c r="CN151" i="5"/>
  <c r="CQ151" i="5"/>
  <c r="CP151" i="5"/>
  <c r="DE151" i="5"/>
  <c r="DD151" i="5"/>
  <c r="DB151" i="5"/>
  <c r="DC151" i="5"/>
  <c r="DK150" i="5" s="1"/>
  <c r="CU149" i="5"/>
  <c r="CV149" i="5" s="1"/>
  <c r="DQ151" i="5"/>
  <c r="DY150" i="5" s="1"/>
  <c r="DP151" i="5"/>
  <c r="DS151" i="5"/>
  <c r="DR151" i="5"/>
  <c r="DW149" i="5"/>
  <c r="DX149" i="5" s="1"/>
  <c r="EB149" i="5" s="1"/>
  <c r="DI149" i="5"/>
  <c r="DJ149" i="5" s="1"/>
  <c r="DN149" i="5" s="1"/>
  <c r="DF150" i="5"/>
  <c r="DG150" i="5" s="1"/>
  <c r="B152" i="5"/>
  <c r="AA152" i="5"/>
  <c r="DV151" i="5"/>
  <c r="CT151" i="5"/>
  <c r="BY151" i="5"/>
  <c r="DH151" i="5"/>
  <c r="AB151" i="5"/>
  <c r="K152" i="5" s="1"/>
  <c r="W152" i="5" s="1"/>
  <c r="DG123" i="4"/>
  <c r="CU125" i="4"/>
  <c r="W126" i="4"/>
  <c r="AG126" i="4" s="1"/>
  <c r="C144" i="4"/>
  <c r="J144" i="4" s="1"/>
  <c r="DA124" i="4" l="1"/>
  <c r="CK148" i="5"/>
  <c r="BK84" i="4"/>
  <c r="CD83" i="4" s="1"/>
  <c r="CC146" i="5"/>
  <c r="CE146" i="5" s="1"/>
  <c r="CB147" i="5"/>
  <c r="BB140" i="5"/>
  <c r="BC140" i="5" s="1"/>
  <c r="BG140" i="5" s="1"/>
  <c r="D141" i="5" s="1"/>
  <c r="P141" i="5" s="1"/>
  <c r="BD140" i="5"/>
  <c r="BF140" i="5" s="1"/>
  <c r="BO152" i="5"/>
  <c r="CJ152" i="5"/>
  <c r="BA152" i="5"/>
  <c r="AY152" i="5"/>
  <c r="CF152" i="5"/>
  <c r="CI152" i="5" s="1"/>
  <c r="BE152" i="5"/>
  <c r="AC126" i="4"/>
  <c r="CG145" i="5"/>
  <c r="CH145" i="5" s="1"/>
  <c r="CL145" i="5" s="1"/>
  <c r="AX141" i="5"/>
  <c r="AZ141" i="5" s="1"/>
  <c r="AW142" i="5"/>
  <c r="AV152" i="5"/>
  <c r="AV153" i="5" s="1"/>
  <c r="BZ152" i="5"/>
  <c r="CG152" i="5" s="1"/>
  <c r="CA152" i="5"/>
  <c r="BB142" i="5"/>
  <c r="AU143" i="5"/>
  <c r="BP142" i="5"/>
  <c r="BR142" i="5" s="1"/>
  <c r="BS142" i="5" s="1"/>
  <c r="BW142" i="5" s="1"/>
  <c r="E143" i="5" s="1"/>
  <c r="Q143" i="5" s="1"/>
  <c r="BQ152" i="5"/>
  <c r="BL145" i="5"/>
  <c r="BT144" i="5" s="1"/>
  <c r="BJ85" i="4"/>
  <c r="BQ84" i="4"/>
  <c r="AQ125" i="4"/>
  <c r="AD125" i="4"/>
  <c r="BL83" i="4"/>
  <c r="BM82" i="4"/>
  <c r="BO82" i="4" s="1"/>
  <c r="AG121" i="4"/>
  <c r="Z122" i="4"/>
  <c r="AW124" i="4"/>
  <c r="AA126" i="4"/>
  <c r="AT125" i="4" s="1"/>
  <c r="AE122" i="4"/>
  <c r="AB123" i="4"/>
  <c r="AF126" i="4"/>
  <c r="BN126" i="4"/>
  <c r="Y126" i="4"/>
  <c r="BV142" i="5"/>
  <c r="BM144" i="5"/>
  <c r="AI152" i="5"/>
  <c r="AO152" i="5"/>
  <c r="AK152" i="5"/>
  <c r="BU152" i="5"/>
  <c r="BY71" i="4"/>
  <c r="CO71" i="4" s="1"/>
  <c r="CP71" i="4" s="1"/>
  <c r="F142" i="5"/>
  <c r="R142" i="5" s="1"/>
  <c r="BV72" i="4"/>
  <c r="BX72" i="4" s="1"/>
  <c r="CK72" i="4" s="1"/>
  <c r="CL72" i="4" s="1"/>
  <c r="BZ83" i="4"/>
  <c r="CB83" i="4" s="1"/>
  <c r="CC83" i="4"/>
  <c r="CH72" i="4"/>
  <c r="CI72" i="4" s="1"/>
  <c r="CJ72" i="4" s="1"/>
  <c r="CF73" i="4" s="1"/>
  <c r="CM71" i="4"/>
  <c r="J151" i="5"/>
  <c r="V151" i="5" s="1"/>
  <c r="AD155" i="5"/>
  <c r="AC156" i="5"/>
  <c r="BJ156" i="5"/>
  <c r="DF151" i="5"/>
  <c r="DG151" i="5" s="1"/>
  <c r="DE152" i="5" s="1"/>
  <c r="A141" i="5"/>
  <c r="CW125" i="4"/>
  <c r="CX125" i="4" s="1"/>
  <c r="DF125" i="4" s="1"/>
  <c r="CA125" i="4"/>
  <c r="CV126" i="4"/>
  <c r="CT126" i="4"/>
  <c r="CZ125" i="4" s="1"/>
  <c r="DA125" i="4" s="1"/>
  <c r="CY126" i="4"/>
  <c r="CS127" i="4" s="1"/>
  <c r="BP126" i="4"/>
  <c r="BI126" i="4"/>
  <c r="X126" i="4"/>
  <c r="K145" i="4" s="1"/>
  <c r="DL152" i="5"/>
  <c r="DZ152" i="5"/>
  <c r="EA150" i="5"/>
  <c r="I150" i="5"/>
  <c r="U150" i="5" s="1"/>
  <c r="DM150" i="5"/>
  <c r="H150" i="5"/>
  <c r="T150" i="5" s="1"/>
  <c r="CX152" i="5"/>
  <c r="CY149" i="5"/>
  <c r="CZ149" i="5"/>
  <c r="G150" i="5" s="1"/>
  <c r="S150" i="5" s="1"/>
  <c r="N152" i="5"/>
  <c r="DH122" i="4"/>
  <c r="I141" i="4" s="1"/>
  <c r="DE122" i="4"/>
  <c r="H141" i="4" s="1"/>
  <c r="DD123" i="4"/>
  <c r="DB124" i="4"/>
  <c r="DC124" i="4" s="1"/>
  <c r="DT151" i="5"/>
  <c r="DU151" i="5" s="1"/>
  <c r="DS152" i="5" s="1"/>
  <c r="DI150" i="5"/>
  <c r="DJ150" i="5" s="1"/>
  <c r="CR151" i="5"/>
  <c r="CS151" i="5" s="1"/>
  <c r="CQ152" i="5" s="1"/>
  <c r="B153" i="5"/>
  <c r="DH152" i="5"/>
  <c r="BY152" i="5"/>
  <c r="DF152" i="5" s="1"/>
  <c r="AA153" i="5"/>
  <c r="CT152" i="5"/>
  <c r="DV152" i="5"/>
  <c r="AB152" i="5"/>
  <c r="K153" i="5" s="1"/>
  <c r="W153" i="5" s="1"/>
  <c r="CP152" i="5"/>
  <c r="CO152" i="5"/>
  <c r="CW151" i="5" s="1"/>
  <c r="CN152" i="5"/>
  <c r="DR152" i="5"/>
  <c r="DQ152" i="5"/>
  <c r="DY151" i="5" s="1"/>
  <c r="DP152" i="5"/>
  <c r="DC152" i="5"/>
  <c r="DK151" i="5" s="1"/>
  <c r="DD152" i="5"/>
  <c r="DB152" i="5"/>
  <c r="CU150" i="5"/>
  <c r="CV150" i="5" s="1"/>
  <c r="DW150" i="5"/>
  <c r="DX150" i="5" s="1"/>
  <c r="EB150" i="5" s="1"/>
  <c r="DG124" i="4"/>
  <c r="W127" i="4"/>
  <c r="AD127" i="4" s="1"/>
  <c r="C145" i="4"/>
  <c r="J145" i="4" s="1"/>
  <c r="CU126" i="4"/>
  <c r="BK85" i="4" l="1"/>
  <c r="CK149" i="5"/>
  <c r="AX142" i="5"/>
  <c r="AZ142" i="5" s="1"/>
  <c r="AW143" i="5"/>
  <c r="BZ153" i="5"/>
  <c r="CG153" i="5" s="1"/>
  <c r="BB143" i="5"/>
  <c r="AU144" i="5"/>
  <c r="BD141" i="5"/>
  <c r="BF141" i="5" s="1"/>
  <c r="BC141" i="5"/>
  <c r="BG141" i="5" s="1"/>
  <c r="D142" i="5" s="1"/>
  <c r="P142" i="5" s="1"/>
  <c r="CC147" i="5"/>
  <c r="CE147" i="5" s="1"/>
  <c r="CB148" i="5"/>
  <c r="CA153" i="5"/>
  <c r="CG146" i="5"/>
  <c r="CH146" i="5" s="1"/>
  <c r="CL146" i="5" s="1"/>
  <c r="BO153" i="5"/>
  <c r="BA153" i="5"/>
  <c r="AV154" i="5" s="1"/>
  <c r="CJ153" i="5"/>
  <c r="CF153" i="5"/>
  <c r="CI153" i="5" s="1"/>
  <c r="AY153" i="5"/>
  <c r="BE153" i="5"/>
  <c r="CD152" i="5"/>
  <c r="BP143" i="5"/>
  <c r="BR143" i="5" s="1"/>
  <c r="BS143" i="5" s="1"/>
  <c r="BW143" i="5" s="1"/>
  <c r="E144" i="5" s="1"/>
  <c r="Q144" i="5" s="1"/>
  <c r="BQ153" i="5"/>
  <c r="BL146" i="5"/>
  <c r="BT145" i="5" s="1"/>
  <c r="BM83" i="4"/>
  <c r="BO83" i="4" s="1"/>
  <c r="BL84" i="4"/>
  <c r="AQ126" i="4"/>
  <c r="AD126" i="4"/>
  <c r="BJ86" i="4"/>
  <c r="BQ85" i="4"/>
  <c r="AG122" i="4"/>
  <c r="Z123" i="4"/>
  <c r="AU127" i="4"/>
  <c r="AF127" i="4"/>
  <c r="CE127" i="4"/>
  <c r="Y127" i="4"/>
  <c r="AQ127" i="4" s="1"/>
  <c r="AW125" i="4"/>
  <c r="AE123" i="4"/>
  <c r="AB124" i="4"/>
  <c r="BM145" i="5"/>
  <c r="BV143" i="5"/>
  <c r="CD84" i="4"/>
  <c r="BU153" i="5"/>
  <c r="AK153" i="5"/>
  <c r="AO153" i="5"/>
  <c r="AI153" i="5"/>
  <c r="CQ71" i="4"/>
  <c r="G90" i="4" s="1"/>
  <c r="BR73" i="4"/>
  <c r="BS85" i="4" s="1"/>
  <c r="BT97" i="4" s="1"/>
  <c r="BU109" i="4" s="1"/>
  <c r="CN71" i="4"/>
  <c r="F90" i="4" s="1"/>
  <c r="F143" i="5"/>
  <c r="R143" i="5" s="1"/>
  <c r="CC84" i="4"/>
  <c r="BZ84" i="4"/>
  <c r="CB84" i="4" s="1"/>
  <c r="BK86" i="4"/>
  <c r="CD85" i="4" s="1"/>
  <c r="CG73" i="4"/>
  <c r="BY72" i="4"/>
  <c r="CO72" i="4" s="1"/>
  <c r="CP72" i="4" s="1"/>
  <c r="CM72" i="4"/>
  <c r="CN72" i="4" s="1"/>
  <c r="F91" i="4" s="1"/>
  <c r="J152" i="5"/>
  <c r="V152" i="5" s="1"/>
  <c r="AD156" i="5"/>
  <c r="AC157" i="5"/>
  <c r="BJ157" i="5"/>
  <c r="N153" i="5"/>
  <c r="CT127" i="4"/>
  <c r="CZ126" i="4" s="1"/>
  <c r="DA126" i="4" s="1"/>
  <c r="CY127" i="4"/>
  <c r="CS128" i="4" s="1"/>
  <c r="BP127" i="4"/>
  <c r="BI127" i="4"/>
  <c r="BN127" i="4" s="1"/>
  <c r="X127" i="4"/>
  <c r="K146" i="4" s="1"/>
  <c r="CW126" i="4"/>
  <c r="CX126" i="4" s="1"/>
  <c r="DF126" i="4" s="1"/>
  <c r="CA126" i="4"/>
  <c r="DL153" i="5"/>
  <c r="DZ153" i="5"/>
  <c r="EA151" i="5"/>
  <c r="I151" i="5"/>
  <c r="U151" i="5" s="1"/>
  <c r="DM151" i="5"/>
  <c r="DN150" i="5"/>
  <c r="H151" i="5" s="1"/>
  <c r="T151" i="5" s="1"/>
  <c r="CX153" i="5"/>
  <c r="CZ150" i="5"/>
  <c r="G151" i="5" s="1"/>
  <c r="S151" i="5" s="1"/>
  <c r="CY150" i="5"/>
  <c r="DE123" i="4"/>
  <c r="H142" i="4" s="1"/>
  <c r="DH123" i="4"/>
  <c r="I142" i="4" s="1"/>
  <c r="DD124" i="4"/>
  <c r="DE124" i="4" s="1"/>
  <c r="H143" i="4" s="1"/>
  <c r="DB125" i="4"/>
  <c r="DC125" i="4" s="1"/>
  <c r="DG152" i="5"/>
  <c r="DI152" i="5" s="1"/>
  <c r="DJ152" i="5" s="1"/>
  <c r="CR152" i="5"/>
  <c r="CS152" i="5" s="1"/>
  <c r="CU152" i="5" s="1"/>
  <c r="CV152" i="5" s="1"/>
  <c r="DT152" i="5"/>
  <c r="DU152" i="5" s="1"/>
  <c r="DW152" i="5" s="1"/>
  <c r="DX152" i="5" s="1"/>
  <c r="DW151" i="5"/>
  <c r="DX151" i="5" s="1"/>
  <c r="DD153" i="5"/>
  <c r="DE153" i="5"/>
  <c r="DB153" i="5"/>
  <c r="DC153" i="5"/>
  <c r="DK152" i="5" s="1"/>
  <c r="DS153" i="5"/>
  <c r="DR153" i="5"/>
  <c r="DQ153" i="5"/>
  <c r="DY152" i="5" s="1"/>
  <c r="DP153" i="5"/>
  <c r="DI151" i="5"/>
  <c r="DJ151" i="5" s="1"/>
  <c r="DN151" i="5" s="1"/>
  <c r="B154" i="5"/>
  <c r="DH153" i="5"/>
  <c r="BY153" i="5"/>
  <c r="DF153" i="5" s="1"/>
  <c r="DV153" i="5"/>
  <c r="CT153" i="5"/>
  <c r="AA154" i="5"/>
  <c r="AB153" i="5"/>
  <c r="K154" i="5" s="1"/>
  <c r="W154" i="5" s="1"/>
  <c r="CU151" i="5"/>
  <c r="CV151" i="5" s="1"/>
  <c r="CQ153" i="5"/>
  <c r="CP153" i="5"/>
  <c r="CO153" i="5"/>
  <c r="CW152" i="5" s="1"/>
  <c r="CN153" i="5"/>
  <c r="DG125" i="4"/>
  <c r="W128" i="4"/>
  <c r="AD128" i="4" s="1"/>
  <c r="C146" i="4"/>
  <c r="B145" i="4" s="1"/>
  <c r="CU127" i="4"/>
  <c r="CK150" i="5" l="1"/>
  <c r="BB144" i="5"/>
  <c r="AU145" i="5"/>
  <c r="CD153" i="5"/>
  <c r="BO154" i="5"/>
  <c r="AY154" i="5"/>
  <c r="CF154" i="5"/>
  <c r="CI154" i="5" s="1"/>
  <c r="CJ154" i="5"/>
  <c r="BA154" i="5"/>
  <c r="AV155" i="5" s="1"/>
  <c r="BE154" i="5"/>
  <c r="BZ154" i="5"/>
  <c r="CG154" i="5" s="1"/>
  <c r="CA154" i="5"/>
  <c r="CC148" i="5"/>
  <c r="CE148" i="5" s="1"/>
  <c r="CB149" i="5"/>
  <c r="CG147" i="5"/>
  <c r="CH147" i="5" s="1"/>
  <c r="CL147" i="5" s="1"/>
  <c r="AX143" i="5"/>
  <c r="AZ143" i="5" s="1"/>
  <c r="AW144" i="5"/>
  <c r="BD142" i="5"/>
  <c r="BF142" i="5" s="1"/>
  <c r="BC142" i="5"/>
  <c r="BG142" i="5" s="1"/>
  <c r="D143" i="5" s="1"/>
  <c r="P143" i="5" s="1"/>
  <c r="BP144" i="5"/>
  <c r="BR144" i="5" s="1"/>
  <c r="BS144" i="5" s="1"/>
  <c r="BW144" i="5" s="1"/>
  <c r="E145" i="5" s="1"/>
  <c r="Q145" i="5" s="1"/>
  <c r="BQ154" i="5"/>
  <c r="BL147" i="5"/>
  <c r="BT146" i="5" s="1"/>
  <c r="BJ87" i="4"/>
  <c r="BQ86" i="4"/>
  <c r="BL85" i="4"/>
  <c r="BM84" i="4"/>
  <c r="BO84" i="4" s="1"/>
  <c r="AG123" i="4"/>
  <c r="Z124" i="4"/>
  <c r="AE124" i="4"/>
  <c r="AB125" i="4"/>
  <c r="CE128" i="4"/>
  <c r="AU128" i="4"/>
  <c r="AF128" i="4"/>
  <c r="Y128" i="4"/>
  <c r="AQ128" i="4" s="1"/>
  <c r="BV144" i="5"/>
  <c r="BM146" i="5"/>
  <c r="BP145" i="5"/>
  <c r="BV73" i="4"/>
  <c r="BX73" i="4" s="1"/>
  <c r="CK73" i="4" s="1"/>
  <c r="AO154" i="5"/>
  <c r="BU154" i="5"/>
  <c r="AK154" i="5"/>
  <c r="AI154" i="5"/>
  <c r="J153" i="5"/>
  <c r="V153" i="5" s="1"/>
  <c r="CQ72" i="4"/>
  <c r="G91" i="4" s="1"/>
  <c r="CC85" i="4"/>
  <c r="BZ85" i="4"/>
  <c r="CB85" i="4" s="1"/>
  <c r="BK87" i="4"/>
  <c r="CD86" i="4" s="1"/>
  <c r="CH73" i="4"/>
  <c r="CI73" i="4" s="1"/>
  <c r="CJ73" i="4" s="1"/>
  <c r="CF74" i="4" s="1"/>
  <c r="F144" i="5"/>
  <c r="R144" i="5" s="1"/>
  <c r="AD157" i="5"/>
  <c r="AC158" i="5"/>
  <c r="BJ158" i="5"/>
  <c r="J146" i="4"/>
  <c r="CW127" i="4"/>
  <c r="CA127" i="4"/>
  <c r="BP128" i="4"/>
  <c r="CY128" i="4"/>
  <c r="CS129" i="4" s="1"/>
  <c r="BI128" i="4"/>
  <c r="CA128" i="4" s="1"/>
  <c r="X128" i="4"/>
  <c r="K147" i="4" s="1"/>
  <c r="CT128" i="4"/>
  <c r="CZ127" i="4" s="1"/>
  <c r="DA127" i="4" s="1"/>
  <c r="DL154" i="5"/>
  <c r="DZ154" i="5"/>
  <c r="EB152" i="5"/>
  <c r="I153" i="5" s="1"/>
  <c r="U153" i="5" s="1"/>
  <c r="EA152" i="5"/>
  <c r="EB151" i="5"/>
  <c r="I152" i="5" s="1"/>
  <c r="U152" i="5" s="1"/>
  <c r="DM152" i="5"/>
  <c r="DN152" i="5"/>
  <c r="H153" i="5" s="1"/>
  <c r="T153" i="5" s="1"/>
  <c r="H152" i="5"/>
  <c r="T152" i="5" s="1"/>
  <c r="CX154" i="5"/>
  <c r="CY151" i="5"/>
  <c r="CZ151" i="5"/>
  <c r="G152" i="5" s="1"/>
  <c r="S152" i="5" s="1"/>
  <c r="N154" i="5"/>
  <c r="DD125" i="4"/>
  <c r="DE125" i="4" s="1"/>
  <c r="H144" i="4" s="1"/>
  <c r="DH124" i="4"/>
  <c r="I143" i="4" s="1"/>
  <c r="CV127" i="4"/>
  <c r="CV128" i="4" s="1"/>
  <c r="DG126" i="4"/>
  <c r="CR153" i="5"/>
  <c r="CS153" i="5" s="1"/>
  <c r="CU153" i="5" s="1"/>
  <c r="CV153" i="5" s="1"/>
  <c r="DT153" i="5"/>
  <c r="DU153" i="5" s="1"/>
  <c r="DV154" i="5"/>
  <c r="DH154" i="5"/>
  <c r="BY154" i="5"/>
  <c r="CD154" i="5" s="1"/>
  <c r="AA155" i="5"/>
  <c r="CT154" i="5"/>
  <c r="B155" i="5"/>
  <c r="AB154" i="5"/>
  <c r="K155" i="5" s="1"/>
  <c r="W155" i="5" s="1"/>
  <c r="DE154" i="5"/>
  <c r="DB154" i="5"/>
  <c r="DD154" i="5"/>
  <c r="DC154" i="5"/>
  <c r="DK153" i="5" s="1"/>
  <c r="DG153" i="5"/>
  <c r="CQ154" i="5"/>
  <c r="CO154" i="5"/>
  <c r="CW153" i="5" s="1"/>
  <c r="CN154" i="5"/>
  <c r="CP154" i="5"/>
  <c r="DS154" i="5"/>
  <c r="DR154" i="5"/>
  <c r="DP154" i="5"/>
  <c r="DQ154" i="5"/>
  <c r="DY153" i="5" s="1"/>
  <c r="DB126" i="4"/>
  <c r="DC126" i="4" s="1"/>
  <c r="CU128" i="4"/>
  <c r="W129" i="4"/>
  <c r="AD129" i="4" s="1"/>
  <c r="C147" i="4"/>
  <c r="BZ155" i="5" l="1"/>
  <c r="CG155" i="5" s="1"/>
  <c r="CC149" i="5"/>
  <c r="CE149" i="5" s="1"/>
  <c r="CB150" i="5"/>
  <c r="CG148" i="5"/>
  <c r="CH148" i="5" s="1"/>
  <c r="CL148" i="5" s="1"/>
  <c r="BB145" i="5"/>
  <c r="AU146" i="5"/>
  <c r="AX144" i="5"/>
  <c r="AZ144" i="5" s="1"/>
  <c r="AW145" i="5"/>
  <c r="BO155" i="5"/>
  <c r="CF155" i="5"/>
  <c r="CI155" i="5" s="1"/>
  <c r="CJ155" i="5"/>
  <c r="AY155" i="5"/>
  <c r="BE155" i="5"/>
  <c r="BA155" i="5"/>
  <c r="BD143" i="5"/>
  <c r="BF143" i="5" s="1"/>
  <c r="BC143" i="5"/>
  <c r="BG143" i="5" s="1"/>
  <c r="D144" i="5" s="1"/>
  <c r="P144" i="5" s="1"/>
  <c r="CA155" i="5"/>
  <c r="CA156" i="5" s="1"/>
  <c r="BV145" i="5"/>
  <c r="BR145" i="5"/>
  <c r="BS145" i="5" s="1"/>
  <c r="BW145" i="5" s="1"/>
  <c r="E146" i="5" s="1"/>
  <c r="Q146" i="5" s="1"/>
  <c r="BQ155" i="5"/>
  <c r="BL148" i="5"/>
  <c r="BT147" i="5" s="1"/>
  <c r="BL86" i="4"/>
  <c r="BM85" i="4"/>
  <c r="BO85" i="4" s="1"/>
  <c r="BJ88" i="4"/>
  <c r="BQ87" i="4"/>
  <c r="Z125" i="4"/>
  <c r="AG124" i="4"/>
  <c r="J154" i="5"/>
  <c r="V154" i="5" s="1"/>
  <c r="AE125" i="4"/>
  <c r="AB126" i="4"/>
  <c r="AE126" i="4" s="1"/>
  <c r="BN128" i="4"/>
  <c r="AF129" i="4"/>
  <c r="AU129" i="4"/>
  <c r="CE129" i="4"/>
  <c r="Y129" i="4"/>
  <c r="AQ129" i="4" s="1"/>
  <c r="BM147" i="5"/>
  <c r="CL73" i="4"/>
  <c r="CM73" i="4" s="1"/>
  <c r="BY73" i="4"/>
  <c r="CO73" i="4" s="1"/>
  <c r="CP73" i="4" s="1"/>
  <c r="BU155" i="5"/>
  <c r="AK155" i="5"/>
  <c r="AO155" i="5"/>
  <c r="AI155" i="5"/>
  <c r="BK88" i="4"/>
  <c r="CD87" i="4" s="1"/>
  <c r="F145" i="5"/>
  <c r="R145" i="5" s="1"/>
  <c r="CG74" i="4"/>
  <c r="BR74" i="4"/>
  <c r="BS86" i="4" s="1"/>
  <c r="BT98" i="4" s="1"/>
  <c r="BU110" i="4" s="1"/>
  <c r="AD158" i="5"/>
  <c r="AC159" i="5"/>
  <c r="BJ159" i="5"/>
  <c r="J147" i="4"/>
  <c r="CV129" i="4"/>
  <c r="CW128" i="4"/>
  <c r="CX128" i="4" s="1"/>
  <c r="DF128" i="4" s="1"/>
  <c r="BP129" i="4"/>
  <c r="CY129" i="4"/>
  <c r="CS130" i="4" s="1"/>
  <c r="BI129" i="4"/>
  <c r="BN129" i="4" s="1"/>
  <c r="X129" i="4"/>
  <c r="K148" i="4" s="1"/>
  <c r="CT129" i="4"/>
  <c r="DL155" i="5"/>
  <c r="DZ155" i="5"/>
  <c r="EA153" i="5"/>
  <c r="DM153" i="5"/>
  <c r="CY152" i="5"/>
  <c r="CZ152" i="5"/>
  <c r="G153" i="5" s="1"/>
  <c r="S153" i="5" s="1"/>
  <c r="CX155" i="5"/>
  <c r="N155" i="5"/>
  <c r="DH125" i="4"/>
  <c r="I144" i="4" s="1"/>
  <c r="DD126" i="4"/>
  <c r="DF154" i="5"/>
  <c r="DG154" i="5" s="1"/>
  <c r="DW153" i="5"/>
  <c r="DX153" i="5" s="1"/>
  <c r="EB153" i="5" s="1"/>
  <c r="DT154" i="5"/>
  <c r="DU154" i="5" s="1"/>
  <c r="CR154" i="5"/>
  <c r="CS154" i="5" s="1"/>
  <c r="DB155" i="5"/>
  <c r="DC155" i="5"/>
  <c r="DK154" i="5" s="1"/>
  <c r="DD155" i="5"/>
  <c r="DE155" i="5"/>
  <c r="B156" i="5"/>
  <c r="AA156" i="5"/>
  <c r="DH155" i="5"/>
  <c r="CT155" i="5"/>
  <c r="DV155" i="5"/>
  <c r="BY155" i="5"/>
  <c r="CR155" i="5" s="1"/>
  <c r="AB155" i="5"/>
  <c r="K156" i="5" s="1"/>
  <c r="W156" i="5" s="1"/>
  <c r="DI153" i="5"/>
  <c r="DJ153" i="5" s="1"/>
  <c r="CN155" i="5"/>
  <c r="CP155" i="5"/>
  <c r="CO155" i="5"/>
  <c r="CW154" i="5" s="1"/>
  <c r="CQ155" i="5"/>
  <c r="DR155" i="5"/>
  <c r="DQ155" i="5"/>
  <c r="DY154" i="5" s="1"/>
  <c r="DP155" i="5"/>
  <c r="DS155" i="5"/>
  <c r="CX127" i="4"/>
  <c r="DF127" i="4" s="1"/>
  <c r="C148" i="4"/>
  <c r="W130" i="4"/>
  <c r="AD130" i="4" s="1"/>
  <c r="CU129" i="4"/>
  <c r="AV156" i="5" l="1"/>
  <c r="CC150" i="5"/>
  <c r="CE150" i="5" s="1"/>
  <c r="CB151" i="5"/>
  <c r="AX145" i="5"/>
  <c r="AZ145" i="5" s="1"/>
  <c r="AW146" i="5"/>
  <c r="CG149" i="5"/>
  <c r="CH149" i="5" s="1"/>
  <c r="CL149" i="5" s="1"/>
  <c r="BD144" i="5"/>
  <c r="BF144" i="5" s="1"/>
  <c r="BC144" i="5"/>
  <c r="BG144" i="5" s="1"/>
  <c r="D145" i="5" s="1"/>
  <c r="P145" i="5" s="1"/>
  <c r="CD155" i="5"/>
  <c r="BB146" i="5"/>
  <c r="AU147" i="5"/>
  <c r="BO156" i="5"/>
  <c r="BA156" i="5"/>
  <c r="CF156" i="5"/>
  <c r="AY156" i="5"/>
  <c r="CJ156" i="5"/>
  <c r="BE156" i="5"/>
  <c r="BZ156" i="5"/>
  <c r="CG156" i="5" s="1"/>
  <c r="BP146" i="5"/>
  <c r="BR146" i="5" s="1"/>
  <c r="BQ156" i="5"/>
  <c r="BL149" i="5"/>
  <c r="BT148" i="5" s="1"/>
  <c r="BJ89" i="4"/>
  <c r="BQ88" i="4"/>
  <c r="BM86" i="4"/>
  <c r="BO86" i="4" s="1"/>
  <c r="BL87" i="4"/>
  <c r="AG125" i="4"/>
  <c r="Z126" i="4"/>
  <c r="J155" i="5"/>
  <c r="V155" i="5" s="1"/>
  <c r="Z127" i="4"/>
  <c r="AU130" i="4"/>
  <c r="AF130" i="4"/>
  <c r="CE130" i="4"/>
  <c r="Y130" i="4"/>
  <c r="AQ130" i="4" s="1"/>
  <c r="BV146" i="5"/>
  <c r="BM148" i="5"/>
  <c r="CN73" i="4"/>
  <c r="F92" i="4" s="1"/>
  <c r="CQ73" i="4"/>
  <c r="G92" i="4" s="1"/>
  <c r="BU156" i="5"/>
  <c r="AK156" i="5"/>
  <c r="AO156" i="5"/>
  <c r="AI156" i="5"/>
  <c r="F146" i="5"/>
  <c r="R146" i="5" s="1"/>
  <c r="BV74" i="4"/>
  <c r="BX74" i="4" s="1"/>
  <c r="CK74" i="4" s="1"/>
  <c r="CL74" i="4" s="1"/>
  <c r="CH74" i="4"/>
  <c r="CI74" i="4" s="1"/>
  <c r="CJ74" i="4" s="1"/>
  <c r="CF75" i="4" s="1"/>
  <c r="BK89" i="4"/>
  <c r="CD88" i="4" s="1"/>
  <c r="AD159" i="5"/>
  <c r="AC160" i="5"/>
  <c r="BJ160" i="5"/>
  <c r="J148" i="4"/>
  <c r="CV130" i="4"/>
  <c r="CT130" i="4"/>
  <c r="CZ129" i="4" s="1"/>
  <c r="CW129" i="4"/>
  <c r="CX129" i="4" s="1"/>
  <c r="DF129" i="4" s="1"/>
  <c r="CA129" i="4"/>
  <c r="CZ128" i="4"/>
  <c r="DA128" i="4" s="1"/>
  <c r="BP130" i="4"/>
  <c r="CY130" i="4"/>
  <c r="CS131" i="4" s="1"/>
  <c r="BI130" i="4"/>
  <c r="BN130" i="4" s="1"/>
  <c r="X130" i="4"/>
  <c r="K149" i="4" s="1"/>
  <c r="DL156" i="5"/>
  <c r="DZ156" i="5"/>
  <c r="EA154" i="5"/>
  <c r="I154" i="5"/>
  <c r="U154" i="5" s="1"/>
  <c r="DM154" i="5"/>
  <c r="DN153" i="5"/>
  <c r="H154" i="5" s="1"/>
  <c r="T154" i="5" s="1"/>
  <c r="CZ153" i="5"/>
  <c r="G154" i="5" s="1"/>
  <c r="S154" i="5" s="1"/>
  <c r="CY153" i="5"/>
  <c r="CX156" i="5"/>
  <c r="N156" i="5"/>
  <c r="DE126" i="4"/>
  <c r="H145" i="4" s="1"/>
  <c r="DH126" i="4"/>
  <c r="I145" i="4" s="1"/>
  <c r="DG127" i="4"/>
  <c r="DG128" i="4"/>
  <c r="DI154" i="5"/>
  <c r="DJ154" i="5" s="1"/>
  <c r="DT155" i="5"/>
  <c r="DU155" i="5" s="1"/>
  <c r="CS155" i="5"/>
  <c r="CQ156" i="5"/>
  <c r="CP156" i="5"/>
  <c r="CO156" i="5"/>
  <c r="CW155" i="5" s="1"/>
  <c r="CN156" i="5"/>
  <c r="CU154" i="5"/>
  <c r="CV154" i="5" s="1"/>
  <c r="DD156" i="5"/>
  <c r="DC156" i="5"/>
  <c r="DK155" i="5" s="1"/>
  <c r="DB156" i="5"/>
  <c r="DE156" i="5"/>
  <c r="DF155" i="5"/>
  <c r="DG155" i="5" s="1"/>
  <c r="DS156" i="5"/>
  <c r="DR156" i="5"/>
  <c r="DQ156" i="5"/>
  <c r="DY155" i="5" s="1"/>
  <c r="DP156" i="5"/>
  <c r="DV156" i="5"/>
  <c r="CT156" i="5"/>
  <c r="DH156" i="5"/>
  <c r="BY156" i="5"/>
  <c r="CR156" i="5" s="1"/>
  <c r="AA157" i="5"/>
  <c r="B157" i="5"/>
  <c r="AB156" i="5"/>
  <c r="K157" i="5" s="1"/>
  <c r="W157" i="5" s="1"/>
  <c r="DW154" i="5"/>
  <c r="DX154" i="5" s="1"/>
  <c r="DB127" i="4"/>
  <c r="DC127" i="4" s="1"/>
  <c r="DB128" i="4"/>
  <c r="DC128" i="4" s="1"/>
  <c r="CU130" i="4"/>
  <c r="W131" i="4"/>
  <c r="AD131" i="4" s="1"/>
  <c r="C149" i="4"/>
  <c r="CA157" i="5" l="1"/>
  <c r="CI156" i="5"/>
  <c r="BB147" i="5"/>
  <c r="AU148" i="5"/>
  <c r="BD145" i="5"/>
  <c r="BF145" i="5" s="1"/>
  <c r="BC145" i="5"/>
  <c r="BG145" i="5" s="1"/>
  <c r="D146" i="5" s="1"/>
  <c r="P146" i="5" s="1"/>
  <c r="CD156" i="5"/>
  <c r="CC151" i="5"/>
  <c r="CE151" i="5" s="1"/>
  <c r="CI151" i="5" s="1"/>
  <c r="CB152" i="5"/>
  <c r="CG150" i="5"/>
  <c r="CH150" i="5" s="1"/>
  <c r="CL150" i="5" s="1"/>
  <c r="BZ157" i="5"/>
  <c r="CG157" i="5" s="1"/>
  <c r="AV157" i="5"/>
  <c r="BO157" i="5"/>
  <c r="CF157" i="5"/>
  <c r="CI157" i="5" s="1"/>
  <c r="BA157" i="5"/>
  <c r="CJ157" i="5"/>
  <c r="AY157" i="5"/>
  <c r="BE157" i="5"/>
  <c r="AX146" i="5"/>
  <c r="AZ146" i="5" s="1"/>
  <c r="AW147" i="5"/>
  <c r="BP147" i="5"/>
  <c r="BR147" i="5" s="1"/>
  <c r="BS146" i="5"/>
  <c r="BW146" i="5" s="1"/>
  <c r="E147" i="5" s="1"/>
  <c r="Q147" i="5" s="1"/>
  <c r="BQ157" i="5"/>
  <c r="BL150" i="5"/>
  <c r="BT149" i="5" s="1"/>
  <c r="BM87" i="4"/>
  <c r="BO87" i="4" s="1"/>
  <c r="BL88" i="4"/>
  <c r="BJ90" i="4"/>
  <c r="BQ90" i="4" s="1"/>
  <c r="BQ89" i="4"/>
  <c r="J156" i="5"/>
  <c r="V156" i="5" s="1"/>
  <c r="J149" i="4"/>
  <c r="AF131" i="4"/>
  <c r="AU131" i="4"/>
  <c r="CE131" i="4"/>
  <c r="Y131" i="4"/>
  <c r="AQ131" i="4" s="1"/>
  <c r="AB127" i="4"/>
  <c r="AC127" i="4" s="1"/>
  <c r="AC128" i="4" s="1"/>
  <c r="AC129" i="4" s="1"/>
  <c r="AC130" i="4" s="1"/>
  <c r="AC131" i="4" s="1"/>
  <c r="AA127" i="4"/>
  <c r="AT126" i="4" s="1"/>
  <c r="Z128" i="4"/>
  <c r="Z129" i="4" s="1"/>
  <c r="Z130" i="4" s="1"/>
  <c r="Z131" i="4" s="1"/>
  <c r="BM149" i="5"/>
  <c r="BV147" i="5"/>
  <c r="BU157" i="5"/>
  <c r="AK157" i="5"/>
  <c r="AO157" i="5"/>
  <c r="AI157" i="5"/>
  <c r="BY74" i="4"/>
  <c r="CO74" i="4" s="1"/>
  <c r="CP74" i="4" s="1"/>
  <c r="BK90" i="4"/>
  <c r="CD89" i="4" s="1"/>
  <c r="BZ86" i="4"/>
  <c r="CB86" i="4" s="1"/>
  <c r="CC86" i="4"/>
  <c r="CM74" i="4"/>
  <c r="CN74" i="4" s="1"/>
  <c r="F93" i="4" s="1"/>
  <c r="CG75" i="4"/>
  <c r="F147" i="5"/>
  <c r="R147" i="5" s="1"/>
  <c r="BR75" i="4"/>
  <c r="BS87" i="4" s="1"/>
  <c r="BT99" i="4" s="1"/>
  <c r="BU111" i="4" s="1"/>
  <c r="AD160" i="5"/>
  <c r="AC161" i="5"/>
  <c r="BJ161" i="5"/>
  <c r="DA129" i="4"/>
  <c r="BP131" i="4"/>
  <c r="CY131" i="4"/>
  <c r="CS132" i="4" s="1"/>
  <c r="BI131" i="4"/>
  <c r="BN131" i="4" s="1"/>
  <c r="X131" i="4"/>
  <c r="K150" i="4" s="1"/>
  <c r="CV131" i="4"/>
  <c r="CT131" i="4"/>
  <c r="CW130" i="4"/>
  <c r="CX130" i="4" s="1"/>
  <c r="DF130" i="4" s="1"/>
  <c r="CA130" i="4"/>
  <c r="DL157" i="5"/>
  <c r="DZ157" i="5"/>
  <c r="EA155" i="5"/>
  <c r="EB154" i="5"/>
  <c r="I155" i="5" s="1"/>
  <c r="U155" i="5" s="1"/>
  <c r="DN154" i="5"/>
  <c r="H155" i="5" s="1"/>
  <c r="T155" i="5" s="1"/>
  <c r="DM155" i="5"/>
  <c r="CX157" i="5"/>
  <c r="CY154" i="5"/>
  <c r="CZ154" i="5"/>
  <c r="G155" i="5" s="1"/>
  <c r="S155" i="5" s="1"/>
  <c r="N157" i="5"/>
  <c r="DD127" i="4"/>
  <c r="DB129" i="4"/>
  <c r="DC129" i="4" s="1"/>
  <c r="DT156" i="5"/>
  <c r="DU156" i="5" s="1"/>
  <c r="DF156" i="5"/>
  <c r="DG156" i="5" s="1"/>
  <c r="DI155" i="5"/>
  <c r="DJ155" i="5" s="1"/>
  <c r="DW155" i="5"/>
  <c r="DX155" i="5" s="1"/>
  <c r="DD157" i="5"/>
  <c r="DC157" i="5"/>
  <c r="DK156" i="5" s="1"/>
  <c r="DB157" i="5"/>
  <c r="DE157" i="5"/>
  <c r="CS156" i="5"/>
  <c r="CQ157" i="5"/>
  <c r="CP157" i="5"/>
  <c r="CO157" i="5"/>
  <c r="CW156" i="5" s="1"/>
  <c r="CN157" i="5"/>
  <c r="CU155" i="5"/>
  <c r="CV155" i="5" s="1"/>
  <c r="B158" i="5"/>
  <c r="DV157" i="5"/>
  <c r="CT157" i="5"/>
  <c r="DH157" i="5"/>
  <c r="BY157" i="5"/>
  <c r="DT157" i="5" s="1"/>
  <c r="AA158" i="5"/>
  <c r="AB157" i="5"/>
  <c r="K158" i="5" s="1"/>
  <c r="W158" i="5" s="1"/>
  <c r="DS157" i="5"/>
  <c r="DR157" i="5"/>
  <c r="DQ157" i="5"/>
  <c r="DY156" i="5" s="1"/>
  <c r="DP157" i="5"/>
  <c r="DG129" i="4"/>
  <c r="C150" i="4"/>
  <c r="W132" i="4"/>
  <c r="AD132" i="4" s="1"/>
  <c r="CU131" i="4"/>
  <c r="AV158" i="5" l="1"/>
  <c r="CG151" i="5"/>
  <c r="CH151" i="5" s="1"/>
  <c r="CL151" i="5" s="1"/>
  <c r="CK151" i="5"/>
  <c r="CD157" i="5"/>
  <c r="AX147" i="5"/>
  <c r="AZ147" i="5" s="1"/>
  <c r="AW148" i="5"/>
  <c r="AC132" i="4"/>
  <c r="BD146" i="5"/>
  <c r="BF146" i="5" s="1"/>
  <c r="BC146" i="5"/>
  <c r="BG146" i="5" s="1"/>
  <c r="D147" i="5" s="1"/>
  <c r="P147" i="5" s="1"/>
  <c r="BZ158" i="5"/>
  <c r="CG158" i="5" s="1"/>
  <c r="BB148" i="5"/>
  <c r="AU149" i="5"/>
  <c r="CA158" i="5"/>
  <c r="BO158" i="5"/>
  <c r="AY158" i="5"/>
  <c r="CF158" i="5"/>
  <c r="CI158" i="5" s="1"/>
  <c r="CJ158" i="5"/>
  <c r="BA158" i="5"/>
  <c r="BE158" i="5"/>
  <c r="CC152" i="5"/>
  <c r="CE152" i="5" s="1"/>
  <c r="CH152" i="5" s="1"/>
  <c r="CB153" i="5"/>
  <c r="BP148" i="5"/>
  <c r="BR148" i="5" s="1"/>
  <c r="BS148" i="5" s="1"/>
  <c r="BW148" i="5" s="1"/>
  <c r="E149" i="5" s="1"/>
  <c r="Q149" i="5" s="1"/>
  <c r="BS147" i="5"/>
  <c r="BW147" i="5" s="1"/>
  <c r="E148" i="5" s="1"/>
  <c r="Q148" i="5" s="1"/>
  <c r="BQ158" i="5"/>
  <c r="J150" i="4"/>
  <c r="BL151" i="5"/>
  <c r="BT150" i="5" s="1"/>
  <c r="BM88" i="4"/>
  <c r="BO88" i="4" s="1"/>
  <c r="BL89" i="4"/>
  <c r="J157" i="5"/>
  <c r="V157" i="5" s="1"/>
  <c r="Z132" i="4"/>
  <c r="AU132" i="4"/>
  <c r="AF132" i="4"/>
  <c r="CE132" i="4"/>
  <c r="Y132" i="4"/>
  <c r="AQ132" i="4" s="1"/>
  <c r="AA128" i="4"/>
  <c r="AT127" i="4" s="1"/>
  <c r="AE127" i="4"/>
  <c r="AG127" i="4" s="1"/>
  <c r="AB128" i="4"/>
  <c r="BV148" i="5"/>
  <c r="BM150" i="5"/>
  <c r="BU158" i="5"/>
  <c r="AK158" i="5"/>
  <c r="AO158" i="5"/>
  <c r="AI158" i="5"/>
  <c r="BV75" i="4"/>
  <c r="BX75" i="4" s="1"/>
  <c r="CK75" i="4" s="1"/>
  <c r="CL75" i="4" s="1"/>
  <c r="CH75" i="4"/>
  <c r="CI75" i="4" s="1"/>
  <c r="CJ75" i="4" s="1"/>
  <c r="CF76" i="4" s="1"/>
  <c r="CQ74" i="4"/>
  <c r="G93" i="4" s="1"/>
  <c r="F148" i="5"/>
  <c r="R148" i="5" s="1"/>
  <c r="AD161" i="5"/>
  <c r="AC162" i="5"/>
  <c r="BJ162" i="5"/>
  <c r="CV132" i="4"/>
  <c r="CT132" i="4"/>
  <c r="CZ131" i="4" s="1"/>
  <c r="CW131" i="4"/>
  <c r="CX131" i="4" s="1"/>
  <c r="DF131" i="4" s="1"/>
  <c r="CA131" i="4"/>
  <c r="BP132" i="4"/>
  <c r="CY132" i="4"/>
  <c r="CS133" i="4" s="1"/>
  <c r="BI132" i="4"/>
  <c r="CA132" i="4" s="1"/>
  <c r="X132" i="4"/>
  <c r="K151" i="4" s="1"/>
  <c r="CZ130" i="4"/>
  <c r="DA130" i="4" s="1"/>
  <c r="DL158" i="5"/>
  <c r="DZ158" i="5"/>
  <c r="EA156" i="5"/>
  <c r="EB155" i="5"/>
  <c r="I156" i="5" s="1"/>
  <c r="U156" i="5" s="1"/>
  <c r="DN155" i="5"/>
  <c r="H156" i="5" s="1"/>
  <c r="T156" i="5" s="1"/>
  <c r="DM156" i="5"/>
  <c r="CY155" i="5"/>
  <c r="CZ155" i="5"/>
  <c r="G156" i="5" s="1"/>
  <c r="S156" i="5" s="1"/>
  <c r="CX158" i="5"/>
  <c r="N158" i="5"/>
  <c r="DE127" i="4"/>
  <c r="H146" i="4" s="1"/>
  <c r="DH127" i="4"/>
  <c r="I146" i="4" s="1"/>
  <c r="DD128" i="4"/>
  <c r="DH128" i="4" s="1"/>
  <c r="I147" i="4" s="1"/>
  <c r="DG130" i="4"/>
  <c r="DF157" i="5"/>
  <c r="DG157" i="5" s="1"/>
  <c r="CQ158" i="5"/>
  <c r="CP158" i="5"/>
  <c r="CO158" i="5"/>
  <c r="CW157" i="5" s="1"/>
  <c r="CN158" i="5"/>
  <c r="DU157" i="5"/>
  <c r="CR157" i="5"/>
  <c r="CS157" i="5" s="1"/>
  <c r="DS158" i="5"/>
  <c r="DR158" i="5"/>
  <c r="DQ158" i="5"/>
  <c r="DY157" i="5" s="1"/>
  <c r="DP158" i="5"/>
  <c r="DW156" i="5"/>
  <c r="DX156" i="5" s="1"/>
  <c r="DI156" i="5"/>
  <c r="DJ156" i="5" s="1"/>
  <c r="DN156" i="5" s="1"/>
  <c r="CU156" i="5"/>
  <c r="CV156" i="5" s="1"/>
  <c r="DE158" i="5"/>
  <c r="DD158" i="5"/>
  <c r="DB158" i="5"/>
  <c r="DC158" i="5"/>
  <c r="DK157" i="5" s="1"/>
  <c r="B159" i="5"/>
  <c r="DV158" i="5"/>
  <c r="CT158" i="5"/>
  <c r="DH158" i="5"/>
  <c r="BY158" i="5"/>
  <c r="CD158" i="5" s="1"/>
  <c r="AA159" i="5"/>
  <c r="AB158" i="5"/>
  <c r="K159" i="5" s="1"/>
  <c r="W159" i="5" s="1"/>
  <c r="DB130" i="4"/>
  <c r="DC130" i="4" s="1"/>
  <c r="W133" i="4"/>
  <c r="C151" i="4"/>
  <c r="CU132" i="4"/>
  <c r="AV159" i="5" l="1"/>
  <c r="AC133" i="4"/>
  <c r="CK152" i="5"/>
  <c r="CL152" i="5"/>
  <c r="BD147" i="5"/>
  <c r="BF147" i="5" s="1"/>
  <c r="BC147" i="5"/>
  <c r="BG147" i="5" s="1"/>
  <c r="D148" i="5" s="1"/>
  <c r="P148" i="5" s="1"/>
  <c r="AX148" i="5"/>
  <c r="AZ148" i="5" s="1"/>
  <c r="AW149" i="5"/>
  <c r="BZ159" i="5"/>
  <c r="CG159" i="5" s="1"/>
  <c r="BB149" i="5"/>
  <c r="AU150" i="5"/>
  <c r="CC153" i="5"/>
  <c r="CE153" i="5" s="1"/>
  <c r="CH153" i="5" s="1"/>
  <c r="CB154" i="5"/>
  <c r="BO159" i="5"/>
  <c r="CF159" i="5"/>
  <c r="CI159" i="5" s="1"/>
  <c r="CJ159" i="5"/>
  <c r="AY159" i="5"/>
  <c r="BE159" i="5"/>
  <c r="BA159" i="5"/>
  <c r="CA159" i="5"/>
  <c r="J151" i="4"/>
  <c r="BP149" i="5"/>
  <c r="BR149" i="5" s="1"/>
  <c r="BS149" i="5" s="1"/>
  <c r="BW149" i="5" s="1"/>
  <c r="E150" i="5" s="1"/>
  <c r="Q150" i="5" s="1"/>
  <c r="BQ159" i="5"/>
  <c r="BL90" i="4"/>
  <c r="BM90" i="4" s="1"/>
  <c r="BO90" i="4" s="1"/>
  <c r="BM89" i="4"/>
  <c r="BO89" i="4" s="1"/>
  <c r="J158" i="5"/>
  <c r="V158" i="5" s="1"/>
  <c r="Z133" i="4"/>
  <c r="AF133" i="4"/>
  <c r="CE133" i="4"/>
  <c r="AU133" i="4"/>
  <c r="Y133" i="4"/>
  <c r="AE128" i="4"/>
  <c r="AG128" i="4" s="1"/>
  <c r="AB129" i="4"/>
  <c r="AA129" i="4"/>
  <c r="AT128" i="4" s="1"/>
  <c r="BN132" i="4"/>
  <c r="BM151" i="5"/>
  <c r="BV149" i="5"/>
  <c r="BU159" i="5"/>
  <c r="AO159" i="5"/>
  <c r="AK159" i="5"/>
  <c r="AI159" i="5"/>
  <c r="BY75" i="4"/>
  <c r="CO75" i="4" s="1"/>
  <c r="CP75" i="4" s="1"/>
  <c r="CG76" i="4"/>
  <c r="F149" i="5"/>
  <c r="R149" i="5" s="1"/>
  <c r="CC87" i="4"/>
  <c r="BZ87" i="4"/>
  <c r="CB87" i="4" s="1"/>
  <c r="CM75" i="4"/>
  <c r="CN75" i="4" s="1"/>
  <c r="F94" i="4" s="1"/>
  <c r="BR76" i="4"/>
  <c r="BS88" i="4" s="1"/>
  <c r="BT100" i="4" s="1"/>
  <c r="BU112" i="4" s="1"/>
  <c r="BJ91" i="4"/>
  <c r="BQ91" i="4" s="1"/>
  <c r="AD162" i="5"/>
  <c r="AC163" i="5"/>
  <c r="BJ163" i="5"/>
  <c r="DT158" i="5"/>
  <c r="DU158" i="5" s="1"/>
  <c r="DA131" i="4"/>
  <c r="CV133" i="4"/>
  <c r="CW132" i="4"/>
  <c r="CX132" i="4" s="1"/>
  <c r="DF132" i="4" s="1"/>
  <c r="CT133" i="4"/>
  <c r="CZ132" i="4" s="1"/>
  <c r="CY133" i="4"/>
  <c r="CS134" i="4" s="1"/>
  <c r="BP133" i="4"/>
  <c r="BI133" i="4"/>
  <c r="X133" i="4"/>
  <c r="K152" i="4" s="1"/>
  <c r="DL159" i="5"/>
  <c r="DZ159" i="5"/>
  <c r="EB156" i="5"/>
  <c r="I157" i="5" s="1"/>
  <c r="U157" i="5" s="1"/>
  <c r="EA157" i="5"/>
  <c r="DM157" i="5"/>
  <c r="H157" i="5"/>
  <c r="T157" i="5" s="1"/>
  <c r="CX159" i="5"/>
  <c r="CZ156" i="5"/>
  <c r="G157" i="5" s="1"/>
  <c r="S157" i="5" s="1"/>
  <c r="CY156" i="5"/>
  <c r="N159" i="5"/>
  <c r="DE128" i="4"/>
  <c r="H147" i="4" s="1"/>
  <c r="DD129" i="4"/>
  <c r="DE129" i="4" s="1"/>
  <c r="H148" i="4" s="1"/>
  <c r="DB131" i="4"/>
  <c r="DC131" i="4" s="1"/>
  <c r="DF158" i="5"/>
  <c r="DG158" i="5" s="1"/>
  <c r="DI157" i="5"/>
  <c r="DJ157" i="5" s="1"/>
  <c r="DE159" i="5"/>
  <c r="DC159" i="5"/>
  <c r="DK158" i="5" s="1"/>
  <c r="DB159" i="5"/>
  <c r="DD159" i="5"/>
  <c r="CR158" i="5"/>
  <c r="CS158" i="5" s="1"/>
  <c r="B160" i="5"/>
  <c r="AA160" i="5"/>
  <c r="CT159" i="5"/>
  <c r="DH159" i="5"/>
  <c r="DV159" i="5"/>
  <c r="BY159" i="5"/>
  <c r="CD159" i="5" s="1"/>
  <c r="AB159" i="5"/>
  <c r="K160" i="5" s="1"/>
  <c r="W160" i="5" s="1"/>
  <c r="CN159" i="5"/>
  <c r="CQ159" i="5"/>
  <c r="CP159" i="5"/>
  <c r="CO159" i="5"/>
  <c r="CW158" i="5" s="1"/>
  <c r="CU157" i="5"/>
  <c r="CV157" i="5" s="1"/>
  <c r="DP159" i="5"/>
  <c r="DS159" i="5"/>
  <c r="DR159" i="5"/>
  <c r="DQ159" i="5"/>
  <c r="DY158" i="5" s="1"/>
  <c r="DW157" i="5"/>
  <c r="DX157" i="5" s="1"/>
  <c r="EB157" i="5" s="1"/>
  <c r="DG131" i="4"/>
  <c r="CU133" i="4"/>
  <c r="W134" i="4"/>
  <c r="C152" i="4"/>
  <c r="CA160" i="5" l="1"/>
  <c r="CK153" i="5"/>
  <c r="CL153" i="5"/>
  <c r="CC154" i="5"/>
  <c r="CE154" i="5" s="1"/>
  <c r="CH154" i="5" s="1"/>
  <c r="CB155" i="5"/>
  <c r="AX149" i="5"/>
  <c r="AZ149" i="5" s="1"/>
  <c r="AW150" i="5"/>
  <c r="BD148" i="5"/>
  <c r="BF148" i="5" s="1"/>
  <c r="BC148" i="5"/>
  <c r="BG148" i="5" s="1"/>
  <c r="D149" i="5" s="1"/>
  <c r="P149" i="5" s="1"/>
  <c r="BO160" i="5"/>
  <c r="CF160" i="5"/>
  <c r="CI160" i="5" s="1"/>
  <c r="CJ160" i="5"/>
  <c r="BA160" i="5"/>
  <c r="AY160" i="5"/>
  <c r="BE160" i="5"/>
  <c r="AC134" i="4"/>
  <c r="CA161" i="5"/>
  <c r="BZ160" i="5"/>
  <c r="CG160" i="5" s="1"/>
  <c r="BB150" i="5"/>
  <c r="AU151" i="5"/>
  <c r="AV160" i="5"/>
  <c r="J152" i="4"/>
  <c r="BP150" i="5"/>
  <c r="BR150" i="5" s="1"/>
  <c r="BS150" i="5" s="1"/>
  <c r="BW150" i="5" s="1"/>
  <c r="E151" i="5" s="1"/>
  <c r="Q151" i="5" s="1"/>
  <c r="BQ160" i="5"/>
  <c r="Z134" i="4"/>
  <c r="AQ133" i="4"/>
  <c r="AD133" i="4"/>
  <c r="J159" i="5"/>
  <c r="V159" i="5" s="1"/>
  <c r="BN133" i="4"/>
  <c r="CE134" i="4"/>
  <c r="AU134" i="4"/>
  <c r="AF134" i="4"/>
  <c r="Y134" i="4"/>
  <c r="AA130" i="4"/>
  <c r="AT129" i="4" s="1"/>
  <c r="AW127" i="4"/>
  <c r="AE129" i="4"/>
  <c r="AG129" i="4" s="1"/>
  <c r="AB130" i="4"/>
  <c r="BV150" i="5"/>
  <c r="BP151" i="5"/>
  <c r="BU160" i="5"/>
  <c r="AO160" i="5"/>
  <c r="AK160" i="5"/>
  <c r="AI160" i="5"/>
  <c r="BV76" i="4"/>
  <c r="BX76" i="4" s="1"/>
  <c r="CK76" i="4" s="1"/>
  <c r="CL76" i="4" s="1"/>
  <c r="CQ75" i="4"/>
  <c r="G94" i="4" s="1"/>
  <c r="F150" i="5"/>
  <c r="R150" i="5" s="1"/>
  <c r="BK91" i="4"/>
  <c r="CD90" i="4" s="1"/>
  <c r="BJ92" i="4"/>
  <c r="BL91" i="4"/>
  <c r="CH76" i="4"/>
  <c r="CI76" i="4" s="1"/>
  <c r="CJ76" i="4" s="1"/>
  <c r="CF77" i="4" s="1"/>
  <c r="AD163" i="5"/>
  <c r="AC164" i="5"/>
  <c r="BJ164" i="5"/>
  <c r="DA132" i="4"/>
  <c r="CW133" i="4"/>
  <c r="CX133" i="4" s="1"/>
  <c r="DF133" i="4" s="1"/>
  <c r="CA133" i="4"/>
  <c r="CY134" i="4"/>
  <c r="CS135" i="4" s="1"/>
  <c r="BP134" i="4"/>
  <c r="BI134" i="4"/>
  <c r="BN134" i="4" s="1"/>
  <c r="X134" i="4"/>
  <c r="K153" i="4" s="1"/>
  <c r="CT134" i="4"/>
  <c r="CZ133" i="4" s="1"/>
  <c r="CV134" i="4"/>
  <c r="DL160" i="5"/>
  <c r="DZ160" i="5"/>
  <c r="EA158" i="5"/>
  <c r="I158" i="5"/>
  <c r="U158" i="5" s="1"/>
  <c r="DM158" i="5"/>
  <c r="DN157" i="5"/>
  <c r="H158" i="5" s="1"/>
  <c r="T158" i="5" s="1"/>
  <c r="CY157" i="5"/>
  <c r="CZ157" i="5"/>
  <c r="G158" i="5" s="1"/>
  <c r="S158" i="5" s="1"/>
  <c r="CX160" i="5"/>
  <c r="N160" i="5"/>
  <c r="DD130" i="4"/>
  <c r="DE130" i="4" s="1"/>
  <c r="H149" i="4" s="1"/>
  <c r="DH129" i="4"/>
  <c r="I148" i="4" s="1"/>
  <c r="CU158" i="5"/>
  <c r="CV158" i="5" s="1"/>
  <c r="DF159" i="5"/>
  <c r="DG159" i="5" s="1"/>
  <c r="DI158" i="5"/>
  <c r="DJ158" i="5" s="1"/>
  <c r="B161" i="5"/>
  <c r="AA161" i="5"/>
  <c r="DV160" i="5"/>
  <c r="CT160" i="5"/>
  <c r="BY160" i="5"/>
  <c r="CD160" i="5" s="1"/>
  <c r="DH160" i="5"/>
  <c r="AB160" i="5"/>
  <c r="K161" i="5" s="1"/>
  <c r="W161" i="5" s="1"/>
  <c r="CR159" i="5"/>
  <c r="CS159" i="5" s="1"/>
  <c r="DT159" i="5"/>
  <c r="DU159" i="5" s="1"/>
  <c r="DW158" i="5"/>
  <c r="DX158" i="5" s="1"/>
  <c r="EB158" i="5" s="1"/>
  <c r="DQ160" i="5"/>
  <c r="DY159" i="5" s="1"/>
  <c r="DP160" i="5"/>
  <c r="DS160" i="5"/>
  <c r="DR160" i="5"/>
  <c r="DD160" i="5"/>
  <c r="DC160" i="5"/>
  <c r="DK159" i="5" s="1"/>
  <c r="DB160" i="5"/>
  <c r="DE160" i="5"/>
  <c r="CO160" i="5"/>
  <c r="CW159" i="5" s="1"/>
  <c r="CN160" i="5"/>
  <c r="CQ160" i="5"/>
  <c r="CP160" i="5"/>
  <c r="DG132" i="4"/>
  <c r="DB132" i="4"/>
  <c r="DC132" i="4" s="1"/>
  <c r="CU134" i="4"/>
  <c r="W135" i="4"/>
  <c r="C153" i="4"/>
  <c r="CK154" i="5" l="1"/>
  <c r="CL154" i="5"/>
  <c r="BD149" i="5"/>
  <c r="BF149" i="5" s="1"/>
  <c r="BC149" i="5"/>
  <c r="BG149" i="5" s="1"/>
  <c r="D150" i="5" s="1"/>
  <c r="P150" i="5" s="1"/>
  <c r="BO161" i="5"/>
  <c r="BA161" i="5"/>
  <c r="CJ161" i="5"/>
  <c r="CF161" i="5"/>
  <c r="AY161" i="5"/>
  <c r="BE161" i="5"/>
  <c r="BZ161" i="5"/>
  <c r="CG161" i="5" s="1"/>
  <c r="CC155" i="5"/>
  <c r="CE155" i="5" s="1"/>
  <c r="CH155" i="5" s="1"/>
  <c r="CB156" i="5"/>
  <c r="AV161" i="5"/>
  <c r="AC135" i="4"/>
  <c r="AX150" i="5"/>
  <c r="AZ150" i="5" s="1"/>
  <c r="AW151" i="5"/>
  <c r="BB151" i="5"/>
  <c r="AU152" i="5"/>
  <c r="J153" i="4"/>
  <c r="BQ161" i="5"/>
  <c r="AQ134" i="4"/>
  <c r="AD134" i="4"/>
  <c r="BJ93" i="4"/>
  <c r="BQ93" i="4" s="1"/>
  <c r="BQ92" i="4"/>
  <c r="J160" i="5"/>
  <c r="V160" i="5" s="1"/>
  <c r="AU135" i="4"/>
  <c r="AF135" i="4"/>
  <c r="CE135" i="4"/>
  <c r="Y135" i="4"/>
  <c r="AA131" i="4"/>
  <c r="AT130" i="4" s="1"/>
  <c r="AW128" i="4"/>
  <c r="AE130" i="4"/>
  <c r="AG130" i="4" s="1"/>
  <c r="AB131" i="4"/>
  <c r="Z135" i="4"/>
  <c r="BS151" i="5"/>
  <c r="BK152" i="5" s="1"/>
  <c r="BU161" i="5"/>
  <c r="AK161" i="5"/>
  <c r="AO161" i="5"/>
  <c r="AI161" i="5"/>
  <c r="CM76" i="4"/>
  <c r="CN76" i="4" s="1"/>
  <c r="F95" i="4" s="1"/>
  <c r="CC88" i="4"/>
  <c r="BZ88" i="4"/>
  <c r="CB88" i="4" s="1"/>
  <c r="BL92" i="4"/>
  <c r="BM91" i="4"/>
  <c r="BO91" i="4" s="1"/>
  <c r="CG77" i="4"/>
  <c r="BK92" i="4"/>
  <c r="CD91" i="4" s="1"/>
  <c r="F151" i="5"/>
  <c r="R151" i="5" s="1"/>
  <c r="BR77" i="4"/>
  <c r="BS89" i="4" s="1"/>
  <c r="BT101" i="4" s="1"/>
  <c r="BU113" i="4" s="1"/>
  <c r="BY76" i="4"/>
  <c r="CO76" i="4" s="1"/>
  <c r="CP76" i="4" s="1"/>
  <c r="AD164" i="5"/>
  <c r="AC165" i="5"/>
  <c r="BJ165" i="5"/>
  <c r="DT160" i="5"/>
  <c r="DU160" i="5" s="1"/>
  <c r="DA133" i="4"/>
  <c r="CW134" i="4"/>
  <c r="CX134" i="4" s="1"/>
  <c r="DF134" i="4" s="1"/>
  <c r="CA134" i="4"/>
  <c r="CY135" i="4"/>
  <c r="CS136" i="4" s="1"/>
  <c r="BP135" i="4"/>
  <c r="BI135" i="4"/>
  <c r="X135" i="4"/>
  <c r="K154" i="4" s="1"/>
  <c r="CV135" i="4"/>
  <c r="CT135" i="4"/>
  <c r="CZ134" i="4" s="1"/>
  <c r="DL161" i="5"/>
  <c r="DZ161" i="5"/>
  <c r="EA159" i="5"/>
  <c r="I159" i="5"/>
  <c r="U159" i="5" s="1"/>
  <c r="DM159" i="5"/>
  <c r="DN158" i="5"/>
  <c r="H159" i="5" s="1"/>
  <c r="T159" i="5" s="1"/>
  <c r="CX161" i="5"/>
  <c r="CY158" i="5"/>
  <c r="CZ158" i="5"/>
  <c r="G159" i="5" s="1"/>
  <c r="S159" i="5" s="1"/>
  <c r="N161" i="5"/>
  <c r="DH130" i="4"/>
  <c r="I149" i="4" s="1"/>
  <c r="DD131" i="4"/>
  <c r="DE131" i="4" s="1"/>
  <c r="H150" i="4" s="1"/>
  <c r="DB133" i="4"/>
  <c r="DC133" i="4" s="1"/>
  <c r="CU159" i="5"/>
  <c r="CV159" i="5" s="1"/>
  <c r="DE161" i="5"/>
  <c r="DD161" i="5"/>
  <c r="DC161" i="5"/>
  <c r="DK160" i="5" s="1"/>
  <c r="DB161" i="5"/>
  <c r="CP161" i="5"/>
  <c r="CO161" i="5"/>
  <c r="CW160" i="5" s="1"/>
  <c r="CN161" i="5"/>
  <c r="CQ161" i="5"/>
  <c r="DR161" i="5"/>
  <c r="DQ161" i="5"/>
  <c r="DY160" i="5" s="1"/>
  <c r="DP161" i="5"/>
  <c r="DS161" i="5"/>
  <c r="DI159" i="5"/>
  <c r="DJ159" i="5" s="1"/>
  <c r="DN159" i="5" s="1"/>
  <c r="DW159" i="5"/>
  <c r="DX159" i="5" s="1"/>
  <c r="DF160" i="5"/>
  <c r="DG160" i="5" s="1"/>
  <c r="CR160" i="5"/>
  <c r="CS160" i="5" s="1"/>
  <c r="B162" i="5"/>
  <c r="DH161" i="5"/>
  <c r="BY161" i="5"/>
  <c r="CD161" i="5" s="1"/>
  <c r="AA162" i="5"/>
  <c r="DV161" i="5"/>
  <c r="CT161" i="5"/>
  <c r="AB161" i="5"/>
  <c r="K162" i="5" s="1"/>
  <c r="W162" i="5" s="1"/>
  <c r="DG133" i="4"/>
  <c r="CU135" i="4"/>
  <c r="C154" i="4"/>
  <c r="W136" i="4"/>
  <c r="CA162" i="5" l="1"/>
  <c r="CI161" i="5"/>
  <c r="CK155" i="5"/>
  <c r="CL155" i="5"/>
  <c r="AC136" i="4"/>
  <c r="BB152" i="5"/>
  <c r="AU153" i="5"/>
  <c r="AV162" i="5"/>
  <c r="BO162" i="5"/>
  <c r="AY162" i="5"/>
  <c r="CJ162" i="5"/>
  <c r="CF162" i="5"/>
  <c r="CI162" i="5" s="1"/>
  <c r="BA162" i="5"/>
  <c r="BE162" i="5"/>
  <c r="AX151" i="5"/>
  <c r="AZ151" i="5" s="1"/>
  <c r="AW152" i="5"/>
  <c r="CC156" i="5"/>
  <c r="CE156" i="5" s="1"/>
  <c r="CH156" i="5" s="1"/>
  <c r="CB157" i="5"/>
  <c r="BD150" i="5"/>
  <c r="BF150" i="5" s="1"/>
  <c r="BC150" i="5"/>
  <c r="BG150" i="5" s="1"/>
  <c r="D151" i="5" s="1"/>
  <c r="P151" i="5" s="1"/>
  <c r="BZ162" i="5"/>
  <c r="CG162" i="5" s="1"/>
  <c r="BJ94" i="4"/>
  <c r="BQ94" i="4" s="1"/>
  <c r="J154" i="4"/>
  <c r="DA134" i="4"/>
  <c r="BQ162" i="5"/>
  <c r="BL152" i="5"/>
  <c r="BT151" i="5" s="1"/>
  <c r="BK153" i="5"/>
  <c r="BK154" i="5" s="1"/>
  <c r="BK155" i="5" s="1"/>
  <c r="BK156" i="5" s="1"/>
  <c r="BK157" i="5" s="1"/>
  <c r="BK158" i="5" s="1"/>
  <c r="BK159" i="5" s="1"/>
  <c r="BK160" i="5" s="1"/>
  <c r="BK161" i="5" s="1"/>
  <c r="BK162" i="5" s="1"/>
  <c r="BM152" i="5"/>
  <c r="BN152" i="5" s="1"/>
  <c r="BN153" i="5" s="1"/>
  <c r="BN154" i="5" s="1"/>
  <c r="BN155" i="5" s="1"/>
  <c r="BN156" i="5" s="1"/>
  <c r="BN157" i="5" s="1"/>
  <c r="BN158" i="5" s="1"/>
  <c r="BN159" i="5" s="1"/>
  <c r="BN160" i="5" s="1"/>
  <c r="BN161" i="5" s="1"/>
  <c r="BN162" i="5" s="1"/>
  <c r="AQ135" i="4"/>
  <c r="AD135" i="4"/>
  <c r="Z136" i="4"/>
  <c r="J161" i="5"/>
  <c r="V161" i="5" s="1"/>
  <c r="BW151" i="5"/>
  <c r="E152" i="5" s="1"/>
  <c r="Q152" i="5" s="1"/>
  <c r="BN135" i="4"/>
  <c r="AE131" i="4"/>
  <c r="AG131" i="4" s="1"/>
  <c r="AB132" i="4"/>
  <c r="CE136" i="4"/>
  <c r="AF136" i="4"/>
  <c r="AU136" i="4"/>
  <c r="Y136" i="4"/>
  <c r="AA132" i="4"/>
  <c r="AT131" i="4" s="1"/>
  <c r="AW129" i="4"/>
  <c r="AO162" i="5"/>
  <c r="BU162" i="5"/>
  <c r="AK162" i="5"/>
  <c r="AI162" i="5"/>
  <c r="CQ76" i="4"/>
  <c r="G95" i="4" s="1"/>
  <c r="F152" i="5"/>
  <c r="R152" i="5" s="1"/>
  <c r="CH77" i="4"/>
  <c r="CI77" i="4" s="1"/>
  <c r="CJ77" i="4" s="1"/>
  <c r="BK93" i="4"/>
  <c r="CD92" i="4" s="1"/>
  <c r="BM92" i="4"/>
  <c r="BO92" i="4" s="1"/>
  <c r="BL93" i="4"/>
  <c r="BV77" i="4"/>
  <c r="BX77" i="4" s="1"/>
  <c r="CK77" i="4" s="1"/>
  <c r="CL77" i="4" s="1"/>
  <c r="AD165" i="5"/>
  <c r="AC166" i="5"/>
  <c r="BJ166" i="5"/>
  <c r="DT161" i="5"/>
  <c r="DU161" i="5" s="1"/>
  <c r="CW135" i="4"/>
  <c r="CX135" i="4" s="1"/>
  <c r="DF135" i="4" s="1"/>
  <c r="CA135" i="4"/>
  <c r="CY136" i="4"/>
  <c r="CS137" i="4" s="1"/>
  <c r="BP136" i="4"/>
  <c r="BI136" i="4"/>
  <c r="CA136" i="4" s="1"/>
  <c r="X136" i="4"/>
  <c r="K155" i="4" s="1"/>
  <c r="CT136" i="4"/>
  <c r="CZ135" i="4" s="1"/>
  <c r="CV136" i="4"/>
  <c r="DL162" i="5"/>
  <c r="DZ162" i="5"/>
  <c r="EA160" i="5"/>
  <c r="EB159" i="5"/>
  <c r="I160" i="5" s="1"/>
  <c r="U160" i="5" s="1"/>
  <c r="DM160" i="5"/>
  <c r="H160" i="5"/>
  <c r="T160" i="5" s="1"/>
  <c r="CY159" i="5"/>
  <c r="CZ159" i="5"/>
  <c r="G160" i="5" s="1"/>
  <c r="S160" i="5" s="1"/>
  <c r="CX162" i="5"/>
  <c r="DD132" i="4"/>
  <c r="DE132" i="4" s="1"/>
  <c r="H151" i="4" s="1"/>
  <c r="DH131" i="4"/>
  <c r="I150" i="4" s="1"/>
  <c r="N162" i="5"/>
  <c r="DG134" i="4"/>
  <c r="CR161" i="5"/>
  <c r="CS161" i="5" s="1"/>
  <c r="DF161" i="5"/>
  <c r="DG161" i="5" s="1"/>
  <c r="CU160" i="5"/>
  <c r="CV160" i="5" s="1"/>
  <c r="DI160" i="5"/>
  <c r="DJ160" i="5" s="1"/>
  <c r="DN160" i="5" s="1"/>
  <c r="DW160" i="5"/>
  <c r="DX160" i="5" s="1"/>
  <c r="B163" i="5"/>
  <c r="AA163" i="5"/>
  <c r="BY162" i="5"/>
  <c r="CD162" i="5" s="1"/>
  <c r="DH162" i="5"/>
  <c r="DV162" i="5"/>
  <c r="CT162" i="5"/>
  <c r="AB162" i="5"/>
  <c r="K163" i="5" s="1"/>
  <c r="W163" i="5" s="1"/>
  <c r="CQ162" i="5"/>
  <c r="CP162" i="5"/>
  <c r="CO162" i="5"/>
  <c r="CW161" i="5" s="1"/>
  <c r="CN162" i="5"/>
  <c r="DS162" i="5"/>
  <c r="DQ162" i="5"/>
  <c r="DY161" i="5" s="1"/>
  <c r="DP162" i="5"/>
  <c r="DR162" i="5"/>
  <c r="DE162" i="5"/>
  <c r="DC162" i="5"/>
  <c r="DK161" i="5" s="1"/>
  <c r="DD162" i="5"/>
  <c r="DB162" i="5"/>
  <c r="DB134" i="4"/>
  <c r="DC134" i="4" s="1"/>
  <c r="CU136" i="4"/>
  <c r="W137" i="4"/>
  <c r="C155" i="4"/>
  <c r="DA135" i="4" l="1"/>
  <c r="CK156" i="5"/>
  <c r="CL156" i="5"/>
  <c r="BJ95" i="4"/>
  <c r="BQ95" i="4" s="1"/>
  <c r="BB153" i="5"/>
  <c r="AU154" i="5"/>
  <c r="CC157" i="5"/>
  <c r="CE157" i="5" s="1"/>
  <c r="CH157" i="5" s="1"/>
  <c r="CB158" i="5"/>
  <c r="CJ163" i="5"/>
  <c r="CF163" i="5"/>
  <c r="BB163" i="5"/>
  <c r="AY163" i="5"/>
  <c r="BA163" i="5"/>
  <c r="BE163" i="5"/>
  <c r="BZ163" i="5"/>
  <c r="CG163" i="5" s="1"/>
  <c r="AC137" i="4"/>
  <c r="BD151" i="5"/>
  <c r="BF151" i="5" s="1"/>
  <c r="BC151" i="5"/>
  <c r="BG151" i="5" s="1"/>
  <c r="D152" i="5" s="1"/>
  <c r="P152" i="5" s="1"/>
  <c r="AX152" i="5"/>
  <c r="AZ152" i="5" s="1"/>
  <c r="AW153" i="5"/>
  <c r="CA163" i="5"/>
  <c r="AV163" i="5"/>
  <c r="BN163" i="5"/>
  <c r="BK163" i="5"/>
  <c r="BQ163" i="5"/>
  <c r="BO163" i="5"/>
  <c r="J155" i="4"/>
  <c r="BP152" i="5"/>
  <c r="BM153" i="5"/>
  <c r="BV151" i="5"/>
  <c r="BL153" i="5"/>
  <c r="BT152" i="5" s="1"/>
  <c r="AL163" i="5"/>
  <c r="AQ136" i="4"/>
  <c r="AD136" i="4"/>
  <c r="Z137" i="4"/>
  <c r="E17" i="5"/>
  <c r="E33" i="5" s="1"/>
  <c r="J162" i="5"/>
  <c r="V162" i="5" s="1"/>
  <c r="AF137" i="4"/>
  <c r="AU137" i="4"/>
  <c r="CE137" i="4"/>
  <c r="Y137" i="4"/>
  <c r="AA133" i="4"/>
  <c r="AW130" i="4"/>
  <c r="AE132" i="4"/>
  <c r="AG132" i="4" s="1"/>
  <c r="AB133" i="4"/>
  <c r="BN136" i="4"/>
  <c r="BU163" i="5"/>
  <c r="AK163" i="5"/>
  <c r="AO163" i="5"/>
  <c r="AI163" i="5"/>
  <c r="BY77" i="4"/>
  <c r="CO77" i="4" s="1"/>
  <c r="CP77" i="4" s="1"/>
  <c r="BZ89" i="4"/>
  <c r="CB89" i="4" s="1"/>
  <c r="CC89" i="4"/>
  <c r="BK94" i="4"/>
  <c r="CD93" i="4" s="1"/>
  <c r="BM93" i="4"/>
  <c r="BO93" i="4" s="1"/>
  <c r="BL94" i="4"/>
  <c r="CM77" i="4"/>
  <c r="CN77" i="4" s="1"/>
  <c r="F96" i="4" s="1"/>
  <c r="BR78" i="4"/>
  <c r="BS90" i="4" s="1"/>
  <c r="BT102" i="4" s="1"/>
  <c r="BU114" i="4" s="1"/>
  <c r="AD166" i="5"/>
  <c r="AC167" i="5"/>
  <c r="BJ167" i="5"/>
  <c r="CR162" i="5"/>
  <c r="CS162" i="5" s="1"/>
  <c r="CW136" i="4"/>
  <c r="CX136" i="4" s="1"/>
  <c r="DF136" i="4" s="1"/>
  <c r="CV137" i="4"/>
  <c r="CT137" i="4"/>
  <c r="CZ136" i="4" s="1"/>
  <c r="DA136" i="4" s="1"/>
  <c r="BP137" i="4"/>
  <c r="CY137" i="4"/>
  <c r="CS138" i="4" s="1"/>
  <c r="BI137" i="4"/>
  <c r="X137" i="4"/>
  <c r="K156" i="4" s="1"/>
  <c r="DL163" i="5"/>
  <c r="DZ163" i="5"/>
  <c r="EA161" i="5"/>
  <c r="EB160" i="5"/>
  <c r="I161" i="5" s="1"/>
  <c r="U161" i="5" s="1"/>
  <c r="DM161" i="5"/>
  <c r="H161" i="5"/>
  <c r="T161" i="5" s="1"/>
  <c r="CX163" i="5"/>
  <c r="CY160" i="5"/>
  <c r="CZ160" i="5"/>
  <c r="G161" i="5" s="1"/>
  <c r="S161" i="5" s="1"/>
  <c r="DH132" i="4"/>
  <c r="I151" i="4" s="1"/>
  <c r="DD133" i="4"/>
  <c r="DE133" i="4" s="1"/>
  <c r="H152" i="4" s="1"/>
  <c r="N163" i="5"/>
  <c r="DG135" i="4"/>
  <c r="DI161" i="5"/>
  <c r="DJ161" i="5" s="1"/>
  <c r="DF162" i="5"/>
  <c r="DG162" i="5" s="1"/>
  <c r="DT162" i="5"/>
  <c r="DU162" i="5" s="1"/>
  <c r="CU161" i="5"/>
  <c r="CV161" i="5" s="1"/>
  <c r="DR163" i="5"/>
  <c r="DQ163" i="5"/>
  <c r="DY162" i="5" s="1"/>
  <c r="DP163" i="5"/>
  <c r="DS163" i="5"/>
  <c r="B164" i="5"/>
  <c r="DH163" i="5"/>
  <c r="BY163" i="5"/>
  <c r="CD163" i="5" s="1"/>
  <c r="AA164" i="5"/>
  <c r="DV163" i="5"/>
  <c r="CT163" i="5"/>
  <c r="CU163" i="5"/>
  <c r="AB163" i="5"/>
  <c r="K164" i="5" s="1"/>
  <c r="W164" i="5" s="1"/>
  <c r="DB163" i="5"/>
  <c r="DD163" i="5"/>
  <c r="DE163" i="5"/>
  <c r="DC163" i="5"/>
  <c r="DK162" i="5" s="1"/>
  <c r="DW161" i="5"/>
  <c r="DX161" i="5" s="1"/>
  <c r="EB161" i="5" s="1"/>
  <c r="CP163" i="5"/>
  <c r="CO163" i="5"/>
  <c r="CW162" i="5" s="1"/>
  <c r="CN163" i="5"/>
  <c r="CQ163" i="5"/>
  <c r="DB135" i="4"/>
  <c r="DC135" i="4" s="1"/>
  <c r="CU137" i="4"/>
  <c r="W138" i="4"/>
  <c r="C156" i="4"/>
  <c r="BJ96" i="4" l="1"/>
  <c r="BQ96" i="4" s="1"/>
  <c r="CK157" i="5"/>
  <c r="CL157" i="5"/>
  <c r="BD152" i="5"/>
  <c r="BF152" i="5" s="1"/>
  <c r="BC152" i="5"/>
  <c r="BG152" i="5" s="1"/>
  <c r="D153" i="5" s="1"/>
  <c r="P153" i="5" s="1"/>
  <c r="CC158" i="5"/>
  <c r="CE158" i="5" s="1"/>
  <c r="CH158" i="5" s="1"/>
  <c r="CB159" i="5"/>
  <c r="AX153" i="5"/>
  <c r="AZ153" i="5" s="1"/>
  <c r="AW154" i="5"/>
  <c r="BO164" i="5"/>
  <c r="CF164" i="5"/>
  <c r="CI164" i="5" s="1"/>
  <c r="AY164" i="5"/>
  <c r="BA164" i="5"/>
  <c r="CJ164" i="5"/>
  <c r="BE164" i="5"/>
  <c r="BK164" i="5"/>
  <c r="AC138" i="4"/>
  <c r="BZ164" i="5"/>
  <c r="CG164" i="5" s="1"/>
  <c r="BB154" i="5"/>
  <c r="AU155" i="5"/>
  <c r="CA164" i="5"/>
  <c r="CA165" i="5" s="1"/>
  <c r="J156" i="4"/>
  <c r="Z138" i="4"/>
  <c r="AA134" i="4"/>
  <c r="AT133" i="4" s="1"/>
  <c r="AT132" i="4"/>
  <c r="BQ164" i="5"/>
  <c r="BV152" i="5"/>
  <c r="BL154" i="5"/>
  <c r="BT153" i="5" s="1"/>
  <c r="BM154" i="5"/>
  <c r="BR152" i="5"/>
  <c r="BS152" i="5" s="1"/>
  <c r="BW152" i="5" s="1"/>
  <c r="E153" i="5" s="1"/>
  <c r="Q153" i="5" s="1"/>
  <c r="BJ97" i="4"/>
  <c r="BQ97" i="4" s="1"/>
  <c r="AQ137" i="4"/>
  <c r="AD137" i="4"/>
  <c r="J163" i="5"/>
  <c r="V163" i="5" s="1"/>
  <c r="BN137" i="4"/>
  <c r="AE133" i="4"/>
  <c r="AG133" i="4" s="1"/>
  <c r="AB134" i="4"/>
  <c r="AF138" i="4"/>
  <c r="Y138" i="4"/>
  <c r="AW131" i="4"/>
  <c r="BU164" i="5"/>
  <c r="AI164" i="5"/>
  <c r="AK164" i="5"/>
  <c r="AO164" i="5"/>
  <c r="CQ77" i="4"/>
  <c r="G96" i="4" s="1"/>
  <c r="BL95" i="4"/>
  <c r="BM94" i="4"/>
  <c r="BO94" i="4" s="1"/>
  <c r="F153" i="5"/>
  <c r="R153" i="5" s="1"/>
  <c r="BV78" i="4"/>
  <c r="BX78" i="4" s="1"/>
  <c r="CE78" i="4" s="1"/>
  <c r="BK95" i="4"/>
  <c r="CD94" i="4" s="1"/>
  <c r="AD167" i="5"/>
  <c r="AC168" i="5"/>
  <c r="BJ168" i="5"/>
  <c r="DF163" i="5"/>
  <c r="DG163" i="5" s="1"/>
  <c r="DE164" i="5" s="1"/>
  <c r="A153" i="5"/>
  <c r="CW137" i="4"/>
  <c r="CX137" i="4" s="1"/>
  <c r="DF137" i="4" s="1"/>
  <c r="CA137" i="4"/>
  <c r="CT138" i="4"/>
  <c r="CZ137" i="4" s="1"/>
  <c r="DA137" i="4" s="1"/>
  <c r="CV138" i="4"/>
  <c r="BP138" i="4"/>
  <c r="DF138" i="4"/>
  <c r="CY138" i="4"/>
  <c r="BI138" i="4"/>
  <c r="X138" i="4"/>
  <c r="K157" i="4" s="1"/>
  <c r="DL164" i="5"/>
  <c r="DZ164" i="5"/>
  <c r="EA162" i="5"/>
  <c r="I162" i="5"/>
  <c r="U162" i="5" s="1"/>
  <c r="DM162" i="5"/>
  <c r="DN161" i="5"/>
  <c r="H162" i="5" s="1"/>
  <c r="T162" i="5" s="1"/>
  <c r="CY161" i="5"/>
  <c r="CZ161" i="5"/>
  <c r="G162" i="5" s="1"/>
  <c r="S162" i="5" s="1"/>
  <c r="CX164" i="5"/>
  <c r="DD134" i="4"/>
  <c r="DE134" i="4" s="1"/>
  <c r="H153" i="4" s="1"/>
  <c r="DH133" i="4"/>
  <c r="I152" i="4" s="1"/>
  <c r="N164" i="5"/>
  <c r="DG136" i="4"/>
  <c r="DW162" i="5"/>
  <c r="DX162" i="5" s="1"/>
  <c r="EB162" i="5" s="1"/>
  <c r="DT163" i="5"/>
  <c r="DU163" i="5" s="1"/>
  <c r="DS164" i="5" s="1"/>
  <c r="CR163" i="5"/>
  <c r="CS163" i="5" s="1"/>
  <c r="CV163" i="5" s="1"/>
  <c r="CN164" i="5" s="1"/>
  <c r="DR164" i="5"/>
  <c r="DQ164" i="5"/>
  <c r="DY163" i="5" s="1"/>
  <c r="DP164" i="5"/>
  <c r="CU162" i="5"/>
  <c r="CV162" i="5" s="1"/>
  <c r="B165" i="5"/>
  <c r="DH164" i="5"/>
  <c r="BY164" i="5"/>
  <c r="CD164" i="5" s="1"/>
  <c r="CR164" i="5"/>
  <c r="DV164" i="5"/>
  <c r="CT164" i="5"/>
  <c r="AA165" i="5"/>
  <c r="AB164" i="5"/>
  <c r="K165" i="5" s="1"/>
  <c r="W165" i="5" s="1"/>
  <c r="DI162" i="5"/>
  <c r="DJ162" i="5" s="1"/>
  <c r="DC164" i="5"/>
  <c r="DK163" i="5" s="1"/>
  <c r="DD164" i="5"/>
  <c r="DB164" i="5"/>
  <c r="DB136" i="4"/>
  <c r="DC136" i="4" s="1"/>
  <c r="CU138" i="4"/>
  <c r="W139" i="4"/>
  <c r="C157" i="4"/>
  <c r="AA135" i="4" l="1"/>
  <c r="AT134" i="4" s="1"/>
  <c r="CL158" i="5"/>
  <c r="CK158" i="5"/>
  <c r="Z139" i="4"/>
  <c r="BZ165" i="5"/>
  <c r="CG165" i="5" s="1"/>
  <c r="BO165" i="5"/>
  <c r="BA165" i="5"/>
  <c r="AY165" i="5"/>
  <c r="CF165" i="5"/>
  <c r="CI165" i="5" s="1"/>
  <c r="CJ165" i="5"/>
  <c r="BE165" i="5"/>
  <c r="BB155" i="5"/>
  <c r="AU156" i="5"/>
  <c r="AX154" i="5"/>
  <c r="AZ154" i="5" s="1"/>
  <c r="AW155" i="5"/>
  <c r="BK165" i="5"/>
  <c r="BD153" i="5"/>
  <c r="BF153" i="5" s="1"/>
  <c r="BC153" i="5"/>
  <c r="BG153" i="5" s="1"/>
  <c r="D154" i="5" s="1"/>
  <c r="P154" i="5" s="1"/>
  <c r="CC159" i="5"/>
  <c r="CE159" i="5" s="1"/>
  <c r="CH159" i="5" s="1"/>
  <c r="CB160" i="5"/>
  <c r="J157" i="4"/>
  <c r="T34" i="4" s="1"/>
  <c r="BP153" i="5"/>
  <c r="BR153" i="5" s="1"/>
  <c r="BS153" i="5" s="1"/>
  <c r="BW153" i="5" s="1"/>
  <c r="E154" i="5" s="1"/>
  <c r="Q154" i="5" s="1"/>
  <c r="BQ165" i="5"/>
  <c r="BJ98" i="4"/>
  <c r="BQ98" i="4" s="1"/>
  <c r="BM155" i="5"/>
  <c r="BV153" i="5"/>
  <c r="BL155" i="5"/>
  <c r="BT154" i="5" s="1"/>
  <c r="J164" i="5"/>
  <c r="V164" i="5" s="1"/>
  <c r="AQ138" i="4"/>
  <c r="AD138" i="4"/>
  <c r="AF139" i="4"/>
  <c r="AU139" i="4"/>
  <c r="CE139" i="4"/>
  <c r="Y139" i="4"/>
  <c r="BN138" i="4"/>
  <c r="AW133" i="4"/>
  <c r="AE134" i="4"/>
  <c r="AG134" i="4" s="1"/>
  <c r="AB135" i="4"/>
  <c r="BU165" i="5"/>
  <c r="AK165" i="5"/>
  <c r="AO165" i="5"/>
  <c r="AI165" i="5"/>
  <c r="BK96" i="4"/>
  <c r="CD95" i="4" s="1"/>
  <c r="BM95" i="4"/>
  <c r="BO95" i="4" s="1"/>
  <c r="BL96" i="4"/>
  <c r="BZ90" i="4"/>
  <c r="CB90" i="4" s="1"/>
  <c r="CC90" i="4"/>
  <c r="BY78" i="4"/>
  <c r="CO78" i="4" s="1"/>
  <c r="CF78" i="4"/>
  <c r="CG78" i="4" s="1"/>
  <c r="CK78" i="4"/>
  <c r="CL78" i="4" s="1"/>
  <c r="F154" i="5"/>
  <c r="R154" i="5" s="1"/>
  <c r="AD168" i="5"/>
  <c r="AC169" i="5"/>
  <c r="BJ169" i="5"/>
  <c r="N165" i="5"/>
  <c r="CW138" i="4"/>
  <c r="CX138" i="4" s="1"/>
  <c r="CA138" i="4"/>
  <c r="BP139" i="4"/>
  <c r="CY139" i="4"/>
  <c r="CW139" i="4"/>
  <c r="BI139" i="4"/>
  <c r="CA139" i="4" s="1"/>
  <c r="X139" i="4"/>
  <c r="K158" i="4" s="1"/>
  <c r="DL165" i="5"/>
  <c r="DZ165" i="5"/>
  <c r="EA163" i="5"/>
  <c r="I163" i="5"/>
  <c r="U163" i="5" s="1"/>
  <c r="DM163" i="5"/>
  <c r="DN162" i="5"/>
  <c r="H163" i="5" s="1"/>
  <c r="T163" i="5" s="1"/>
  <c r="CX165" i="5"/>
  <c r="CY162" i="5"/>
  <c r="CZ162" i="5"/>
  <c r="G163" i="5" s="1"/>
  <c r="S163" i="5" s="1"/>
  <c r="DD135" i="4"/>
  <c r="DE135" i="4" s="1"/>
  <c r="H154" i="4" s="1"/>
  <c r="DH134" i="4"/>
  <c r="I153" i="4" s="1"/>
  <c r="DF164" i="5"/>
  <c r="DG164" i="5" s="1"/>
  <c r="CP164" i="5"/>
  <c r="CQ164" i="5" s="1"/>
  <c r="CS164" i="5" s="1"/>
  <c r="CO164" i="5"/>
  <c r="CW163" i="5" s="1"/>
  <c r="B166" i="5"/>
  <c r="DV165" i="5"/>
  <c r="CT165" i="5"/>
  <c r="CR165" i="5"/>
  <c r="DH165" i="5"/>
  <c r="BY165" i="5"/>
  <c r="CD165" i="5" s="1"/>
  <c r="AA166" i="5"/>
  <c r="AB165" i="5"/>
  <c r="K166" i="5" s="1"/>
  <c r="W166" i="5" s="1"/>
  <c r="CN165" i="5"/>
  <c r="DT164" i="5"/>
  <c r="DU164" i="5" s="1"/>
  <c r="DS165" i="5"/>
  <c r="DR165" i="5"/>
  <c r="DP165" i="5"/>
  <c r="DQ165" i="5"/>
  <c r="DY164" i="5" s="1"/>
  <c r="DD165" i="5"/>
  <c r="DB165" i="5"/>
  <c r="DE165" i="5"/>
  <c r="DC165" i="5"/>
  <c r="DK164" i="5" s="1"/>
  <c r="DI163" i="5"/>
  <c r="DJ163" i="5" s="1"/>
  <c r="DN163" i="5" s="1"/>
  <c r="DW163" i="5"/>
  <c r="DX163" i="5" s="1"/>
  <c r="DG137" i="4"/>
  <c r="DB137" i="4"/>
  <c r="DC137" i="4" s="1"/>
  <c r="W140" i="4"/>
  <c r="C158" i="4"/>
  <c r="B157" i="4" s="1"/>
  <c r="AA136" i="4" l="1"/>
  <c r="AT135" i="4" s="1"/>
  <c r="CA166" i="5"/>
  <c r="CL159" i="5"/>
  <c r="CK159" i="5"/>
  <c r="BK166" i="5"/>
  <c r="AX155" i="5"/>
  <c r="AZ155" i="5" s="1"/>
  <c r="AW156" i="5"/>
  <c r="BD154" i="5"/>
  <c r="BF154" i="5" s="1"/>
  <c r="BC154" i="5"/>
  <c r="BG154" i="5" s="1"/>
  <c r="D155" i="5" s="1"/>
  <c r="P155" i="5" s="1"/>
  <c r="BO166" i="5"/>
  <c r="CF166" i="5"/>
  <c r="BA166" i="5"/>
  <c r="BE166" i="5"/>
  <c r="CJ166" i="5"/>
  <c r="AY166" i="5"/>
  <c r="CC160" i="5"/>
  <c r="CE160" i="5" s="1"/>
  <c r="CH160" i="5" s="1"/>
  <c r="CB161" i="5"/>
  <c r="BB156" i="5"/>
  <c r="AU157" i="5"/>
  <c r="BZ166" i="5"/>
  <c r="CG166" i="5" s="1"/>
  <c r="BP154" i="5"/>
  <c r="BR154" i="5" s="1"/>
  <c r="BS154" i="5" s="1"/>
  <c r="BW154" i="5" s="1"/>
  <c r="E155" i="5" s="1"/>
  <c r="Q155" i="5" s="1"/>
  <c r="BJ99" i="4"/>
  <c r="BQ99" i="4" s="1"/>
  <c r="BQ166" i="5"/>
  <c r="BL156" i="5"/>
  <c r="BT155" i="5" s="1"/>
  <c r="BV154" i="5"/>
  <c r="BM156" i="5"/>
  <c r="J165" i="5"/>
  <c r="V165" i="5" s="1"/>
  <c r="AQ139" i="4"/>
  <c r="AD139" i="4"/>
  <c r="BN139" i="4"/>
  <c r="CE140" i="4"/>
  <c r="AF140" i="4"/>
  <c r="AU140" i="4"/>
  <c r="Y140" i="4"/>
  <c r="AE135" i="4"/>
  <c r="AG135" i="4" s="1"/>
  <c r="AB136" i="4"/>
  <c r="AA137" i="4"/>
  <c r="AT136" i="4" s="1"/>
  <c r="AW134" i="4"/>
  <c r="Z140" i="4"/>
  <c r="BU166" i="5"/>
  <c r="AK166" i="5"/>
  <c r="AO166" i="5"/>
  <c r="AI166" i="5"/>
  <c r="F155" i="5"/>
  <c r="R155" i="5" s="1"/>
  <c r="BK97" i="4"/>
  <c r="CD96" i="4" s="1"/>
  <c r="CM78" i="4"/>
  <c r="CP78" i="4"/>
  <c r="CH78" i="4"/>
  <c r="CI78" i="4" s="1"/>
  <c r="CJ78" i="4" s="1"/>
  <c r="CF79" i="4" s="1"/>
  <c r="BM96" i="4"/>
  <c r="BO96" i="4" s="1"/>
  <c r="BL97" i="4"/>
  <c r="AD169" i="5"/>
  <c r="AC170" i="5"/>
  <c r="BJ170" i="5"/>
  <c r="DT165" i="5"/>
  <c r="DU165" i="5" s="1"/>
  <c r="J158" i="4"/>
  <c r="CY140" i="4"/>
  <c r="BP140" i="4"/>
  <c r="CW140" i="4"/>
  <c r="BI140" i="4"/>
  <c r="BN140" i="4" s="1"/>
  <c r="X140" i="4"/>
  <c r="K159" i="4" s="1"/>
  <c r="DL166" i="5"/>
  <c r="DZ166" i="5"/>
  <c r="EA164" i="5"/>
  <c r="EB163" i="5"/>
  <c r="I164" i="5" s="1"/>
  <c r="U164" i="5" s="1"/>
  <c r="DM164" i="5"/>
  <c r="H164" i="5"/>
  <c r="T164" i="5" s="1"/>
  <c r="CZ163" i="5"/>
  <c r="G164" i="5" s="1"/>
  <c r="S164" i="5" s="1"/>
  <c r="CY163" i="5"/>
  <c r="CX166" i="5"/>
  <c r="DD136" i="4"/>
  <c r="DE136" i="4" s="1"/>
  <c r="H155" i="4" s="1"/>
  <c r="DH135" i="4"/>
  <c r="I154" i="4" s="1"/>
  <c r="N166" i="5"/>
  <c r="DG138" i="4"/>
  <c r="CS139" i="4"/>
  <c r="CQ165" i="5"/>
  <c r="CS165" i="5" s="1"/>
  <c r="CP165" i="5"/>
  <c r="CP166" i="5" s="1"/>
  <c r="DW164" i="5"/>
  <c r="DX164" i="5" s="1"/>
  <c r="DE166" i="5"/>
  <c r="DC166" i="5"/>
  <c r="DK165" i="5" s="1"/>
  <c r="DB166" i="5"/>
  <c r="DD166" i="5"/>
  <c r="DS166" i="5"/>
  <c r="DQ166" i="5"/>
  <c r="DY165" i="5" s="1"/>
  <c r="DR166" i="5"/>
  <c r="DP166" i="5"/>
  <c r="CO165" i="5"/>
  <c r="CW164" i="5" s="1"/>
  <c r="DI164" i="5"/>
  <c r="DJ164" i="5" s="1"/>
  <c r="DN164" i="5" s="1"/>
  <c r="DF165" i="5"/>
  <c r="DG165" i="5" s="1"/>
  <c r="B167" i="5"/>
  <c r="CR166" i="5"/>
  <c r="CT166" i="5"/>
  <c r="AA167" i="5"/>
  <c r="DH166" i="5"/>
  <c r="BY166" i="5"/>
  <c r="CD166" i="5" s="1"/>
  <c r="DV166" i="5"/>
  <c r="AB166" i="5"/>
  <c r="K167" i="5" s="1"/>
  <c r="W167" i="5" s="1"/>
  <c r="CN166" i="5"/>
  <c r="CU164" i="5"/>
  <c r="CV164" i="5" s="1"/>
  <c r="DB138" i="4"/>
  <c r="DC138" i="4" s="1"/>
  <c r="W141" i="4"/>
  <c r="C159" i="4"/>
  <c r="BK167" i="5" l="1"/>
  <c r="CA167" i="5"/>
  <c r="CI166" i="5"/>
  <c r="CL160" i="5"/>
  <c r="CK160" i="5"/>
  <c r="BB157" i="5"/>
  <c r="AU158" i="5"/>
  <c r="CC161" i="5"/>
  <c r="CE161" i="5" s="1"/>
  <c r="CH161" i="5" s="1"/>
  <c r="CB162" i="5"/>
  <c r="AX156" i="5"/>
  <c r="AZ156" i="5" s="1"/>
  <c r="AW157" i="5"/>
  <c r="BZ167" i="5"/>
  <c r="CG167" i="5" s="1"/>
  <c r="BD155" i="5"/>
  <c r="BF155" i="5" s="1"/>
  <c r="BC155" i="5"/>
  <c r="BG155" i="5" s="1"/>
  <c r="D156" i="5" s="1"/>
  <c r="P156" i="5" s="1"/>
  <c r="BO167" i="5"/>
  <c r="CF167" i="5"/>
  <c r="CI167" i="5" s="1"/>
  <c r="CJ167" i="5"/>
  <c r="BA167" i="5"/>
  <c r="AY167" i="5"/>
  <c r="BE167" i="5"/>
  <c r="BJ100" i="4"/>
  <c r="BQ100" i="4" s="1"/>
  <c r="BP155" i="5"/>
  <c r="BR155" i="5" s="1"/>
  <c r="BS155" i="5" s="1"/>
  <c r="BW155" i="5" s="1"/>
  <c r="E156" i="5" s="1"/>
  <c r="Q156" i="5" s="1"/>
  <c r="J166" i="5"/>
  <c r="V166" i="5" s="1"/>
  <c r="BQ167" i="5"/>
  <c r="BK168" i="5" s="1"/>
  <c r="BM157" i="5"/>
  <c r="BL157" i="5"/>
  <c r="BT156" i="5" s="1"/>
  <c r="BV155" i="5"/>
  <c r="AQ140" i="4"/>
  <c r="AD140" i="4"/>
  <c r="Z141" i="4"/>
  <c r="AE136" i="4"/>
  <c r="AG136" i="4" s="1"/>
  <c r="AB137" i="4"/>
  <c r="AW135" i="4"/>
  <c r="AF141" i="4"/>
  <c r="AU141" i="4"/>
  <c r="CE141" i="4"/>
  <c r="Y141" i="4"/>
  <c r="AA138" i="4"/>
  <c r="AT137" i="4" s="1"/>
  <c r="AK167" i="5"/>
  <c r="BU167" i="5"/>
  <c r="AO167" i="5"/>
  <c r="AI167" i="5"/>
  <c r="CQ78" i="4"/>
  <c r="G97" i="4" s="1"/>
  <c r="CN78" i="4"/>
  <c r="F97" i="4" s="1"/>
  <c r="BR79" i="4"/>
  <c r="BS91" i="4" s="1"/>
  <c r="BT103" i="4" s="1"/>
  <c r="BU115" i="4" s="1"/>
  <c r="BM97" i="4"/>
  <c r="BO97" i="4" s="1"/>
  <c r="BL98" i="4"/>
  <c r="CG79" i="4"/>
  <c r="CH79" i="4" s="1"/>
  <c r="CI79" i="4" s="1"/>
  <c r="CJ79" i="4" s="1"/>
  <c r="CF80" i="4" s="1"/>
  <c r="BK98" i="4"/>
  <c r="CD97" i="4" s="1"/>
  <c r="F156" i="5"/>
  <c r="R156" i="5" s="1"/>
  <c r="AD170" i="5"/>
  <c r="AC171" i="5"/>
  <c r="BJ171" i="5"/>
  <c r="DF166" i="5"/>
  <c r="DG166" i="5" s="1"/>
  <c r="J159" i="4"/>
  <c r="BP141" i="4"/>
  <c r="CW141" i="4"/>
  <c r="CY141" i="4"/>
  <c r="BI141" i="4"/>
  <c r="CA141" i="4" s="1"/>
  <c r="X141" i="4"/>
  <c r="K160" i="4" s="1"/>
  <c r="CA140" i="4"/>
  <c r="DL167" i="5"/>
  <c r="DZ167" i="5"/>
  <c r="EB164" i="5"/>
  <c r="I165" i="5" s="1"/>
  <c r="U165" i="5" s="1"/>
  <c r="EA165" i="5"/>
  <c r="H165" i="5"/>
  <c r="T165" i="5" s="1"/>
  <c r="DM165" i="5"/>
  <c r="CY164" i="5"/>
  <c r="CZ164" i="5"/>
  <c r="G165" i="5" s="1"/>
  <c r="S165" i="5" s="1"/>
  <c r="CX167" i="5"/>
  <c r="DD137" i="4"/>
  <c r="DE137" i="4" s="1"/>
  <c r="H156" i="4" s="1"/>
  <c r="DH136" i="4"/>
  <c r="I155" i="4" s="1"/>
  <c r="N167" i="5"/>
  <c r="CS140" i="4"/>
  <c r="CS141" i="4" s="1"/>
  <c r="CT139" i="4"/>
  <c r="CT140" i="4" s="1"/>
  <c r="CT141" i="4" s="1"/>
  <c r="CQ166" i="5"/>
  <c r="CS166" i="5" s="1"/>
  <c r="CU165" i="5"/>
  <c r="CV165" i="5" s="1"/>
  <c r="DT166" i="5"/>
  <c r="DU166" i="5" s="1"/>
  <c r="CO166" i="5"/>
  <c r="CW165" i="5" s="1"/>
  <c r="DI165" i="5"/>
  <c r="DJ165" i="5" s="1"/>
  <c r="DE167" i="5"/>
  <c r="DD167" i="5"/>
  <c r="DB167" i="5"/>
  <c r="DC167" i="5"/>
  <c r="DK166" i="5" s="1"/>
  <c r="B168" i="5"/>
  <c r="CR167" i="5"/>
  <c r="BY167" i="5"/>
  <c r="CD167" i="5" s="1"/>
  <c r="DV167" i="5"/>
  <c r="CT167" i="5"/>
  <c r="DH167" i="5"/>
  <c r="AA168" i="5"/>
  <c r="AB167" i="5"/>
  <c r="K168" i="5" s="1"/>
  <c r="W168" i="5" s="1"/>
  <c r="DW165" i="5"/>
  <c r="DX165" i="5" s="1"/>
  <c r="EB165" i="5" s="1"/>
  <c r="CP167" i="5"/>
  <c r="CN167" i="5"/>
  <c r="DS167" i="5"/>
  <c r="DQ167" i="5"/>
  <c r="DY166" i="5" s="1"/>
  <c r="DR167" i="5"/>
  <c r="DP167" i="5"/>
  <c r="CU139" i="4"/>
  <c r="W142" i="4"/>
  <c r="C160" i="4"/>
  <c r="CK161" i="5" l="1"/>
  <c r="CL161" i="5"/>
  <c r="BO168" i="5"/>
  <c r="CJ168" i="5"/>
  <c r="AY168" i="5"/>
  <c r="CF168" i="5"/>
  <c r="CI168" i="5" s="1"/>
  <c r="BA168" i="5"/>
  <c r="BE168" i="5"/>
  <c r="CC162" i="5"/>
  <c r="CE162" i="5" s="1"/>
  <c r="CH162" i="5" s="1"/>
  <c r="CB163" i="5"/>
  <c r="BB158" i="5"/>
  <c r="AU159" i="5"/>
  <c r="BZ168" i="5"/>
  <c r="CG168" i="5" s="1"/>
  <c r="AX157" i="5"/>
  <c r="AZ157" i="5" s="1"/>
  <c r="AW158" i="5"/>
  <c r="BD156" i="5"/>
  <c r="BF156" i="5" s="1"/>
  <c r="BC156" i="5"/>
  <c r="BG156" i="5" s="1"/>
  <c r="D157" i="5" s="1"/>
  <c r="P157" i="5" s="1"/>
  <c r="CA168" i="5"/>
  <c r="BJ101" i="4"/>
  <c r="BQ101" i="4" s="1"/>
  <c r="J167" i="5"/>
  <c r="V167" i="5" s="1"/>
  <c r="BP156" i="5"/>
  <c r="BR156" i="5" s="1"/>
  <c r="BS156" i="5" s="1"/>
  <c r="BW156" i="5" s="1"/>
  <c r="E157" i="5" s="1"/>
  <c r="Q157" i="5" s="1"/>
  <c r="BQ168" i="5"/>
  <c r="BK169" i="5" s="1"/>
  <c r="BV156" i="5"/>
  <c r="BL158" i="5"/>
  <c r="BT157" i="5" s="1"/>
  <c r="BM158" i="5"/>
  <c r="AQ141" i="4"/>
  <c r="AD141" i="4"/>
  <c r="AA139" i="4"/>
  <c r="AW136" i="4"/>
  <c r="Z142" i="4"/>
  <c r="AE137" i="4"/>
  <c r="AG137" i="4" s="1"/>
  <c r="AB138" i="4"/>
  <c r="AF142" i="4"/>
  <c r="AU142" i="4"/>
  <c r="CE142" i="4"/>
  <c r="Y142" i="4"/>
  <c r="BN141" i="4"/>
  <c r="BU168" i="5"/>
  <c r="AK168" i="5"/>
  <c r="AO168" i="5"/>
  <c r="AI168" i="5"/>
  <c r="CG80" i="4"/>
  <c r="CH80" i="4" s="1"/>
  <c r="CI80" i="4" s="1"/>
  <c r="CJ80" i="4" s="1"/>
  <c r="CF81" i="4" s="1"/>
  <c r="BR80" i="4"/>
  <c r="BS92" i="4" s="1"/>
  <c r="BT104" i="4" s="1"/>
  <c r="BU116" i="4" s="1"/>
  <c r="F157" i="5"/>
  <c r="R157" i="5" s="1"/>
  <c r="BM98" i="4"/>
  <c r="BO98" i="4" s="1"/>
  <c r="BL99" i="4"/>
  <c r="BV79" i="4"/>
  <c r="BX79" i="4" s="1"/>
  <c r="CK79" i="4" s="1"/>
  <c r="CL79" i="4" s="1"/>
  <c r="BK99" i="4"/>
  <c r="CD98" i="4" s="1"/>
  <c r="AD171" i="5"/>
  <c r="AC172" i="5"/>
  <c r="BJ172" i="5"/>
  <c r="DF167" i="5"/>
  <c r="DG167" i="5" s="1"/>
  <c r="J160" i="4"/>
  <c r="CT142" i="4"/>
  <c r="CS142" i="4"/>
  <c r="DD138" i="4"/>
  <c r="DH138" i="4" s="1"/>
  <c r="I157" i="4" s="1"/>
  <c r="DH137" i="4"/>
  <c r="I156" i="4" s="1"/>
  <c r="CY142" i="4"/>
  <c r="CW142" i="4"/>
  <c r="BP142" i="4"/>
  <c r="BI142" i="4"/>
  <c r="CA142" i="4" s="1"/>
  <c r="X142" i="4"/>
  <c r="K161" i="4" s="1"/>
  <c r="CO167" i="5"/>
  <c r="CW166" i="5" s="1"/>
  <c r="DL168" i="5"/>
  <c r="DZ168" i="5"/>
  <c r="EA166" i="5"/>
  <c r="I166" i="5"/>
  <c r="U166" i="5" s="1"/>
  <c r="DM166" i="5"/>
  <c r="DN165" i="5"/>
  <c r="H166" i="5" s="1"/>
  <c r="T166" i="5" s="1"/>
  <c r="CX168" i="5"/>
  <c r="CZ165" i="5"/>
  <c r="G166" i="5" s="1"/>
  <c r="S166" i="5" s="1"/>
  <c r="CY165" i="5"/>
  <c r="CZ138" i="4"/>
  <c r="DA138" i="4" s="1"/>
  <c r="N168" i="5"/>
  <c r="CV139" i="4"/>
  <c r="CV140" i="4" s="1"/>
  <c r="CV141" i="4" s="1"/>
  <c r="CV142" i="4" s="1"/>
  <c r="CQ167" i="5"/>
  <c r="CS167" i="5" s="1"/>
  <c r="CZ139" i="4"/>
  <c r="DB168" i="5"/>
  <c r="DE168" i="5"/>
  <c r="DC168" i="5"/>
  <c r="DK167" i="5" s="1"/>
  <c r="DD168" i="5"/>
  <c r="CN168" i="5"/>
  <c r="CP168" i="5"/>
  <c r="DT167" i="5"/>
  <c r="DU167" i="5" s="1"/>
  <c r="DP168" i="5"/>
  <c r="DR168" i="5"/>
  <c r="DS168" i="5"/>
  <c r="DQ168" i="5"/>
  <c r="DY167" i="5" s="1"/>
  <c r="B169" i="5"/>
  <c r="CR168" i="5"/>
  <c r="DH168" i="5"/>
  <c r="BY168" i="5"/>
  <c r="CD168" i="5" s="1"/>
  <c r="CT168" i="5"/>
  <c r="DV168" i="5"/>
  <c r="AA169" i="5"/>
  <c r="AB168" i="5"/>
  <c r="K169" i="5" s="1"/>
  <c r="W169" i="5" s="1"/>
  <c r="CU166" i="5"/>
  <c r="CV166" i="5" s="1"/>
  <c r="DI166" i="5"/>
  <c r="DJ166" i="5" s="1"/>
  <c r="DW166" i="5"/>
  <c r="DX166" i="5" s="1"/>
  <c r="CU140" i="4"/>
  <c r="CU141" i="4" s="1"/>
  <c r="CU142" i="4" s="1"/>
  <c r="W143" i="4"/>
  <c r="C161" i="4"/>
  <c r="CL162" i="5" l="1"/>
  <c r="CK162" i="5"/>
  <c r="AX158" i="5"/>
  <c r="AZ158" i="5" s="1"/>
  <c r="AW159" i="5"/>
  <c r="CC163" i="5"/>
  <c r="CE163" i="5" s="1"/>
  <c r="CI163" i="5" s="1"/>
  <c r="CB164" i="5"/>
  <c r="BZ169" i="5"/>
  <c r="CG169" i="5" s="1"/>
  <c r="BO169" i="5"/>
  <c r="BA169" i="5"/>
  <c r="AY169" i="5"/>
  <c r="CJ169" i="5"/>
  <c r="CF169" i="5"/>
  <c r="CI169" i="5" s="1"/>
  <c r="BE169" i="5"/>
  <c r="BD157" i="5"/>
  <c r="BF157" i="5" s="1"/>
  <c r="BC157" i="5"/>
  <c r="BG157" i="5" s="1"/>
  <c r="D158" i="5" s="1"/>
  <c r="P158" i="5" s="1"/>
  <c r="CA169" i="5"/>
  <c r="BB159" i="5"/>
  <c r="AU160" i="5"/>
  <c r="BJ102" i="4"/>
  <c r="BQ102" i="4" s="1"/>
  <c r="J168" i="5"/>
  <c r="V168" i="5" s="1"/>
  <c r="AA140" i="4"/>
  <c r="AT139" i="4" s="1"/>
  <c r="AT138" i="4"/>
  <c r="BP157" i="5"/>
  <c r="BR157" i="5" s="1"/>
  <c r="BS157" i="5" s="1"/>
  <c r="BW157" i="5" s="1"/>
  <c r="E158" i="5" s="1"/>
  <c r="Q158" i="5" s="1"/>
  <c r="BQ169" i="5"/>
  <c r="BK170" i="5" s="1"/>
  <c r="BM159" i="5"/>
  <c r="BP158" i="5"/>
  <c r="BL159" i="5"/>
  <c r="BT158" i="5" s="1"/>
  <c r="BV157" i="5"/>
  <c r="AQ142" i="4"/>
  <c r="AD142" i="4"/>
  <c r="BN142" i="4"/>
  <c r="AW137" i="4"/>
  <c r="AF143" i="4"/>
  <c r="CE143" i="4"/>
  <c r="AU143" i="4"/>
  <c r="Y143" i="4"/>
  <c r="Z143" i="4"/>
  <c r="AE138" i="4"/>
  <c r="AB139" i="4"/>
  <c r="BU169" i="5"/>
  <c r="AK169" i="5"/>
  <c r="AO169" i="5"/>
  <c r="AI169" i="5"/>
  <c r="CG81" i="4"/>
  <c r="CC91" i="4"/>
  <c r="BZ91" i="4"/>
  <c r="CB91" i="4" s="1"/>
  <c r="F158" i="5"/>
  <c r="R158" i="5" s="1"/>
  <c r="BK100" i="4"/>
  <c r="CD99" i="4" s="1"/>
  <c r="BR81" i="4"/>
  <c r="BS93" i="4" s="1"/>
  <c r="BT105" i="4" s="1"/>
  <c r="BU117" i="4" s="1"/>
  <c r="BY79" i="4"/>
  <c r="CO79" i="4" s="1"/>
  <c r="CP79" i="4" s="1"/>
  <c r="BM99" i="4"/>
  <c r="BO99" i="4" s="1"/>
  <c r="BL100" i="4"/>
  <c r="BV80" i="4"/>
  <c r="BX80" i="4" s="1"/>
  <c r="CK80" i="4" s="1"/>
  <c r="CL80" i="4" s="1"/>
  <c r="CM79" i="4"/>
  <c r="CN79" i="4" s="1"/>
  <c r="F98" i="4" s="1"/>
  <c r="AD172" i="5"/>
  <c r="AC173" i="5"/>
  <c r="BJ173" i="5"/>
  <c r="DF168" i="5"/>
  <c r="DG168" i="5" s="1"/>
  <c r="DE138" i="4"/>
  <c r="H157" i="4" s="1"/>
  <c r="J161" i="4"/>
  <c r="CT143" i="4"/>
  <c r="CV143" i="4"/>
  <c r="CO168" i="5"/>
  <c r="CW167" i="5" s="1"/>
  <c r="CY143" i="4"/>
  <c r="CW143" i="4"/>
  <c r="BP143" i="4"/>
  <c r="BI143" i="4"/>
  <c r="CA143" i="4" s="1"/>
  <c r="X143" i="4"/>
  <c r="K162" i="4" s="1"/>
  <c r="CS143" i="4"/>
  <c r="DL169" i="5"/>
  <c r="DZ169" i="5"/>
  <c r="EA167" i="5"/>
  <c r="EB166" i="5"/>
  <c r="I167" i="5" s="1"/>
  <c r="U167" i="5" s="1"/>
  <c r="DM167" i="5"/>
  <c r="DN166" i="5"/>
  <c r="H167" i="5" s="1"/>
  <c r="T167" i="5" s="1"/>
  <c r="CZ166" i="5"/>
  <c r="G167" i="5" s="1"/>
  <c r="S167" i="5" s="1"/>
  <c r="CY166" i="5"/>
  <c r="CX169" i="5"/>
  <c r="DA139" i="4"/>
  <c r="N169" i="5"/>
  <c r="CX140" i="4"/>
  <c r="DF140" i="4" s="1"/>
  <c r="CX139" i="4"/>
  <c r="DF139" i="4" s="1"/>
  <c r="CQ168" i="5"/>
  <c r="CQ169" i="5" s="1"/>
  <c r="CZ140" i="4"/>
  <c r="DW167" i="5"/>
  <c r="DX167" i="5" s="1"/>
  <c r="EB167" i="5" s="1"/>
  <c r="B170" i="5"/>
  <c r="AA170" i="5"/>
  <c r="DV169" i="5"/>
  <c r="CT169" i="5"/>
  <c r="CR169" i="5"/>
  <c r="DH169" i="5"/>
  <c r="BY169" i="5"/>
  <c r="CD169" i="5" s="1"/>
  <c r="AB169" i="5"/>
  <c r="K170" i="5" s="1"/>
  <c r="W170" i="5" s="1"/>
  <c r="DP169" i="5"/>
  <c r="DR169" i="5"/>
  <c r="DQ169" i="5"/>
  <c r="DY168" i="5" s="1"/>
  <c r="DS169" i="5"/>
  <c r="CN169" i="5"/>
  <c r="CP169" i="5"/>
  <c r="DT168" i="5"/>
  <c r="DU168" i="5" s="1"/>
  <c r="DD169" i="5"/>
  <c r="DC169" i="5"/>
  <c r="DK168" i="5" s="1"/>
  <c r="DB169" i="5"/>
  <c r="DE169" i="5"/>
  <c r="DI167" i="5"/>
  <c r="DJ167" i="5" s="1"/>
  <c r="DN167" i="5" s="1"/>
  <c r="CU167" i="5"/>
  <c r="CV167" i="5" s="1"/>
  <c r="CX141" i="4"/>
  <c r="DF141" i="4" s="1"/>
  <c r="CU143" i="4"/>
  <c r="W144" i="4"/>
  <c r="C162" i="4"/>
  <c r="CA170" i="5" l="1"/>
  <c r="AA141" i="4"/>
  <c r="AT140" i="4" s="1"/>
  <c r="BB160" i="5"/>
  <c r="AU161" i="5"/>
  <c r="CC164" i="5"/>
  <c r="CE164" i="5" s="1"/>
  <c r="CH164" i="5" s="1"/>
  <c r="CB165" i="5"/>
  <c r="BZ170" i="5"/>
  <c r="CG170" i="5" s="1"/>
  <c r="CK163" i="5"/>
  <c r="CH163" i="5"/>
  <c r="CL163" i="5" s="1"/>
  <c r="AX159" i="5"/>
  <c r="AZ159" i="5" s="1"/>
  <c r="AW160" i="5"/>
  <c r="BO170" i="5"/>
  <c r="CF170" i="5"/>
  <c r="CJ170" i="5"/>
  <c r="BA170" i="5"/>
  <c r="BE170" i="5"/>
  <c r="AY170" i="5"/>
  <c r="BD158" i="5"/>
  <c r="BF158" i="5" s="1"/>
  <c r="BC158" i="5"/>
  <c r="BG158" i="5" s="1"/>
  <c r="D159" i="5" s="1"/>
  <c r="P159" i="5" s="1"/>
  <c r="J169" i="5"/>
  <c r="V169" i="5" s="1"/>
  <c r="AG138" i="4"/>
  <c r="AC139" i="4"/>
  <c r="AC140" i="4" s="1"/>
  <c r="AC141" i="4" s="1"/>
  <c r="AC142" i="4" s="1"/>
  <c r="AC143" i="4" s="1"/>
  <c r="AC144" i="4" s="1"/>
  <c r="BR158" i="5"/>
  <c r="BS158" i="5" s="1"/>
  <c r="BW158" i="5" s="1"/>
  <c r="E159" i="5" s="1"/>
  <c r="Q159" i="5" s="1"/>
  <c r="BQ170" i="5"/>
  <c r="BK171" i="5" s="1"/>
  <c r="BL160" i="5"/>
  <c r="BT159" i="5" s="1"/>
  <c r="BV158" i="5"/>
  <c r="BM160" i="5"/>
  <c r="BP159" i="5"/>
  <c r="AQ143" i="4"/>
  <c r="AD143" i="4"/>
  <c r="AU144" i="4"/>
  <c r="AF144" i="4"/>
  <c r="CE144" i="4"/>
  <c r="Y144" i="4"/>
  <c r="AW139" i="4"/>
  <c r="Z144" i="4"/>
  <c r="AB140" i="4"/>
  <c r="BN143" i="4"/>
  <c r="BU170" i="5"/>
  <c r="AO170" i="5"/>
  <c r="AK170" i="5"/>
  <c r="AI170" i="5"/>
  <c r="BY80" i="4"/>
  <c r="CO80" i="4" s="1"/>
  <c r="CP80" i="4" s="1"/>
  <c r="BV81" i="4"/>
  <c r="BX81" i="4" s="1"/>
  <c r="CK81" i="4" s="1"/>
  <c r="CL81" i="4" s="1"/>
  <c r="CH81" i="4"/>
  <c r="CI81" i="4" s="1"/>
  <c r="CJ81" i="4" s="1"/>
  <c r="CF82" i="4" s="1"/>
  <c r="CM80" i="4"/>
  <c r="CN80" i="4" s="1"/>
  <c r="F99" i="4" s="1"/>
  <c r="F159" i="5"/>
  <c r="R159" i="5" s="1"/>
  <c r="CC92" i="4"/>
  <c r="BZ92" i="4"/>
  <c r="CB92" i="4" s="1"/>
  <c r="CQ79" i="4"/>
  <c r="G98" i="4" s="1"/>
  <c r="BM100" i="4"/>
  <c r="BO100" i="4" s="1"/>
  <c r="BL101" i="4"/>
  <c r="BK101" i="4"/>
  <c r="CD100" i="4" s="1"/>
  <c r="AD173" i="5"/>
  <c r="AC174" i="5"/>
  <c r="BJ174" i="5"/>
  <c r="DT169" i="5"/>
  <c r="DU169" i="5" s="1"/>
  <c r="CO169" i="5"/>
  <c r="CW168" i="5" s="1"/>
  <c r="CT144" i="4"/>
  <c r="CV144" i="4"/>
  <c r="J162" i="4"/>
  <c r="CY144" i="4"/>
  <c r="CW144" i="4"/>
  <c r="BP144" i="4"/>
  <c r="BI144" i="4"/>
  <c r="CA144" i="4" s="1"/>
  <c r="X144" i="4"/>
  <c r="K163" i="4" s="1"/>
  <c r="CS144" i="4"/>
  <c r="DL170" i="5"/>
  <c r="DZ170" i="5"/>
  <c r="I168" i="5"/>
  <c r="U168" i="5" s="1"/>
  <c r="EA168" i="5"/>
  <c r="DM168" i="5"/>
  <c r="H168" i="5"/>
  <c r="T168" i="5" s="1"/>
  <c r="CX170" i="5"/>
  <c r="CZ167" i="5"/>
  <c r="G168" i="5" s="1"/>
  <c r="S168" i="5" s="1"/>
  <c r="CY167" i="5"/>
  <c r="DA140" i="4"/>
  <c r="DB141" i="4" s="1"/>
  <c r="DC141" i="4" s="1"/>
  <c r="N170" i="5"/>
  <c r="DG140" i="4"/>
  <c r="DB140" i="4"/>
  <c r="DC140" i="4" s="1"/>
  <c r="DB139" i="4"/>
  <c r="DC139" i="4" s="1"/>
  <c r="DG139" i="4"/>
  <c r="CS168" i="5"/>
  <c r="CU168" i="5" s="1"/>
  <c r="CV168" i="5" s="1"/>
  <c r="CZ141" i="4"/>
  <c r="CS169" i="5"/>
  <c r="CU169" i="5" s="1"/>
  <c r="CV169" i="5" s="1"/>
  <c r="DW168" i="5"/>
  <c r="DX168" i="5" s="1"/>
  <c r="EB168" i="5" s="1"/>
  <c r="DQ170" i="5"/>
  <c r="DY169" i="5" s="1"/>
  <c r="DS170" i="5"/>
  <c r="DR170" i="5"/>
  <c r="DP170" i="5"/>
  <c r="CN170" i="5"/>
  <c r="CQ170" i="5"/>
  <c r="CP170" i="5"/>
  <c r="DF169" i="5"/>
  <c r="DG169" i="5" s="1"/>
  <c r="DE170" i="5"/>
  <c r="DD170" i="5"/>
  <c r="DC170" i="5"/>
  <c r="DK169" i="5" s="1"/>
  <c r="DB170" i="5"/>
  <c r="B171" i="5"/>
  <c r="DV170" i="5"/>
  <c r="CT170" i="5"/>
  <c r="AA171" i="5"/>
  <c r="BY170" i="5"/>
  <c r="CD170" i="5" s="1"/>
  <c r="DH170" i="5"/>
  <c r="CR170" i="5"/>
  <c r="AB170" i="5"/>
  <c r="K171" i="5" s="1"/>
  <c r="W171" i="5" s="1"/>
  <c r="DI168" i="5"/>
  <c r="DJ168" i="5" s="1"/>
  <c r="DN168" i="5" s="1"/>
  <c r="DG141" i="4"/>
  <c r="CX143" i="4"/>
  <c r="DF143" i="4" s="1"/>
  <c r="C163" i="4"/>
  <c r="W145" i="4"/>
  <c r="CU144" i="4"/>
  <c r="AA142" i="4" l="1"/>
  <c r="AT141" i="4" s="1"/>
  <c r="CA171" i="5"/>
  <c r="CI170" i="5"/>
  <c r="CK164" i="5"/>
  <c r="CL164" i="5"/>
  <c r="AX160" i="5"/>
  <c r="AZ160" i="5" s="1"/>
  <c r="AW161" i="5"/>
  <c r="BD159" i="5"/>
  <c r="BF159" i="5" s="1"/>
  <c r="BC159" i="5"/>
  <c r="BG159" i="5" s="1"/>
  <c r="D160" i="5" s="1"/>
  <c r="P160" i="5" s="1"/>
  <c r="BB161" i="5"/>
  <c r="AU162" i="5"/>
  <c r="BZ171" i="5"/>
  <c r="CG171" i="5" s="1"/>
  <c r="BO171" i="5"/>
  <c r="CF171" i="5"/>
  <c r="CI171" i="5" s="1"/>
  <c r="CJ171" i="5"/>
  <c r="BA171" i="5"/>
  <c r="BE171" i="5"/>
  <c r="AY171" i="5"/>
  <c r="CC165" i="5"/>
  <c r="CE165" i="5" s="1"/>
  <c r="CH165" i="5" s="1"/>
  <c r="CB166" i="5"/>
  <c r="AE139" i="4"/>
  <c r="AG139" i="4" s="1"/>
  <c r="AC145" i="4"/>
  <c r="J170" i="5"/>
  <c r="V170" i="5" s="1"/>
  <c r="BR159" i="5"/>
  <c r="BS159" i="5" s="1"/>
  <c r="BW159" i="5" s="1"/>
  <c r="E160" i="5" s="1"/>
  <c r="Q160" i="5" s="1"/>
  <c r="BQ171" i="5"/>
  <c r="BK172" i="5" s="1"/>
  <c r="BM161" i="5"/>
  <c r="BP160" i="5"/>
  <c r="BV159" i="5"/>
  <c r="BL161" i="5"/>
  <c r="BT160" i="5" s="1"/>
  <c r="AQ144" i="4"/>
  <c r="AD144" i="4"/>
  <c r="AF145" i="4"/>
  <c r="AU145" i="4"/>
  <c r="CE145" i="4"/>
  <c r="Y145" i="4"/>
  <c r="Z145" i="4"/>
  <c r="AE140" i="4"/>
  <c r="AG140" i="4" s="1"/>
  <c r="AB141" i="4"/>
  <c r="BN144" i="4"/>
  <c r="AA143" i="4"/>
  <c r="AT142" i="4" s="1"/>
  <c r="AW140" i="4"/>
  <c r="BU171" i="5"/>
  <c r="AK171" i="5"/>
  <c r="AO171" i="5"/>
  <c r="AI171" i="5"/>
  <c r="CQ80" i="4"/>
  <c r="G99" i="4" s="1"/>
  <c r="F160" i="5"/>
  <c r="R160" i="5" s="1"/>
  <c r="CG82" i="4"/>
  <c r="BR82" i="4"/>
  <c r="BS94" i="4" s="1"/>
  <c r="BT106" i="4" s="1"/>
  <c r="BU118" i="4" s="1"/>
  <c r="BM101" i="4"/>
  <c r="BO101" i="4" s="1"/>
  <c r="BL102" i="4"/>
  <c r="BM102" i="4" s="1"/>
  <c r="BO102" i="4" s="1"/>
  <c r="BY81" i="4"/>
  <c r="CO81" i="4" s="1"/>
  <c r="CP81" i="4" s="1"/>
  <c r="CM81" i="4"/>
  <c r="CN81" i="4" s="1"/>
  <c r="F100" i="4" s="1"/>
  <c r="CC93" i="4"/>
  <c r="BZ93" i="4"/>
  <c r="CB93" i="4" s="1"/>
  <c r="BK102" i="4"/>
  <c r="CD101" i="4" s="1"/>
  <c r="AD174" i="5"/>
  <c r="AC175" i="5"/>
  <c r="BJ175" i="5"/>
  <c r="CT145" i="4"/>
  <c r="CO170" i="5"/>
  <c r="CW169" i="5" s="1"/>
  <c r="J163" i="4"/>
  <c r="BP145" i="4"/>
  <c r="CW145" i="4"/>
  <c r="CY145" i="4"/>
  <c r="BI145" i="4"/>
  <c r="CA145" i="4" s="1"/>
  <c r="X145" i="4"/>
  <c r="K164" i="4" s="1"/>
  <c r="CV145" i="4"/>
  <c r="CS145" i="4"/>
  <c r="DL171" i="5"/>
  <c r="DZ171" i="5"/>
  <c r="I169" i="5"/>
  <c r="U169" i="5" s="1"/>
  <c r="EA169" i="5"/>
  <c r="DM169" i="5"/>
  <c r="H169" i="5"/>
  <c r="T169" i="5" s="1"/>
  <c r="CY168" i="5"/>
  <c r="CZ168" i="5"/>
  <c r="G169" i="5" s="1"/>
  <c r="S169" i="5" s="1"/>
  <c r="CX171" i="5"/>
  <c r="DA141" i="4"/>
  <c r="N171" i="5"/>
  <c r="CZ142" i="4"/>
  <c r="DD139" i="4"/>
  <c r="DG143" i="4"/>
  <c r="DT170" i="5"/>
  <c r="DU170" i="5" s="1"/>
  <c r="DF170" i="5"/>
  <c r="DG170" i="5" s="1"/>
  <c r="DE171" i="5"/>
  <c r="DD171" i="5"/>
  <c r="DB171" i="5"/>
  <c r="DC171" i="5"/>
  <c r="DK170" i="5" s="1"/>
  <c r="DW169" i="5"/>
  <c r="DX169" i="5" s="1"/>
  <c r="CP171" i="5"/>
  <c r="CN171" i="5"/>
  <c r="CQ171" i="5"/>
  <c r="CS170" i="5"/>
  <c r="B172" i="5"/>
  <c r="DH171" i="5"/>
  <c r="BY171" i="5"/>
  <c r="CD171" i="5" s="1"/>
  <c r="AA172" i="5"/>
  <c r="DV171" i="5"/>
  <c r="CT171" i="5"/>
  <c r="CR171" i="5"/>
  <c r="AB171" i="5"/>
  <c r="K172" i="5" s="1"/>
  <c r="W172" i="5" s="1"/>
  <c r="DI169" i="5"/>
  <c r="DJ169" i="5" s="1"/>
  <c r="DR171" i="5"/>
  <c r="DP171" i="5"/>
  <c r="DS171" i="5"/>
  <c r="DQ171" i="5"/>
  <c r="DY170" i="5" s="1"/>
  <c r="CX142" i="4"/>
  <c r="DF142" i="4" s="1"/>
  <c r="W146" i="4"/>
  <c r="C164" i="4"/>
  <c r="CU145" i="4"/>
  <c r="CK165" i="5" l="1"/>
  <c r="CL165" i="5"/>
  <c r="CC166" i="5"/>
  <c r="CE166" i="5" s="1"/>
  <c r="CH166" i="5" s="1"/>
  <c r="CB167" i="5"/>
  <c r="BZ172" i="5"/>
  <c r="CG172" i="5" s="1"/>
  <c r="AX161" i="5"/>
  <c r="AZ161" i="5" s="1"/>
  <c r="AW162" i="5"/>
  <c r="BD160" i="5"/>
  <c r="BF160" i="5" s="1"/>
  <c r="BC160" i="5"/>
  <c r="BG160" i="5" s="1"/>
  <c r="D161" i="5" s="1"/>
  <c r="P161" i="5" s="1"/>
  <c r="BO172" i="5"/>
  <c r="AY172" i="5"/>
  <c r="CF172" i="5"/>
  <c r="CI172" i="5" s="1"/>
  <c r="BA172" i="5"/>
  <c r="CJ172" i="5"/>
  <c r="BE172" i="5"/>
  <c r="BB162" i="5"/>
  <c r="AU163" i="5"/>
  <c r="CA172" i="5"/>
  <c r="CA173" i="5" s="1"/>
  <c r="AC146" i="4"/>
  <c r="J171" i="5"/>
  <c r="V171" i="5" s="1"/>
  <c r="BR160" i="5"/>
  <c r="BS160" i="5" s="1"/>
  <c r="BW160" i="5" s="1"/>
  <c r="E161" i="5" s="1"/>
  <c r="Q161" i="5" s="1"/>
  <c r="BQ172" i="5"/>
  <c r="BK173" i="5" s="1"/>
  <c r="BV160" i="5"/>
  <c r="BL162" i="5"/>
  <c r="BT161" i="5" s="1"/>
  <c r="BM162" i="5"/>
  <c r="BP161" i="5"/>
  <c r="AQ145" i="4"/>
  <c r="AD145" i="4"/>
  <c r="AA144" i="4"/>
  <c r="AT143" i="4" s="1"/>
  <c r="AE141" i="4"/>
  <c r="AG141" i="4" s="1"/>
  <c r="AB142" i="4"/>
  <c r="Z146" i="4"/>
  <c r="BN145" i="4"/>
  <c r="AU146" i="4"/>
  <c r="AF146" i="4"/>
  <c r="CE146" i="4"/>
  <c r="Y146" i="4"/>
  <c r="AW141" i="4"/>
  <c r="BU172" i="5"/>
  <c r="AK172" i="5"/>
  <c r="AO172" i="5"/>
  <c r="AI172" i="5"/>
  <c r="BJ103" i="4"/>
  <c r="BQ103" i="4" s="1"/>
  <c r="CH82" i="4"/>
  <c r="CI82" i="4" s="1"/>
  <c r="CJ82" i="4" s="1"/>
  <c r="CF83" i="4" s="1"/>
  <c r="CQ81" i="4"/>
  <c r="G100" i="4" s="1"/>
  <c r="BV82" i="4"/>
  <c r="BX82" i="4" s="1"/>
  <c r="CK82" i="4" s="1"/>
  <c r="CL82" i="4" s="1"/>
  <c r="F161" i="5"/>
  <c r="R161" i="5" s="1"/>
  <c r="AD175" i="5"/>
  <c r="AC176" i="5"/>
  <c r="BJ176" i="5"/>
  <c r="DF171" i="5"/>
  <c r="DG171" i="5" s="1"/>
  <c r="CT146" i="4"/>
  <c r="CO171" i="5"/>
  <c r="CW170" i="5" s="1"/>
  <c r="J164" i="4"/>
  <c r="CS146" i="4"/>
  <c r="BP146" i="4"/>
  <c r="CY146" i="4"/>
  <c r="CW146" i="4"/>
  <c r="BI146" i="4"/>
  <c r="CA146" i="4" s="1"/>
  <c r="X146" i="4"/>
  <c r="K165" i="4" s="1"/>
  <c r="CV146" i="4"/>
  <c r="DL172" i="5"/>
  <c r="DZ172" i="5"/>
  <c r="EA170" i="5"/>
  <c r="EB169" i="5"/>
  <c r="I170" i="5" s="1"/>
  <c r="U170" i="5" s="1"/>
  <c r="DN169" i="5"/>
  <c r="H170" i="5" s="1"/>
  <c r="T170" i="5" s="1"/>
  <c r="DM170" i="5"/>
  <c r="CX172" i="5"/>
  <c r="CY169" i="5"/>
  <c r="CZ169" i="5"/>
  <c r="G170" i="5" s="1"/>
  <c r="S170" i="5" s="1"/>
  <c r="DA142" i="4"/>
  <c r="DB143" i="4" s="1"/>
  <c r="DC143" i="4" s="1"/>
  <c r="N172" i="5"/>
  <c r="CZ143" i="4"/>
  <c r="DE139" i="4"/>
  <c r="H158" i="4" s="1"/>
  <c r="DD140" i="4"/>
  <c r="DH139" i="4"/>
  <c r="I158" i="4" s="1"/>
  <c r="DG142" i="4"/>
  <c r="DT171" i="5"/>
  <c r="DU171" i="5" s="1"/>
  <c r="DW171" i="5" s="1"/>
  <c r="DX171" i="5" s="1"/>
  <c r="DI170" i="5"/>
  <c r="DJ170" i="5" s="1"/>
  <c r="DN170" i="5" s="1"/>
  <c r="B173" i="5"/>
  <c r="AA173" i="5"/>
  <c r="DH172" i="5"/>
  <c r="BY172" i="5"/>
  <c r="CD172" i="5" s="1"/>
  <c r="DV172" i="5"/>
  <c r="CT172" i="5"/>
  <c r="CR172" i="5"/>
  <c r="AB172" i="5"/>
  <c r="K173" i="5" s="1"/>
  <c r="W173" i="5" s="1"/>
  <c r="CQ172" i="5"/>
  <c r="CN172" i="5"/>
  <c r="CP172" i="5"/>
  <c r="DS172" i="5"/>
  <c r="DQ172" i="5"/>
  <c r="DY171" i="5" s="1"/>
  <c r="DP172" i="5"/>
  <c r="DR172" i="5"/>
  <c r="DE172" i="5"/>
  <c r="DC172" i="5"/>
  <c r="DK171" i="5" s="1"/>
  <c r="DB172" i="5"/>
  <c r="DD172" i="5"/>
  <c r="CS171" i="5"/>
  <c r="DW170" i="5"/>
  <c r="DX170" i="5" s="1"/>
  <c r="EB170" i="5" s="1"/>
  <c r="CU170" i="5"/>
  <c r="CV170" i="5" s="1"/>
  <c r="DB142" i="4"/>
  <c r="DC142" i="4" s="1"/>
  <c r="CX144" i="4"/>
  <c r="DF144" i="4" s="1"/>
  <c r="CX145" i="4"/>
  <c r="DF145" i="4" s="1"/>
  <c r="W147" i="4"/>
  <c r="C165" i="4"/>
  <c r="CU146" i="4"/>
  <c r="CK166" i="5" l="1"/>
  <c r="CL166" i="5"/>
  <c r="BZ173" i="5"/>
  <c r="BD161" i="5"/>
  <c r="BF161" i="5" s="1"/>
  <c r="BC161" i="5"/>
  <c r="BG161" i="5" s="1"/>
  <c r="D162" i="5" s="1"/>
  <c r="P162" i="5" s="1"/>
  <c r="CC167" i="5"/>
  <c r="CE167" i="5" s="1"/>
  <c r="CH167" i="5" s="1"/>
  <c r="CB168" i="5"/>
  <c r="BO173" i="5"/>
  <c r="BA173" i="5"/>
  <c r="CF173" i="5"/>
  <c r="CI173" i="5" s="1"/>
  <c r="AY173" i="5"/>
  <c r="CJ173" i="5"/>
  <c r="BE173" i="5"/>
  <c r="CG173" i="5"/>
  <c r="AX162" i="5"/>
  <c r="AZ162" i="5" s="1"/>
  <c r="AW163" i="5"/>
  <c r="AX163" i="5" s="1"/>
  <c r="AZ163" i="5" s="1"/>
  <c r="AC147" i="4"/>
  <c r="J172" i="5"/>
  <c r="V172" i="5" s="1"/>
  <c r="BR161" i="5"/>
  <c r="BS161" i="5" s="1"/>
  <c r="BW161" i="5" s="1"/>
  <c r="E162" i="5" s="1"/>
  <c r="Q162" i="5" s="1"/>
  <c r="BQ173" i="5"/>
  <c r="BK174" i="5" s="1"/>
  <c r="BM163" i="5"/>
  <c r="BP162" i="5"/>
  <c r="BV161" i="5"/>
  <c r="BL163" i="5"/>
  <c r="BT162" i="5" s="1"/>
  <c r="AQ146" i="4"/>
  <c r="AD146" i="4"/>
  <c r="BN146" i="4"/>
  <c r="AE142" i="4"/>
  <c r="AG142" i="4" s="1"/>
  <c r="AB143" i="4"/>
  <c r="AA145" i="4"/>
  <c r="AF147" i="4"/>
  <c r="AU147" i="4"/>
  <c r="CE147" i="4"/>
  <c r="Y147" i="4"/>
  <c r="Z147" i="4"/>
  <c r="AW142" i="4"/>
  <c r="BU173" i="5"/>
  <c r="AK173" i="5"/>
  <c r="AO173" i="5"/>
  <c r="AI173" i="5"/>
  <c r="BY82" i="4"/>
  <c r="CO82" i="4" s="1"/>
  <c r="CP82" i="4" s="1"/>
  <c r="BR83" i="4"/>
  <c r="BS95" i="4" s="1"/>
  <c r="BT107" i="4" s="1"/>
  <c r="BU119" i="4" s="1"/>
  <c r="CM82" i="4"/>
  <c r="CC94" i="4"/>
  <c r="BZ94" i="4"/>
  <c r="CB94" i="4" s="1"/>
  <c r="CG83" i="4"/>
  <c r="F162" i="5"/>
  <c r="R162" i="5" s="1"/>
  <c r="BK103" i="4"/>
  <c r="CD102" i="4" s="1"/>
  <c r="BJ104" i="4"/>
  <c r="BQ104" i="4" s="1"/>
  <c r="BL103" i="4"/>
  <c r="AD176" i="5"/>
  <c r="AC177" i="5"/>
  <c r="BJ177" i="5"/>
  <c r="DT172" i="5"/>
  <c r="DU172" i="5" s="1"/>
  <c r="CT147" i="4"/>
  <c r="CO172" i="5"/>
  <c r="CW171" i="5" s="1"/>
  <c r="J165" i="4"/>
  <c r="CS147" i="4"/>
  <c r="BP147" i="4"/>
  <c r="CY147" i="4"/>
  <c r="CW147" i="4"/>
  <c r="BI147" i="4"/>
  <c r="CA147" i="4" s="1"/>
  <c r="X147" i="4"/>
  <c r="K166" i="4" s="1"/>
  <c r="CV147" i="4"/>
  <c r="DL173" i="5"/>
  <c r="DZ173" i="5"/>
  <c r="EB171" i="5"/>
  <c r="I172" i="5" s="1"/>
  <c r="U172" i="5" s="1"/>
  <c r="EA171" i="5"/>
  <c r="I171" i="5"/>
  <c r="U171" i="5" s="1"/>
  <c r="H171" i="5"/>
  <c r="T171" i="5" s="1"/>
  <c r="DM171" i="5"/>
  <c r="CZ170" i="5"/>
  <c r="G171" i="5" s="1"/>
  <c r="S171" i="5" s="1"/>
  <c r="CY170" i="5"/>
  <c r="CX173" i="5"/>
  <c r="DA143" i="4"/>
  <c r="DB144" i="4" s="1"/>
  <c r="DC144" i="4" s="1"/>
  <c r="N173" i="5"/>
  <c r="CZ144" i="4"/>
  <c r="DD141" i="4"/>
  <c r="DD142" i="4" s="1"/>
  <c r="DE142" i="4" s="1"/>
  <c r="H161" i="4" s="1"/>
  <c r="DE140" i="4"/>
  <c r="H159" i="4" s="1"/>
  <c r="DH140" i="4"/>
  <c r="I159" i="4" s="1"/>
  <c r="DG144" i="4"/>
  <c r="DG145" i="4"/>
  <c r="CU171" i="5"/>
  <c r="CV171" i="5" s="1"/>
  <c r="DB173" i="5"/>
  <c r="DD173" i="5"/>
  <c r="DC173" i="5"/>
  <c r="DK172" i="5" s="1"/>
  <c r="DE173" i="5"/>
  <c r="CP173" i="5"/>
  <c r="CN173" i="5"/>
  <c r="CQ173" i="5"/>
  <c r="DR173" i="5"/>
  <c r="DQ173" i="5"/>
  <c r="DY172" i="5" s="1"/>
  <c r="DP173" i="5"/>
  <c r="DS173" i="5"/>
  <c r="CS172" i="5"/>
  <c r="DF172" i="5"/>
  <c r="DG172" i="5" s="1"/>
  <c r="DI171" i="5"/>
  <c r="DJ171" i="5" s="1"/>
  <c r="B174" i="5"/>
  <c r="CR173" i="5"/>
  <c r="DH173" i="5"/>
  <c r="BY173" i="5"/>
  <c r="CD173" i="5" s="1"/>
  <c r="AA174" i="5"/>
  <c r="DV173" i="5"/>
  <c r="CT173" i="5"/>
  <c r="AB173" i="5"/>
  <c r="K174" i="5" s="1"/>
  <c r="W174" i="5" s="1"/>
  <c r="CX146" i="4"/>
  <c r="DF146" i="4" s="1"/>
  <c r="CU147" i="4"/>
  <c r="W148" i="4"/>
  <c r="C166" i="4"/>
  <c r="CK167" i="5" l="1"/>
  <c r="CL167" i="5"/>
  <c r="AC148" i="4"/>
  <c r="BD162" i="5"/>
  <c r="BF162" i="5" s="1"/>
  <c r="BC162" i="5"/>
  <c r="BG162" i="5" s="1"/>
  <c r="D163" i="5" s="1"/>
  <c r="P163" i="5" s="1"/>
  <c r="BD163" i="5"/>
  <c r="BC163" i="5"/>
  <c r="BO174" i="5"/>
  <c r="CF174" i="5"/>
  <c r="CI174" i="5" s="1"/>
  <c r="BA174" i="5"/>
  <c r="AY174" i="5"/>
  <c r="BE174" i="5"/>
  <c r="CJ174" i="5"/>
  <c r="BZ174" i="5"/>
  <c r="CG174" i="5" s="1"/>
  <c r="CA174" i="5"/>
  <c r="CC168" i="5"/>
  <c r="CE168" i="5" s="1"/>
  <c r="CH168" i="5" s="1"/>
  <c r="CB169" i="5"/>
  <c r="J173" i="5"/>
  <c r="V173" i="5" s="1"/>
  <c r="AA146" i="4"/>
  <c r="AT145" i="4" s="1"/>
  <c r="AW145" i="4" s="1"/>
  <c r="AT144" i="4"/>
  <c r="BR162" i="5"/>
  <c r="BS162" i="5" s="1"/>
  <c r="BW162" i="5" s="1"/>
  <c r="E163" i="5" s="1"/>
  <c r="Q163" i="5" s="1"/>
  <c r="BQ174" i="5"/>
  <c r="BK175" i="5" s="1"/>
  <c r="BL164" i="5"/>
  <c r="BT163" i="5" s="1"/>
  <c r="BV162" i="5"/>
  <c r="BP163" i="5"/>
  <c r="BN164" i="5" s="1"/>
  <c r="BN165" i="5" s="1"/>
  <c r="BN166" i="5" s="1"/>
  <c r="BN167" i="5" s="1"/>
  <c r="BN168" i="5" s="1"/>
  <c r="BN169" i="5" s="1"/>
  <c r="BN170" i="5" s="1"/>
  <c r="BN171" i="5" s="1"/>
  <c r="BN172" i="5" s="1"/>
  <c r="BN173" i="5" s="1"/>
  <c r="BN174" i="5" s="1"/>
  <c r="BM164" i="5"/>
  <c r="AQ147" i="4"/>
  <c r="AD147" i="4"/>
  <c r="CE148" i="4"/>
  <c r="AU148" i="4"/>
  <c r="AF148" i="4"/>
  <c r="Y148" i="4"/>
  <c r="Z148" i="4"/>
  <c r="BN147" i="4"/>
  <c r="AW143" i="4"/>
  <c r="AE143" i="4"/>
  <c r="AG143" i="4" s="1"/>
  <c r="AB144" i="4"/>
  <c r="CQ82" i="4"/>
  <c r="G101" i="4" s="1"/>
  <c r="BU174" i="5"/>
  <c r="AK174" i="5"/>
  <c r="AO174" i="5"/>
  <c r="AI174" i="5"/>
  <c r="CO173" i="5"/>
  <c r="CW172" i="5" s="1"/>
  <c r="CN82" i="4"/>
  <c r="F101" i="4" s="1"/>
  <c r="BV83" i="4"/>
  <c r="BX83" i="4" s="1"/>
  <c r="CK83" i="4" s="1"/>
  <c r="BM103" i="4"/>
  <c r="BO103" i="4" s="1"/>
  <c r="BL104" i="4"/>
  <c r="F163" i="5"/>
  <c r="R163" i="5" s="1"/>
  <c r="BJ105" i="4"/>
  <c r="BQ105" i="4" s="1"/>
  <c r="BK104" i="4"/>
  <c r="CD103" i="4" s="1"/>
  <c r="CH83" i="4"/>
  <c r="CI83" i="4" s="1"/>
  <c r="CJ83" i="4" s="1"/>
  <c r="CF84" i="4" s="1"/>
  <c r="CC95" i="4"/>
  <c r="BZ95" i="4"/>
  <c r="CB95" i="4" s="1"/>
  <c r="AD177" i="5"/>
  <c r="AC178" i="5"/>
  <c r="BJ178" i="5"/>
  <c r="DF173" i="5"/>
  <c r="DG173" i="5" s="1"/>
  <c r="CT148" i="4"/>
  <c r="J166" i="4"/>
  <c r="CY148" i="4"/>
  <c r="BP148" i="4"/>
  <c r="CW148" i="4"/>
  <c r="BI148" i="4"/>
  <c r="BN148" i="4" s="1"/>
  <c r="X148" i="4"/>
  <c r="K167" i="4" s="1"/>
  <c r="CS148" i="4"/>
  <c r="CV148" i="4"/>
  <c r="DL174" i="5"/>
  <c r="DZ174" i="5"/>
  <c r="EA172" i="5"/>
  <c r="DM172" i="5"/>
  <c r="DN171" i="5"/>
  <c r="H172" i="5" s="1"/>
  <c r="T172" i="5" s="1"/>
  <c r="CY171" i="5"/>
  <c r="CZ171" i="5"/>
  <c r="G172" i="5" s="1"/>
  <c r="S172" i="5" s="1"/>
  <c r="CX174" i="5"/>
  <c r="DA144" i="4"/>
  <c r="DB145" i="4" s="1"/>
  <c r="DC145" i="4" s="1"/>
  <c r="N174" i="5"/>
  <c r="CZ145" i="4"/>
  <c r="DE141" i="4"/>
  <c r="H160" i="4" s="1"/>
  <c r="DH141" i="4"/>
  <c r="I160" i="4" s="1"/>
  <c r="DG146" i="4"/>
  <c r="CS173" i="5"/>
  <c r="CU173" i="5" s="1"/>
  <c r="CV173" i="5" s="1"/>
  <c r="DW172" i="5"/>
  <c r="DX172" i="5" s="1"/>
  <c r="DI172" i="5"/>
  <c r="DJ172" i="5" s="1"/>
  <c r="CU172" i="5"/>
  <c r="CV172" i="5" s="1"/>
  <c r="DS174" i="5"/>
  <c r="DR174" i="5"/>
  <c r="DQ174" i="5"/>
  <c r="DY173" i="5" s="1"/>
  <c r="DP174" i="5"/>
  <c r="B175" i="5"/>
  <c r="AA175" i="5"/>
  <c r="DH174" i="5"/>
  <c r="BY174" i="5"/>
  <c r="CD174" i="5" s="1"/>
  <c r="CR174" i="5"/>
  <c r="DV174" i="5"/>
  <c r="CT174" i="5"/>
  <c r="AB174" i="5"/>
  <c r="K175" i="5" s="1"/>
  <c r="W175" i="5" s="1"/>
  <c r="DT173" i="5"/>
  <c r="DU173" i="5" s="1"/>
  <c r="CQ174" i="5"/>
  <c r="CP174" i="5"/>
  <c r="CN174" i="5"/>
  <c r="DC174" i="5"/>
  <c r="DK173" i="5" s="1"/>
  <c r="DE174" i="5"/>
  <c r="DD174" i="5"/>
  <c r="DB174" i="5"/>
  <c r="DH142" i="4"/>
  <c r="I161" i="4" s="1"/>
  <c r="DD143" i="4"/>
  <c r="CZ146" i="4"/>
  <c r="C167" i="4"/>
  <c r="W149" i="4"/>
  <c r="CU148" i="4"/>
  <c r="CX147" i="4"/>
  <c r="DF147" i="4" s="1"/>
  <c r="CA175" i="5" l="1"/>
  <c r="AA147" i="4"/>
  <c r="AT146" i="4" s="1"/>
  <c r="AW146" i="4" s="1"/>
  <c r="CK168" i="5"/>
  <c r="CL168" i="5"/>
  <c r="BF163" i="5"/>
  <c r="AV164" i="5" s="1"/>
  <c r="AV165" i="5" s="1"/>
  <c r="AV166" i="5" s="1"/>
  <c r="AV167" i="5" s="1"/>
  <c r="AV168" i="5" s="1"/>
  <c r="AV169" i="5" s="1"/>
  <c r="AV170" i="5" s="1"/>
  <c r="AV171" i="5" s="1"/>
  <c r="AV172" i="5" s="1"/>
  <c r="AV173" i="5" s="1"/>
  <c r="AV174" i="5" s="1"/>
  <c r="AV175" i="5" s="1"/>
  <c r="AV176" i="5" s="1"/>
  <c r="BG163" i="5"/>
  <c r="D164" i="5" s="1"/>
  <c r="P164" i="5" s="1"/>
  <c r="AC149" i="4"/>
  <c r="CC169" i="5"/>
  <c r="CE169" i="5" s="1"/>
  <c r="CH169" i="5" s="1"/>
  <c r="CB170" i="5"/>
  <c r="CF175" i="5"/>
  <c r="CJ175" i="5"/>
  <c r="BA175" i="5"/>
  <c r="BE175" i="5"/>
  <c r="AY175" i="5"/>
  <c r="BZ175" i="5"/>
  <c r="CG175" i="5" s="1"/>
  <c r="J174" i="5"/>
  <c r="V174" i="5" s="1"/>
  <c r="BN175" i="5"/>
  <c r="BQ175" i="5"/>
  <c r="BK176" i="5" s="1"/>
  <c r="BO175" i="5"/>
  <c r="BR163" i="5"/>
  <c r="BS163" i="5" s="1"/>
  <c r="BW163" i="5" s="1"/>
  <c r="BP164" i="5"/>
  <c r="BM165" i="5"/>
  <c r="BL165" i="5"/>
  <c r="BT164" i="5" s="1"/>
  <c r="BV163" i="5"/>
  <c r="AL175" i="5"/>
  <c r="AQ148" i="4"/>
  <c r="AD148" i="4"/>
  <c r="CO174" i="5"/>
  <c r="CW173" i="5" s="1"/>
  <c r="AE144" i="4"/>
  <c r="AB145" i="4"/>
  <c r="Z149" i="4"/>
  <c r="AF149" i="4"/>
  <c r="AU149" i="4"/>
  <c r="CE149" i="4"/>
  <c r="Y149" i="4"/>
  <c r="CL83" i="4"/>
  <c r="CM83" i="4" s="1"/>
  <c r="CN83" i="4" s="1"/>
  <c r="F102" i="4" s="1"/>
  <c r="BY83" i="4"/>
  <c r="CO83" i="4" s="1"/>
  <c r="CP83" i="4" s="1"/>
  <c r="AK175" i="5"/>
  <c r="AO175" i="5"/>
  <c r="BU175" i="5"/>
  <c r="AI175" i="5"/>
  <c r="F164" i="5"/>
  <c r="R164" i="5" s="1"/>
  <c r="BR84" i="4"/>
  <c r="BS96" i="4" s="1"/>
  <c r="BT108" i="4" s="1"/>
  <c r="BU120" i="4" s="1"/>
  <c r="BL105" i="4"/>
  <c r="BM104" i="4"/>
  <c r="BO104" i="4" s="1"/>
  <c r="BK105" i="4"/>
  <c r="CD104" i="4" s="1"/>
  <c r="BJ106" i="4"/>
  <c r="BQ106" i="4" s="1"/>
  <c r="CG84" i="4"/>
  <c r="CH84" i="4" s="1"/>
  <c r="CI84" i="4" s="1"/>
  <c r="CJ84" i="4" s="1"/>
  <c r="CF85" i="4" s="1"/>
  <c r="AD178" i="5"/>
  <c r="AC179" i="5"/>
  <c r="BJ179" i="5"/>
  <c r="DT174" i="5"/>
  <c r="DU174" i="5" s="1"/>
  <c r="CT149" i="4"/>
  <c r="J167" i="4"/>
  <c r="CV149" i="4"/>
  <c r="CS149" i="4"/>
  <c r="CW149" i="4"/>
  <c r="CY149" i="4"/>
  <c r="BP149" i="4"/>
  <c r="BI149" i="4"/>
  <c r="CA149" i="4" s="1"/>
  <c r="X149" i="4"/>
  <c r="K168" i="4" s="1"/>
  <c r="CA148" i="4"/>
  <c r="DA145" i="4"/>
  <c r="DA146" i="4" s="1"/>
  <c r="DL175" i="5"/>
  <c r="DZ175" i="5"/>
  <c r="EB172" i="5"/>
  <c r="I173" i="5" s="1"/>
  <c r="U173" i="5" s="1"/>
  <c r="EA173" i="5"/>
  <c r="DM173" i="5"/>
  <c r="DN172" i="5"/>
  <c r="H173" i="5" s="1"/>
  <c r="T173" i="5" s="1"/>
  <c r="CX175" i="5"/>
  <c r="CZ172" i="5"/>
  <c r="G173" i="5" s="1"/>
  <c r="S173" i="5" s="1"/>
  <c r="CY172" i="5"/>
  <c r="N175" i="5"/>
  <c r="CS174" i="5"/>
  <c r="CU174" i="5" s="1"/>
  <c r="CV174" i="5" s="1"/>
  <c r="DW173" i="5"/>
  <c r="DX173" i="5" s="1"/>
  <c r="DS175" i="5"/>
  <c r="DP175" i="5"/>
  <c r="DQ175" i="5"/>
  <c r="DY174" i="5" s="1"/>
  <c r="DR175" i="5"/>
  <c r="DI173" i="5"/>
  <c r="DJ173" i="5" s="1"/>
  <c r="CQ175" i="5"/>
  <c r="CN175" i="5"/>
  <c r="CP175" i="5"/>
  <c r="DF174" i="5"/>
  <c r="DG174" i="5" s="1"/>
  <c r="DC175" i="5"/>
  <c r="DK174" i="5" s="1"/>
  <c r="DE175" i="5"/>
  <c r="DB175" i="5"/>
  <c r="DD175" i="5"/>
  <c r="B176" i="5"/>
  <c r="AA176" i="5"/>
  <c r="DH175" i="5"/>
  <c r="CT175" i="5"/>
  <c r="CR175" i="5"/>
  <c r="DV175" i="5"/>
  <c r="BY175" i="5"/>
  <c r="CD175" i="5" s="1"/>
  <c r="AB175" i="5"/>
  <c r="K176" i="5" s="1"/>
  <c r="W176" i="5" s="1"/>
  <c r="DG147" i="4"/>
  <c r="DH143" i="4"/>
  <c r="I162" i="4" s="1"/>
  <c r="DE143" i="4"/>
  <c r="H162" i="4" s="1"/>
  <c r="DD144" i="4"/>
  <c r="DD145" i="4" s="1"/>
  <c r="CZ147" i="4"/>
  <c r="CX148" i="4"/>
  <c r="DF148" i="4" s="1"/>
  <c r="CU149" i="4"/>
  <c r="W150" i="4"/>
  <c r="C168" i="4"/>
  <c r="AA148" i="4" l="1"/>
  <c r="AT147" i="4" s="1"/>
  <c r="AW147" i="4" s="1"/>
  <c r="AC150" i="4"/>
  <c r="CK169" i="5"/>
  <c r="CL169" i="5"/>
  <c r="BZ176" i="5"/>
  <c r="CG176" i="5" s="1"/>
  <c r="BO176" i="5"/>
  <c r="CF176" i="5"/>
  <c r="CI176" i="5" s="1"/>
  <c r="CJ176" i="5"/>
  <c r="AY176" i="5"/>
  <c r="BE176" i="5"/>
  <c r="BA176" i="5"/>
  <c r="CC170" i="5"/>
  <c r="CE170" i="5" s="1"/>
  <c r="CH170" i="5" s="1"/>
  <c r="CB171" i="5"/>
  <c r="CA176" i="5"/>
  <c r="AU164" i="5"/>
  <c r="J175" i="5"/>
  <c r="V175" i="5" s="1"/>
  <c r="AG144" i="4"/>
  <c r="BR164" i="5"/>
  <c r="BS164" i="5" s="1"/>
  <c r="BW164" i="5" s="1"/>
  <c r="E165" i="5" s="1"/>
  <c r="Q165" i="5" s="1"/>
  <c r="BQ176" i="5"/>
  <c r="BK177" i="5" s="1"/>
  <c r="BV164" i="5"/>
  <c r="BL166" i="5"/>
  <c r="BT165" i="5" s="1"/>
  <c r="E4" i="5"/>
  <c r="E164" i="5"/>
  <c r="Q164" i="5" s="1"/>
  <c r="E18" i="5"/>
  <c r="E34" i="5" s="1"/>
  <c r="BM166" i="5"/>
  <c r="BP165" i="5"/>
  <c r="CO175" i="5"/>
  <c r="CW174" i="5" s="1"/>
  <c r="AQ149" i="4"/>
  <c r="AD149" i="4"/>
  <c r="AA149" i="4"/>
  <c r="AF150" i="4"/>
  <c r="Y150" i="4"/>
  <c r="AE145" i="4"/>
  <c r="AG145" i="4" s="1"/>
  <c r="AB146" i="4"/>
  <c r="Z150" i="4"/>
  <c r="BN149" i="4"/>
  <c r="CQ83" i="4"/>
  <c r="G102" i="4" s="1"/>
  <c r="AI176" i="5"/>
  <c r="AK176" i="5"/>
  <c r="AO176" i="5"/>
  <c r="BU176" i="5"/>
  <c r="BJ107" i="4"/>
  <c r="BQ107" i="4" s="1"/>
  <c r="BK106" i="4"/>
  <c r="CD105" i="4" s="1"/>
  <c r="BR85" i="4"/>
  <c r="BS97" i="4" s="1"/>
  <c r="BT109" i="4" s="1"/>
  <c r="BU121" i="4" s="1"/>
  <c r="CG85" i="4"/>
  <c r="BV84" i="4"/>
  <c r="BX84" i="4" s="1"/>
  <c r="CK84" i="4" s="1"/>
  <c r="CL84" i="4" s="1"/>
  <c r="BL106" i="4"/>
  <c r="BM105" i="4"/>
  <c r="BO105" i="4" s="1"/>
  <c r="AD179" i="5"/>
  <c r="AC180" i="5"/>
  <c r="BJ180" i="5"/>
  <c r="DB146" i="4"/>
  <c r="DC146" i="4" s="1"/>
  <c r="DD146" i="4" s="1"/>
  <c r="DT175" i="5"/>
  <c r="DU175" i="5" s="1"/>
  <c r="DS176" i="5" s="1"/>
  <c r="A165" i="5"/>
  <c r="CT150" i="4"/>
  <c r="J168" i="4"/>
  <c r="CV150" i="4"/>
  <c r="CS150" i="4"/>
  <c r="CY150" i="4"/>
  <c r="CW150" i="4"/>
  <c r="BP150" i="4"/>
  <c r="BI150" i="4"/>
  <c r="CA150" i="4" s="1"/>
  <c r="X150" i="4"/>
  <c r="K169" i="4" s="1"/>
  <c r="DL176" i="5"/>
  <c r="DZ176" i="5"/>
  <c r="EA174" i="5"/>
  <c r="EB173" i="5"/>
  <c r="I174" i="5" s="1"/>
  <c r="U174" i="5" s="1"/>
  <c r="DM174" i="5"/>
  <c r="DN173" i="5"/>
  <c r="H174" i="5" s="1"/>
  <c r="T174" i="5" s="1"/>
  <c r="CZ173" i="5"/>
  <c r="G174" i="5" s="1"/>
  <c r="S174" i="5" s="1"/>
  <c r="CY173" i="5"/>
  <c r="CX176" i="5"/>
  <c r="N176" i="5"/>
  <c r="CZ148" i="4"/>
  <c r="DF175" i="5"/>
  <c r="DG175" i="5" s="1"/>
  <c r="DV176" i="5"/>
  <c r="CT176" i="5"/>
  <c r="DH176" i="5"/>
  <c r="BY176" i="5"/>
  <c r="CD176" i="5" s="1"/>
  <c r="B177" i="5"/>
  <c r="AA177" i="5"/>
  <c r="AB176" i="5"/>
  <c r="K177" i="5" s="1"/>
  <c r="W177" i="5" s="1"/>
  <c r="DW174" i="5"/>
  <c r="DX174" i="5" s="1"/>
  <c r="DR176" i="5"/>
  <c r="DQ176" i="5"/>
  <c r="DY175" i="5" s="1"/>
  <c r="DP176" i="5"/>
  <c r="CS175" i="5"/>
  <c r="CQ176" i="5" s="1"/>
  <c r="DI174" i="5"/>
  <c r="DJ174" i="5" s="1"/>
  <c r="DN174" i="5" s="1"/>
  <c r="CP176" i="5"/>
  <c r="CN176" i="5"/>
  <c r="DD176" i="5"/>
  <c r="DC176" i="5"/>
  <c r="DK175" i="5" s="1"/>
  <c r="DB176" i="5"/>
  <c r="DH145" i="4"/>
  <c r="I164" i="4" s="1"/>
  <c r="DE145" i="4"/>
  <c r="H164" i="4" s="1"/>
  <c r="DG148" i="4"/>
  <c r="DA147" i="4"/>
  <c r="DB147" i="4"/>
  <c r="DC147" i="4" s="1"/>
  <c r="DH144" i="4"/>
  <c r="I163" i="4" s="1"/>
  <c r="DE144" i="4"/>
  <c r="H163" i="4" s="1"/>
  <c r="W151" i="4"/>
  <c r="C169" i="4"/>
  <c r="CX149" i="4"/>
  <c r="DF149" i="4" s="1"/>
  <c r="CU150" i="4"/>
  <c r="CL170" i="5" l="1"/>
  <c r="CK170" i="5"/>
  <c r="J176" i="5"/>
  <c r="V176" i="5" s="1"/>
  <c r="BZ177" i="5"/>
  <c r="CG177" i="5" s="1"/>
  <c r="AU165" i="5"/>
  <c r="AW164" i="5"/>
  <c r="CC171" i="5"/>
  <c r="CE171" i="5" s="1"/>
  <c r="CH171" i="5" s="1"/>
  <c r="CB172" i="5"/>
  <c r="CA177" i="5"/>
  <c r="BO177" i="5"/>
  <c r="CF177" i="5"/>
  <c r="CI177" i="5" s="1"/>
  <c r="BA177" i="5"/>
  <c r="AY177" i="5"/>
  <c r="CJ177" i="5"/>
  <c r="BE177" i="5"/>
  <c r="AV177" i="5"/>
  <c r="AT148" i="4"/>
  <c r="AW148" i="4" s="1"/>
  <c r="AA150" i="4"/>
  <c r="AT149" i="4" s="1"/>
  <c r="AW149" i="4" s="1"/>
  <c r="BR165" i="5"/>
  <c r="BS165" i="5" s="1"/>
  <c r="BW165" i="5" s="1"/>
  <c r="E166" i="5" s="1"/>
  <c r="Q166" i="5" s="1"/>
  <c r="CO176" i="5"/>
  <c r="CW175" i="5" s="1"/>
  <c r="BQ177" i="5"/>
  <c r="BK178" i="5" s="1"/>
  <c r="BL167" i="5"/>
  <c r="BT166" i="5" s="1"/>
  <c r="BV165" i="5"/>
  <c r="BM167" i="5"/>
  <c r="BP166" i="5"/>
  <c r="AQ150" i="4"/>
  <c r="AD150" i="4"/>
  <c r="AF151" i="4"/>
  <c r="CE151" i="4"/>
  <c r="AU151" i="4"/>
  <c r="Y151" i="4"/>
  <c r="Z151" i="4"/>
  <c r="AE146" i="4"/>
  <c r="AG146" i="4" s="1"/>
  <c r="AB147" i="4"/>
  <c r="BN150" i="4"/>
  <c r="BU177" i="5"/>
  <c r="AK177" i="5"/>
  <c r="AO177" i="5"/>
  <c r="AI177" i="5"/>
  <c r="BY84" i="4"/>
  <c r="CO84" i="4" s="1"/>
  <c r="CP84" i="4" s="1"/>
  <c r="BV85" i="4"/>
  <c r="BX85" i="4" s="1"/>
  <c r="CK85" i="4" s="1"/>
  <c r="CL85" i="4" s="1"/>
  <c r="CM84" i="4"/>
  <c r="CC96" i="4"/>
  <c r="BZ96" i="4"/>
  <c r="CB96" i="4" s="1"/>
  <c r="F165" i="5"/>
  <c r="R165" i="5" s="1"/>
  <c r="CH85" i="4"/>
  <c r="CI85" i="4" s="1"/>
  <c r="CJ85" i="4" s="1"/>
  <c r="CF86" i="4" s="1"/>
  <c r="BK107" i="4"/>
  <c r="CD106" i="4" s="1"/>
  <c r="BL107" i="4"/>
  <c r="BM106" i="4"/>
  <c r="BO106" i="4" s="1"/>
  <c r="BJ108" i="4"/>
  <c r="BQ108" i="4" s="1"/>
  <c r="AD180" i="5"/>
  <c r="AC181" i="5"/>
  <c r="BJ181" i="5"/>
  <c r="DT176" i="5"/>
  <c r="DU176" i="5" s="1"/>
  <c r="DW176" i="5" s="1"/>
  <c r="DX176" i="5" s="1"/>
  <c r="CT151" i="4"/>
  <c r="N177" i="5"/>
  <c r="J169" i="4"/>
  <c r="CY151" i="4"/>
  <c r="BP151" i="4"/>
  <c r="BI151" i="4"/>
  <c r="BN151" i="4" s="1"/>
  <c r="X151" i="4"/>
  <c r="K170" i="4" s="1"/>
  <c r="CS151" i="4"/>
  <c r="DL177" i="5"/>
  <c r="DZ177" i="5"/>
  <c r="EA175" i="5"/>
  <c r="EB174" i="5"/>
  <c r="I175" i="5" s="1"/>
  <c r="U175" i="5" s="1"/>
  <c r="DM175" i="5"/>
  <c r="H175" i="5"/>
  <c r="T175" i="5" s="1"/>
  <c r="CX177" i="5"/>
  <c r="CY174" i="5"/>
  <c r="CZ174" i="5"/>
  <c r="G175" i="5" s="1"/>
  <c r="S175" i="5" s="1"/>
  <c r="CZ149" i="4"/>
  <c r="CR176" i="5"/>
  <c r="CS176" i="5" s="1"/>
  <c r="CU176" i="5" s="1"/>
  <c r="DF176" i="5"/>
  <c r="DD177" i="5"/>
  <c r="DC177" i="5"/>
  <c r="DK176" i="5" s="1"/>
  <c r="DB177" i="5"/>
  <c r="DD147" i="4"/>
  <c r="DE147" i="4" s="1"/>
  <c r="H166" i="4" s="1"/>
  <c r="DI175" i="5"/>
  <c r="DJ175" i="5" s="1"/>
  <c r="B178" i="5"/>
  <c r="DV177" i="5"/>
  <c r="CT177" i="5"/>
  <c r="DH177" i="5"/>
  <c r="BY177" i="5"/>
  <c r="CD177" i="5" s="1"/>
  <c r="AA178" i="5"/>
  <c r="AB177" i="5"/>
  <c r="K178" i="5" s="1"/>
  <c r="W178" i="5" s="1"/>
  <c r="CU175" i="5"/>
  <c r="CV175" i="5" s="1"/>
  <c r="DE176" i="5"/>
  <c r="CQ177" i="5"/>
  <c r="CP177" i="5"/>
  <c r="CN177" i="5"/>
  <c r="DS177" i="5"/>
  <c r="DR177" i="5"/>
  <c r="DQ177" i="5"/>
  <c r="DY176" i="5" s="1"/>
  <c r="DP177" i="5"/>
  <c r="DW175" i="5"/>
  <c r="DX175" i="5" s="1"/>
  <c r="EB175" i="5" s="1"/>
  <c r="DG149" i="4"/>
  <c r="DB148" i="4"/>
  <c r="DC148" i="4" s="1"/>
  <c r="DA148" i="4"/>
  <c r="DH146" i="4"/>
  <c r="I165" i="4" s="1"/>
  <c r="DE146" i="4"/>
  <c r="H165" i="4" s="1"/>
  <c r="CX150" i="4"/>
  <c r="DF150" i="4" s="1"/>
  <c r="CU151" i="4"/>
  <c r="W152" i="4"/>
  <c r="C170" i="4"/>
  <c r="B169" i="4" s="1"/>
  <c r="J177" i="5" l="1"/>
  <c r="V177" i="5" s="1"/>
  <c r="AV178" i="5"/>
  <c r="CA178" i="5"/>
  <c r="CL171" i="5"/>
  <c r="CK171" i="5"/>
  <c r="CC172" i="5"/>
  <c r="CE172" i="5" s="1"/>
  <c r="CH172" i="5" s="1"/>
  <c r="CB173" i="5"/>
  <c r="BZ178" i="5"/>
  <c r="CG178" i="5" s="1"/>
  <c r="AX164" i="5"/>
  <c r="AZ164" i="5" s="1"/>
  <c r="AW165" i="5"/>
  <c r="BO178" i="5"/>
  <c r="CJ178" i="5"/>
  <c r="CF178" i="5"/>
  <c r="CI178" i="5" s="1"/>
  <c r="BA178" i="5"/>
  <c r="BE178" i="5"/>
  <c r="AY178" i="5"/>
  <c r="BB165" i="5"/>
  <c r="AU166" i="5"/>
  <c r="AA151" i="4"/>
  <c r="AT150" i="4" s="1"/>
  <c r="CO177" i="5"/>
  <c r="CW176" i="5" s="1"/>
  <c r="BR166" i="5"/>
  <c r="BS166" i="5" s="1"/>
  <c r="BW166" i="5" s="1"/>
  <c r="E167" i="5" s="1"/>
  <c r="Q167" i="5" s="1"/>
  <c r="BQ178" i="5"/>
  <c r="BK179" i="5" s="1"/>
  <c r="BP167" i="5"/>
  <c r="BM168" i="5"/>
  <c r="BV166" i="5"/>
  <c r="BL168" i="5"/>
  <c r="BT167" i="5" s="1"/>
  <c r="AQ151" i="4"/>
  <c r="AD151" i="4"/>
  <c r="CE152" i="4"/>
  <c r="AU152" i="4"/>
  <c r="AF152" i="4"/>
  <c r="Y152" i="4"/>
  <c r="AE147" i="4"/>
  <c r="AG147" i="4" s="1"/>
  <c r="AB148" i="4"/>
  <c r="Z152" i="4"/>
  <c r="CQ84" i="4"/>
  <c r="G103" i="4" s="1"/>
  <c r="AO178" i="5"/>
  <c r="AK178" i="5"/>
  <c r="BU178" i="5"/>
  <c r="AI178" i="5"/>
  <c r="BY85" i="4"/>
  <c r="CO85" i="4" s="1"/>
  <c r="CP85" i="4" s="1"/>
  <c r="CG86" i="4"/>
  <c r="F166" i="5"/>
  <c r="R166" i="5" s="1"/>
  <c r="BJ109" i="4"/>
  <c r="BQ109" i="4" s="1"/>
  <c r="CM85" i="4"/>
  <c r="CN85" i="4" s="1"/>
  <c r="F104" i="4" s="1"/>
  <c r="BM107" i="4"/>
  <c r="BO107" i="4" s="1"/>
  <c r="BL108" i="4"/>
  <c r="CC97" i="4"/>
  <c r="BZ97" i="4"/>
  <c r="CB97" i="4" s="1"/>
  <c r="BK108" i="4"/>
  <c r="CD107" i="4" s="1"/>
  <c r="BR86" i="4"/>
  <c r="BS98" i="4" s="1"/>
  <c r="BT110" i="4" s="1"/>
  <c r="BU122" i="4" s="1"/>
  <c r="CN84" i="4"/>
  <c r="F103" i="4" s="1"/>
  <c r="AD181" i="5"/>
  <c r="AC182" i="5"/>
  <c r="J178" i="5"/>
  <c r="V178" i="5" s="1"/>
  <c r="BJ182" i="5"/>
  <c r="CT152" i="4"/>
  <c r="CZ151" i="4" s="1"/>
  <c r="CS152" i="4"/>
  <c r="J170" i="4"/>
  <c r="CW151" i="4"/>
  <c r="CA151" i="4"/>
  <c r="CY152" i="4"/>
  <c r="BP152" i="4"/>
  <c r="BI152" i="4"/>
  <c r="CA152" i="4" s="1"/>
  <c r="X152" i="4"/>
  <c r="K171" i="4" s="1"/>
  <c r="DL178" i="5"/>
  <c r="DZ178" i="5"/>
  <c r="EA176" i="5"/>
  <c r="EB176" i="5"/>
  <c r="I177" i="5" s="1"/>
  <c r="U177" i="5" s="1"/>
  <c r="I176" i="5"/>
  <c r="U176" i="5" s="1"/>
  <c r="DM176" i="5"/>
  <c r="DN175" i="5"/>
  <c r="H176" i="5" s="1"/>
  <c r="T176" i="5" s="1"/>
  <c r="CX178" i="5"/>
  <c r="CZ175" i="5"/>
  <c r="G176" i="5" s="1"/>
  <c r="S176" i="5" s="1"/>
  <c r="CY175" i="5"/>
  <c r="N178" i="5"/>
  <c r="CZ150" i="4"/>
  <c r="CV151" i="4"/>
  <c r="CV152" i="4" s="1"/>
  <c r="DG150" i="4"/>
  <c r="DG176" i="5"/>
  <c r="DI176" i="5" s="1"/>
  <c r="DJ176" i="5" s="1"/>
  <c r="DN176" i="5" s="1"/>
  <c r="DT177" i="5"/>
  <c r="DU177" i="5" s="1"/>
  <c r="CV176" i="5"/>
  <c r="CR177" i="5"/>
  <c r="CS177" i="5" s="1"/>
  <c r="DF177" i="5"/>
  <c r="DP178" i="5"/>
  <c r="DS178" i="5"/>
  <c r="DR178" i="5"/>
  <c r="DQ178" i="5"/>
  <c r="DY177" i="5" s="1"/>
  <c r="DD148" i="4"/>
  <c r="DH148" i="4" s="1"/>
  <c r="I167" i="4" s="1"/>
  <c r="DH147" i="4"/>
  <c r="I166" i="4" s="1"/>
  <c r="DD178" i="5"/>
  <c r="DC178" i="5"/>
  <c r="DK177" i="5" s="1"/>
  <c r="DB178" i="5"/>
  <c r="CN178" i="5"/>
  <c r="CQ178" i="5"/>
  <c r="CP178" i="5"/>
  <c r="DE177" i="5"/>
  <c r="AA179" i="5"/>
  <c r="DV178" i="5"/>
  <c r="CT178" i="5"/>
  <c r="B179" i="5"/>
  <c r="DH178" i="5"/>
  <c r="BY178" i="5"/>
  <c r="CD178" i="5" s="1"/>
  <c r="AB178" i="5"/>
  <c r="K179" i="5" s="1"/>
  <c r="W179" i="5" s="1"/>
  <c r="DB149" i="4"/>
  <c r="DC149" i="4" s="1"/>
  <c r="DA149" i="4"/>
  <c r="CU152" i="4"/>
  <c r="C171" i="4"/>
  <c r="W153" i="4"/>
  <c r="CK172" i="5" l="1"/>
  <c r="CL172" i="5"/>
  <c r="BB166" i="5"/>
  <c r="AU167" i="5"/>
  <c r="BZ179" i="5"/>
  <c r="CG179" i="5" s="1"/>
  <c r="AV179" i="5"/>
  <c r="CC173" i="5"/>
  <c r="CE173" i="5" s="1"/>
  <c r="CH173" i="5" s="1"/>
  <c r="CB174" i="5"/>
  <c r="AX165" i="5"/>
  <c r="AZ165" i="5" s="1"/>
  <c r="AW166" i="5"/>
  <c r="BO179" i="5"/>
  <c r="CJ179" i="5"/>
  <c r="CF179" i="5"/>
  <c r="CI179" i="5" s="1"/>
  <c r="BA179" i="5"/>
  <c r="BE179" i="5"/>
  <c r="AY179" i="5"/>
  <c r="AA152" i="4"/>
  <c r="AT151" i="4" s="1"/>
  <c r="AW151" i="4" s="1"/>
  <c r="BD164" i="5"/>
  <c r="BF164" i="5" s="1"/>
  <c r="BB164" i="5"/>
  <c r="BC164" i="5" s="1"/>
  <c r="BG164" i="5" s="1"/>
  <c r="D165" i="5" s="1"/>
  <c r="P165" i="5" s="1"/>
  <c r="CA179" i="5"/>
  <c r="CO178" i="5"/>
  <c r="CW177" i="5" s="1"/>
  <c r="BR167" i="5"/>
  <c r="BS167" i="5" s="1"/>
  <c r="BW167" i="5" s="1"/>
  <c r="E168" i="5" s="1"/>
  <c r="Q168" i="5" s="1"/>
  <c r="BQ179" i="5"/>
  <c r="BK180" i="5" s="1"/>
  <c r="BV167" i="5"/>
  <c r="BL169" i="5"/>
  <c r="BT168" i="5" s="1"/>
  <c r="BM169" i="5"/>
  <c r="BP168" i="5"/>
  <c r="AQ152" i="4"/>
  <c r="AD152" i="4"/>
  <c r="AU153" i="4"/>
  <c r="AF153" i="4"/>
  <c r="CE153" i="4"/>
  <c r="Y153" i="4"/>
  <c r="Z153" i="4"/>
  <c r="AE148" i="4"/>
  <c r="AG148" i="4" s="1"/>
  <c r="AB149" i="4"/>
  <c r="BN152" i="4"/>
  <c r="BU179" i="5"/>
  <c r="AK179" i="5"/>
  <c r="AO179" i="5"/>
  <c r="AI179" i="5"/>
  <c r="BL109" i="4"/>
  <c r="BM108" i="4"/>
  <c r="BO108" i="4" s="1"/>
  <c r="BJ110" i="4"/>
  <c r="BQ110" i="4" s="1"/>
  <c r="CH86" i="4"/>
  <c r="CI86" i="4" s="1"/>
  <c r="CJ86" i="4" s="1"/>
  <c r="CF87" i="4" s="1"/>
  <c r="BK109" i="4"/>
  <c r="CQ85" i="4"/>
  <c r="G104" i="4" s="1"/>
  <c r="F167" i="5"/>
  <c r="R167" i="5" s="1"/>
  <c r="BV86" i="4"/>
  <c r="BX86" i="4" s="1"/>
  <c r="CK86" i="4" s="1"/>
  <c r="CL86" i="4" s="1"/>
  <c r="J179" i="5"/>
  <c r="V179" i="5" s="1"/>
  <c r="AD182" i="5"/>
  <c r="AC183" i="5"/>
  <c r="DE178" i="5"/>
  <c r="DE179" i="5" s="1"/>
  <c r="BJ183" i="5"/>
  <c r="CT153" i="4"/>
  <c r="CZ152" i="4" s="1"/>
  <c r="DT178" i="5"/>
  <c r="DU178" i="5" s="1"/>
  <c r="J171" i="4"/>
  <c r="CW152" i="4"/>
  <c r="CX152" i="4" s="1"/>
  <c r="DF152" i="4" s="1"/>
  <c r="CY153" i="4"/>
  <c r="BP153" i="4"/>
  <c r="BI153" i="4"/>
  <c r="X153" i="4"/>
  <c r="K172" i="4" s="1"/>
  <c r="CS153" i="4"/>
  <c r="CV153" i="4"/>
  <c r="DL179" i="5"/>
  <c r="DZ179" i="5"/>
  <c r="EA177" i="5"/>
  <c r="DM177" i="5"/>
  <c r="H177" i="5"/>
  <c r="T177" i="5" s="1"/>
  <c r="CY176" i="5"/>
  <c r="CZ176" i="5"/>
  <c r="G177" i="5" s="1"/>
  <c r="S177" i="5" s="1"/>
  <c r="CX179" i="5"/>
  <c r="N179" i="5"/>
  <c r="DD149" i="4"/>
  <c r="DE149" i="4" s="1"/>
  <c r="H168" i="4" s="1"/>
  <c r="DE148" i="4"/>
  <c r="H167" i="4" s="1"/>
  <c r="CR178" i="5"/>
  <c r="CS178" i="5" s="1"/>
  <c r="DF178" i="5"/>
  <c r="CU177" i="5"/>
  <c r="CV177" i="5" s="1"/>
  <c r="DW177" i="5"/>
  <c r="DX177" i="5" s="1"/>
  <c r="EB177" i="5" s="1"/>
  <c r="B180" i="5"/>
  <c r="AA180" i="5"/>
  <c r="DV179" i="5"/>
  <c r="CT179" i="5"/>
  <c r="BY179" i="5"/>
  <c r="CD179" i="5" s="1"/>
  <c r="DH179" i="5"/>
  <c r="AB179" i="5"/>
  <c r="K180" i="5" s="1"/>
  <c r="W180" i="5" s="1"/>
  <c r="DD179" i="5"/>
  <c r="DC179" i="5"/>
  <c r="DK178" i="5" s="1"/>
  <c r="DB179" i="5"/>
  <c r="CN179" i="5"/>
  <c r="CP179" i="5"/>
  <c r="CQ179" i="5"/>
  <c r="DQ179" i="5"/>
  <c r="DY178" i="5" s="1"/>
  <c r="DP179" i="5"/>
  <c r="DS179" i="5"/>
  <c r="DR179" i="5"/>
  <c r="DG177" i="5"/>
  <c r="CX151" i="4"/>
  <c r="DF151" i="4" s="1"/>
  <c r="DA150" i="4"/>
  <c r="DB150" i="4"/>
  <c r="DC150" i="4" s="1"/>
  <c r="C172" i="4"/>
  <c r="W154" i="4"/>
  <c r="CU153" i="4"/>
  <c r="AA153" i="4" l="1"/>
  <c r="AT152" i="4" s="1"/>
  <c r="AW152" i="4" s="1"/>
  <c r="CO179" i="5"/>
  <c r="CW178" i="5" s="1"/>
  <c r="AV180" i="5"/>
  <c r="CL173" i="5"/>
  <c r="CK173" i="5"/>
  <c r="BZ180" i="5"/>
  <c r="CG180" i="5" s="1"/>
  <c r="AX166" i="5"/>
  <c r="AZ166" i="5" s="1"/>
  <c r="AW167" i="5"/>
  <c r="BB167" i="5"/>
  <c r="AU168" i="5"/>
  <c r="BD165" i="5"/>
  <c r="BF165" i="5" s="1"/>
  <c r="BC165" i="5"/>
  <c r="BG165" i="5" s="1"/>
  <c r="D166" i="5" s="1"/>
  <c r="P166" i="5" s="1"/>
  <c r="CA180" i="5"/>
  <c r="BO180" i="5"/>
  <c r="CF180" i="5"/>
  <c r="CI180" i="5" s="1"/>
  <c r="AY180" i="5"/>
  <c r="CJ180" i="5"/>
  <c r="BA180" i="5"/>
  <c r="BE180" i="5"/>
  <c r="CC174" i="5"/>
  <c r="CE174" i="5" s="1"/>
  <c r="CH174" i="5" s="1"/>
  <c r="CB175" i="5"/>
  <c r="BR168" i="5"/>
  <c r="BS168" i="5" s="1"/>
  <c r="BW168" i="5" s="1"/>
  <c r="E169" i="5" s="1"/>
  <c r="Q169" i="5" s="1"/>
  <c r="BQ180" i="5"/>
  <c r="BK181" i="5" s="1"/>
  <c r="BP169" i="5"/>
  <c r="BM170" i="5"/>
  <c r="BV168" i="5"/>
  <c r="BL170" i="5"/>
  <c r="BT169" i="5" s="1"/>
  <c r="J180" i="5"/>
  <c r="V180" i="5" s="1"/>
  <c r="AQ153" i="4"/>
  <c r="AD153" i="4"/>
  <c r="BN153" i="4"/>
  <c r="CE154" i="4"/>
  <c r="AF154" i="4"/>
  <c r="AU154" i="4"/>
  <c r="Y154" i="4"/>
  <c r="Z154" i="4"/>
  <c r="AA154" i="4"/>
  <c r="AT153" i="4" s="1"/>
  <c r="AE149" i="4"/>
  <c r="AG149" i="4" s="1"/>
  <c r="AB150" i="4"/>
  <c r="CD108" i="4"/>
  <c r="BU180" i="5"/>
  <c r="AO180" i="5"/>
  <c r="AK180" i="5"/>
  <c r="AI180" i="5"/>
  <c r="BY86" i="4"/>
  <c r="CO86" i="4" s="1"/>
  <c r="CP86" i="4" s="1"/>
  <c r="BM109" i="4"/>
  <c r="BO109" i="4" s="1"/>
  <c r="BL110" i="4"/>
  <c r="F168" i="5"/>
  <c r="R168" i="5" s="1"/>
  <c r="CC98" i="4"/>
  <c r="BZ98" i="4"/>
  <c r="CB98" i="4" s="1"/>
  <c r="CG87" i="4"/>
  <c r="CH87" i="4" s="1"/>
  <c r="CI87" i="4" s="1"/>
  <c r="CJ87" i="4" s="1"/>
  <c r="CF88" i="4" s="1"/>
  <c r="CM86" i="4"/>
  <c r="CN86" i="4" s="1"/>
  <c r="F105" i="4" s="1"/>
  <c r="BJ111" i="4"/>
  <c r="BQ111" i="4" s="1"/>
  <c r="BR87" i="4"/>
  <c r="BS99" i="4" s="1"/>
  <c r="BT111" i="4" s="1"/>
  <c r="BU123" i="4" s="1"/>
  <c r="BK110" i="4"/>
  <c r="CD109" i="4" s="1"/>
  <c r="DG178" i="5"/>
  <c r="DI178" i="5" s="1"/>
  <c r="DJ178" i="5" s="1"/>
  <c r="AD183" i="5"/>
  <c r="AC184" i="5"/>
  <c r="BJ184" i="5"/>
  <c r="CT154" i="4"/>
  <c r="CZ153" i="4" s="1"/>
  <c r="DT179" i="5"/>
  <c r="DU179" i="5" s="1"/>
  <c r="J172" i="4"/>
  <c r="CV154" i="4"/>
  <c r="CS154" i="4"/>
  <c r="CW153" i="4"/>
  <c r="CX153" i="4" s="1"/>
  <c r="DF153" i="4" s="1"/>
  <c r="CA153" i="4"/>
  <c r="CY154" i="4"/>
  <c r="BP154" i="4"/>
  <c r="BI154" i="4"/>
  <c r="BN154" i="4" s="1"/>
  <c r="X154" i="4"/>
  <c r="K173" i="4" s="1"/>
  <c r="DL180" i="5"/>
  <c r="DZ180" i="5"/>
  <c r="I178" i="5"/>
  <c r="U178" i="5" s="1"/>
  <c r="EA178" i="5"/>
  <c r="DM178" i="5"/>
  <c r="CX180" i="5"/>
  <c r="CZ177" i="5"/>
  <c r="G178" i="5" s="1"/>
  <c r="S178" i="5" s="1"/>
  <c r="CY177" i="5"/>
  <c r="N180" i="5"/>
  <c r="DG152" i="4"/>
  <c r="DG151" i="4"/>
  <c r="DH149" i="4"/>
  <c r="I168" i="4" s="1"/>
  <c r="DD150" i="4"/>
  <c r="DE150" i="4" s="1"/>
  <c r="H169" i="4" s="1"/>
  <c r="CU178" i="5"/>
  <c r="CV178" i="5" s="1"/>
  <c r="DI177" i="5"/>
  <c r="DJ177" i="5" s="1"/>
  <c r="DP180" i="5"/>
  <c r="DS180" i="5"/>
  <c r="DR180" i="5"/>
  <c r="DQ180" i="5"/>
  <c r="DY179" i="5" s="1"/>
  <c r="DW178" i="5"/>
  <c r="DX178" i="5" s="1"/>
  <c r="CR179" i="5"/>
  <c r="CS179" i="5" s="1"/>
  <c r="DF179" i="5"/>
  <c r="DG179" i="5" s="1"/>
  <c r="DV180" i="5"/>
  <c r="BY180" i="5"/>
  <c r="CD180" i="5" s="1"/>
  <c r="DH180" i="5"/>
  <c r="AA181" i="5"/>
  <c r="CT180" i="5"/>
  <c r="B181" i="5"/>
  <c r="AB180" i="5"/>
  <c r="K181" i="5" s="1"/>
  <c r="W181" i="5" s="1"/>
  <c r="DD180" i="5"/>
  <c r="DE180" i="5"/>
  <c r="DB180" i="5"/>
  <c r="DC180" i="5"/>
  <c r="DK179" i="5" s="1"/>
  <c r="CP180" i="5"/>
  <c r="CO180" i="5"/>
  <c r="CW179" i="5" s="1"/>
  <c r="CN180" i="5"/>
  <c r="CQ180" i="5"/>
  <c r="DB151" i="4"/>
  <c r="DC151" i="4" s="1"/>
  <c r="DA151" i="4"/>
  <c r="C173" i="4"/>
  <c r="W155" i="4"/>
  <c r="CU154" i="4"/>
  <c r="CL174" i="5" l="1"/>
  <c r="CK174" i="5"/>
  <c r="BO181" i="5"/>
  <c r="BA181" i="5"/>
  <c r="AY181" i="5"/>
  <c r="CF181" i="5"/>
  <c r="CI181" i="5" s="1"/>
  <c r="CJ181" i="5"/>
  <c r="BE181" i="5"/>
  <c r="BZ181" i="5"/>
  <c r="CG181" i="5" s="1"/>
  <c r="AX167" i="5"/>
  <c r="AZ167" i="5" s="1"/>
  <c r="AW168" i="5"/>
  <c r="BD166" i="5"/>
  <c r="BF166" i="5" s="1"/>
  <c r="BC166" i="5"/>
  <c r="BG166" i="5" s="1"/>
  <c r="D167" i="5" s="1"/>
  <c r="P167" i="5" s="1"/>
  <c r="CA181" i="5"/>
  <c r="AV181" i="5"/>
  <c r="AV182" i="5" s="1"/>
  <c r="CC175" i="5"/>
  <c r="CE175" i="5" s="1"/>
  <c r="CI175" i="5" s="1"/>
  <c r="CB176" i="5"/>
  <c r="BB168" i="5"/>
  <c r="AU169" i="5"/>
  <c r="BR169" i="5"/>
  <c r="BS169" i="5" s="1"/>
  <c r="BW169" i="5" s="1"/>
  <c r="E170" i="5" s="1"/>
  <c r="Q170" i="5" s="1"/>
  <c r="BQ181" i="5"/>
  <c r="BK182" i="5" s="1"/>
  <c r="BV169" i="5"/>
  <c r="BL171" i="5"/>
  <c r="BT170" i="5" s="1"/>
  <c r="BM171" i="5"/>
  <c r="BP170" i="5"/>
  <c r="J181" i="5"/>
  <c r="V181" i="5" s="1"/>
  <c r="AQ154" i="4"/>
  <c r="AD154" i="4"/>
  <c r="Z155" i="4"/>
  <c r="AA155" i="4"/>
  <c r="AT154" i="4" s="1"/>
  <c r="AE150" i="4"/>
  <c r="AB151" i="4"/>
  <c r="AF155" i="4"/>
  <c r="AU155" i="4"/>
  <c r="CE155" i="4"/>
  <c r="Y155" i="4"/>
  <c r="AW153" i="4"/>
  <c r="CT155" i="4"/>
  <c r="CZ154" i="4" s="1"/>
  <c r="BU181" i="5"/>
  <c r="AK181" i="5"/>
  <c r="AO181" i="5"/>
  <c r="AI181" i="5"/>
  <c r="CQ86" i="4"/>
  <c r="G105" i="4" s="1"/>
  <c r="BK111" i="4"/>
  <c r="CD110" i="4" s="1"/>
  <c r="BM110" i="4"/>
  <c r="BO110" i="4" s="1"/>
  <c r="BL111" i="4"/>
  <c r="BR88" i="4"/>
  <c r="BS100" i="4" s="1"/>
  <c r="BT112" i="4" s="1"/>
  <c r="BU124" i="4" s="1"/>
  <c r="BV87" i="4"/>
  <c r="BX87" i="4" s="1"/>
  <c r="CK87" i="4" s="1"/>
  <c r="CL87" i="4" s="1"/>
  <c r="CG88" i="4"/>
  <c r="F169" i="5"/>
  <c r="R169" i="5" s="1"/>
  <c r="BJ112" i="4"/>
  <c r="BQ112" i="4" s="1"/>
  <c r="AD184" i="5"/>
  <c r="AC185" i="5"/>
  <c r="BJ185" i="5"/>
  <c r="J173" i="4"/>
  <c r="CW154" i="4"/>
  <c r="CX154" i="4" s="1"/>
  <c r="DF154" i="4" s="1"/>
  <c r="CA154" i="4"/>
  <c r="BP155" i="4"/>
  <c r="CY155" i="4"/>
  <c r="BI155" i="4"/>
  <c r="BN155" i="4" s="1"/>
  <c r="X155" i="4"/>
  <c r="K174" i="4" s="1"/>
  <c r="CV155" i="4"/>
  <c r="CS155" i="4"/>
  <c r="DL181" i="5"/>
  <c r="DZ181" i="5"/>
  <c r="EA179" i="5"/>
  <c r="EB178" i="5"/>
  <c r="I179" i="5" s="1"/>
  <c r="U179" i="5" s="1"/>
  <c r="DN177" i="5"/>
  <c r="H178" i="5" s="1"/>
  <c r="T178" i="5" s="1"/>
  <c r="DN178" i="5"/>
  <c r="H179" i="5" s="1"/>
  <c r="T179" i="5" s="1"/>
  <c r="DM179" i="5"/>
  <c r="CZ178" i="5"/>
  <c r="G179" i="5" s="1"/>
  <c r="S179" i="5" s="1"/>
  <c r="CY178" i="5"/>
  <c r="CX181" i="5"/>
  <c r="N181" i="5"/>
  <c r="DD151" i="4"/>
  <c r="DE151" i="4" s="1"/>
  <c r="H170" i="4" s="1"/>
  <c r="DG153" i="4"/>
  <c r="DH150" i="4"/>
  <c r="I169" i="4" s="1"/>
  <c r="CU179" i="5"/>
  <c r="CV179" i="5" s="1"/>
  <c r="DI179" i="5"/>
  <c r="DJ179" i="5" s="1"/>
  <c r="CN181" i="5"/>
  <c r="CO181" i="5"/>
  <c r="CW180" i="5" s="1"/>
  <c r="CP181" i="5"/>
  <c r="CQ181" i="5"/>
  <c r="AA182" i="5"/>
  <c r="B182" i="5"/>
  <c r="DV181" i="5"/>
  <c r="CT181" i="5"/>
  <c r="BY181" i="5"/>
  <c r="CD181" i="5" s="1"/>
  <c r="DH181" i="5"/>
  <c r="AB181" i="5"/>
  <c r="K182" i="5" s="1"/>
  <c r="W182" i="5" s="1"/>
  <c r="DP181" i="5"/>
  <c r="DR181" i="5"/>
  <c r="DQ181" i="5"/>
  <c r="DY180" i="5" s="1"/>
  <c r="DS181" i="5"/>
  <c r="DE181" i="5"/>
  <c r="DD181" i="5"/>
  <c r="DB181" i="5"/>
  <c r="DC181" i="5"/>
  <c r="DK180" i="5" s="1"/>
  <c r="DF180" i="5"/>
  <c r="DG180" i="5" s="1"/>
  <c r="DW179" i="5"/>
  <c r="DX179" i="5" s="1"/>
  <c r="CR180" i="5"/>
  <c r="CS180" i="5" s="1"/>
  <c r="DT180" i="5"/>
  <c r="DU180" i="5" s="1"/>
  <c r="DB152" i="4"/>
  <c r="DC152" i="4" s="1"/>
  <c r="DA152" i="4"/>
  <c r="CU155" i="4"/>
  <c r="C174" i="4"/>
  <c r="W156" i="4"/>
  <c r="CC176" i="5" l="1"/>
  <c r="CE176" i="5" s="1"/>
  <c r="CH176" i="5" s="1"/>
  <c r="CB177" i="5"/>
  <c r="AX168" i="5"/>
  <c r="AZ168" i="5" s="1"/>
  <c r="AW169" i="5"/>
  <c r="BZ182" i="5"/>
  <c r="CG182" i="5" s="1"/>
  <c r="CK175" i="5"/>
  <c r="CH175" i="5"/>
  <c r="CL175" i="5" s="1"/>
  <c r="BD167" i="5"/>
  <c r="BF167" i="5" s="1"/>
  <c r="BC167" i="5"/>
  <c r="BG167" i="5" s="1"/>
  <c r="D168" i="5" s="1"/>
  <c r="P168" i="5" s="1"/>
  <c r="BO182" i="5"/>
  <c r="CF182" i="5"/>
  <c r="CI182" i="5" s="1"/>
  <c r="BA182" i="5"/>
  <c r="AV183" i="5" s="1"/>
  <c r="BE182" i="5"/>
  <c r="CJ182" i="5"/>
  <c r="AY182" i="5"/>
  <c r="CA182" i="5"/>
  <c r="BB169" i="5"/>
  <c r="AU170" i="5"/>
  <c r="AG150" i="4"/>
  <c r="AC151" i="4"/>
  <c r="AC152" i="4" s="1"/>
  <c r="AC153" i="4" s="1"/>
  <c r="AC154" i="4" s="1"/>
  <c r="AC155" i="4" s="1"/>
  <c r="AC156" i="4" s="1"/>
  <c r="BR170" i="5"/>
  <c r="BS170" i="5" s="1"/>
  <c r="BW170" i="5" s="1"/>
  <c r="E171" i="5" s="1"/>
  <c r="Q171" i="5" s="1"/>
  <c r="BQ182" i="5"/>
  <c r="BK183" i="5" s="1"/>
  <c r="BM172" i="5"/>
  <c r="BP171" i="5"/>
  <c r="BV170" i="5"/>
  <c r="BL172" i="5"/>
  <c r="BT171" i="5" s="1"/>
  <c r="J182" i="5"/>
  <c r="V182" i="5" s="1"/>
  <c r="AQ155" i="4"/>
  <c r="AD155" i="4"/>
  <c r="AW154" i="4"/>
  <c r="AB152" i="4"/>
  <c r="AU156" i="4"/>
  <c r="AF156" i="4"/>
  <c r="CE156" i="4"/>
  <c r="Y156" i="4"/>
  <c r="Z156" i="4"/>
  <c r="AA156" i="4"/>
  <c r="AT155" i="4" s="1"/>
  <c r="CT156" i="4"/>
  <c r="CZ155" i="4" s="1"/>
  <c r="BU182" i="5"/>
  <c r="AO182" i="5"/>
  <c r="AK182" i="5"/>
  <c r="AI182" i="5"/>
  <c r="F170" i="5"/>
  <c r="R170" i="5" s="1"/>
  <c r="BK112" i="4"/>
  <c r="CD111" i="4" s="1"/>
  <c r="BJ113" i="4"/>
  <c r="BQ113" i="4" s="1"/>
  <c r="CH88" i="4"/>
  <c r="CI88" i="4" s="1"/>
  <c r="CJ88" i="4" s="1"/>
  <c r="CF89" i="4" s="1"/>
  <c r="BV88" i="4"/>
  <c r="BX88" i="4" s="1"/>
  <c r="CK88" i="4" s="1"/>
  <c r="CL88" i="4" s="1"/>
  <c r="BY87" i="4"/>
  <c r="CO87" i="4" s="1"/>
  <c r="CP87" i="4" s="1"/>
  <c r="CM87" i="4"/>
  <c r="CN87" i="4" s="1"/>
  <c r="F106" i="4" s="1"/>
  <c r="CC99" i="4"/>
  <c r="BZ99" i="4"/>
  <c r="CB99" i="4" s="1"/>
  <c r="BM111" i="4"/>
  <c r="BO111" i="4" s="1"/>
  <c r="BL112" i="4"/>
  <c r="AD185" i="5"/>
  <c r="AC186" i="5"/>
  <c r="BJ186" i="5"/>
  <c r="DF181" i="5"/>
  <c r="DG181" i="5" s="1"/>
  <c r="J174" i="4"/>
  <c r="CS156" i="4"/>
  <c r="CW155" i="4"/>
  <c r="CX155" i="4" s="1"/>
  <c r="DF155" i="4" s="1"/>
  <c r="CA155" i="4"/>
  <c r="BP156" i="4"/>
  <c r="CY156" i="4"/>
  <c r="BI156" i="4"/>
  <c r="CA156" i="4" s="1"/>
  <c r="X156" i="4"/>
  <c r="K175" i="4" s="1"/>
  <c r="CV156" i="4"/>
  <c r="DL182" i="5"/>
  <c r="DZ182" i="5"/>
  <c r="EA180" i="5"/>
  <c r="EB179" i="5"/>
  <c r="I180" i="5" s="1"/>
  <c r="U180" i="5" s="1"/>
  <c r="DM180" i="5"/>
  <c r="DN179" i="5"/>
  <c r="H180" i="5" s="1"/>
  <c r="T180" i="5" s="1"/>
  <c r="CY179" i="5"/>
  <c r="CZ179" i="5"/>
  <c r="G180" i="5" s="1"/>
  <c r="S180" i="5" s="1"/>
  <c r="CX182" i="5"/>
  <c r="N182" i="5"/>
  <c r="DD152" i="4"/>
  <c r="DH151" i="4"/>
  <c r="I170" i="4" s="1"/>
  <c r="DG154" i="4"/>
  <c r="DT181" i="5"/>
  <c r="DU181" i="5" s="1"/>
  <c r="CR181" i="5"/>
  <c r="CS181" i="5" s="1"/>
  <c r="DW180" i="5"/>
  <c r="DX180" i="5" s="1"/>
  <c r="EB180" i="5" s="1"/>
  <c r="CU180" i="5"/>
  <c r="CV180" i="5" s="1"/>
  <c r="DI180" i="5"/>
  <c r="DJ180" i="5" s="1"/>
  <c r="DN180" i="5" s="1"/>
  <c r="CO182" i="5"/>
  <c r="CW181" i="5" s="1"/>
  <c r="CN182" i="5"/>
  <c r="CP182" i="5"/>
  <c r="CQ182" i="5"/>
  <c r="DQ182" i="5"/>
  <c r="DY181" i="5" s="1"/>
  <c r="DP182" i="5"/>
  <c r="DS182" i="5"/>
  <c r="DR182" i="5"/>
  <c r="DE182" i="5"/>
  <c r="DC182" i="5"/>
  <c r="DK181" i="5" s="1"/>
  <c r="DB182" i="5"/>
  <c r="DD182" i="5"/>
  <c r="AA183" i="5"/>
  <c r="B183" i="5"/>
  <c r="BY182" i="5"/>
  <c r="CD182" i="5" s="1"/>
  <c r="CT182" i="5"/>
  <c r="DV182" i="5"/>
  <c r="DH182" i="5"/>
  <c r="AB182" i="5"/>
  <c r="K183" i="5" s="1"/>
  <c r="W183" i="5" s="1"/>
  <c r="DA153" i="4"/>
  <c r="DB153" i="4"/>
  <c r="DC153" i="4" s="1"/>
  <c r="C175" i="4"/>
  <c r="W157" i="4"/>
  <c r="CU156" i="4"/>
  <c r="CA183" i="5" l="1"/>
  <c r="CK176" i="5"/>
  <c r="CL176" i="5"/>
  <c r="AX169" i="5"/>
  <c r="AZ169" i="5" s="1"/>
  <c r="AW170" i="5"/>
  <c r="BD168" i="5"/>
  <c r="BF168" i="5" s="1"/>
  <c r="BC168" i="5"/>
  <c r="BG168" i="5" s="1"/>
  <c r="D169" i="5" s="1"/>
  <c r="P169" i="5" s="1"/>
  <c r="BO183" i="5"/>
  <c r="CF183" i="5"/>
  <c r="CI183" i="5" s="1"/>
  <c r="CJ183" i="5"/>
  <c r="BA183" i="5"/>
  <c r="BE183" i="5"/>
  <c r="AY183" i="5"/>
  <c r="BB170" i="5"/>
  <c r="AU171" i="5"/>
  <c r="CC177" i="5"/>
  <c r="CE177" i="5" s="1"/>
  <c r="CH177" i="5" s="1"/>
  <c r="CB178" i="5"/>
  <c r="BZ183" i="5"/>
  <c r="CG183" i="5" s="1"/>
  <c r="AC157" i="4"/>
  <c r="AE151" i="4"/>
  <c r="AG151" i="4" s="1"/>
  <c r="BR171" i="5"/>
  <c r="BS171" i="5" s="1"/>
  <c r="BW171" i="5" s="1"/>
  <c r="E172" i="5" s="1"/>
  <c r="Q172" i="5" s="1"/>
  <c r="BQ183" i="5"/>
  <c r="BK184" i="5" s="1"/>
  <c r="BL173" i="5"/>
  <c r="BT172" i="5" s="1"/>
  <c r="BV171" i="5"/>
  <c r="BM173" i="5"/>
  <c r="BP172" i="5"/>
  <c r="J183" i="5"/>
  <c r="V183" i="5" s="1"/>
  <c r="AQ156" i="4"/>
  <c r="AD156" i="4"/>
  <c r="BN156" i="4"/>
  <c r="AE152" i="4"/>
  <c r="AG152" i="4" s="1"/>
  <c r="AB153" i="4"/>
  <c r="Z157" i="4"/>
  <c r="AA157" i="4"/>
  <c r="AT156" i="4" s="1"/>
  <c r="AW155" i="4"/>
  <c r="CE157" i="4"/>
  <c r="AF157" i="4"/>
  <c r="AU157" i="4"/>
  <c r="Y157" i="4"/>
  <c r="CT157" i="4"/>
  <c r="CZ156" i="4" s="1"/>
  <c r="BU183" i="5"/>
  <c r="AK183" i="5"/>
  <c r="AO183" i="5"/>
  <c r="AI183" i="5"/>
  <c r="CQ87" i="4"/>
  <c r="G106" i="4" s="1"/>
  <c r="BY88" i="4"/>
  <c r="CO88" i="4" s="1"/>
  <c r="CP88" i="4" s="1"/>
  <c r="CG89" i="4"/>
  <c r="F171" i="5"/>
  <c r="R171" i="5" s="1"/>
  <c r="BK113" i="4"/>
  <c r="CD112" i="4" s="1"/>
  <c r="BL113" i="4"/>
  <c r="BM112" i="4"/>
  <c r="BO112" i="4" s="1"/>
  <c r="BR89" i="4"/>
  <c r="BS101" i="4" s="1"/>
  <c r="BT113" i="4" s="1"/>
  <c r="BU125" i="4" s="1"/>
  <c r="BJ114" i="4"/>
  <c r="CM88" i="4"/>
  <c r="CC100" i="4"/>
  <c r="BZ100" i="4"/>
  <c r="CB100" i="4" s="1"/>
  <c r="AD186" i="5"/>
  <c r="AC187" i="5"/>
  <c r="BJ187" i="5"/>
  <c r="J175" i="4"/>
  <c r="CW156" i="4"/>
  <c r="CX156" i="4" s="1"/>
  <c r="DF156" i="4" s="1"/>
  <c r="CV157" i="4"/>
  <c r="BP157" i="4"/>
  <c r="CY157" i="4"/>
  <c r="BI157" i="4"/>
  <c r="X157" i="4"/>
  <c r="K176" i="4" s="1"/>
  <c r="CS157" i="4"/>
  <c r="DL183" i="5"/>
  <c r="DZ183" i="5"/>
  <c r="EA181" i="5"/>
  <c r="I181" i="5"/>
  <c r="U181" i="5" s="1"/>
  <c r="DM181" i="5"/>
  <c r="H181" i="5"/>
  <c r="T181" i="5" s="1"/>
  <c r="CY180" i="5"/>
  <c r="CZ180" i="5"/>
  <c r="G181" i="5" s="1"/>
  <c r="S181" i="5" s="1"/>
  <c r="CX183" i="5"/>
  <c r="N183" i="5"/>
  <c r="DH152" i="4"/>
  <c r="I171" i="4" s="1"/>
  <c r="DE152" i="4"/>
  <c r="H171" i="4" s="1"/>
  <c r="DD153" i="4"/>
  <c r="DF182" i="5"/>
  <c r="DG182" i="5" s="1"/>
  <c r="CP183" i="5"/>
  <c r="CO183" i="5"/>
  <c r="CW182" i="5" s="1"/>
  <c r="CN183" i="5"/>
  <c r="CQ183" i="5"/>
  <c r="DH183" i="5"/>
  <c r="BY183" i="5"/>
  <c r="CD183" i="5" s="1"/>
  <c r="B184" i="5"/>
  <c r="AA184" i="5"/>
  <c r="DV183" i="5"/>
  <c r="CT183" i="5"/>
  <c r="AB183" i="5"/>
  <c r="K184" i="5" s="1"/>
  <c r="W184" i="5" s="1"/>
  <c r="DD183" i="5"/>
  <c r="DE183" i="5"/>
  <c r="DB183" i="5"/>
  <c r="DC183" i="5"/>
  <c r="DK182" i="5" s="1"/>
  <c r="CR182" i="5"/>
  <c r="CS182" i="5" s="1"/>
  <c r="DW181" i="5"/>
  <c r="DX181" i="5" s="1"/>
  <c r="EB181" i="5" s="1"/>
  <c r="CU181" i="5"/>
  <c r="CV181" i="5" s="1"/>
  <c r="DT182" i="5"/>
  <c r="DU182" i="5" s="1"/>
  <c r="DI181" i="5"/>
  <c r="DJ181" i="5" s="1"/>
  <c r="DN181" i="5" s="1"/>
  <c r="DR183" i="5"/>
  <c r="DQ183" i="5"/>
  <c r="DY182" i="5" s="1"/>
  <c r="DP183" i="5"/>
  <c r="DS183" i="5"/>
  <c r="DG155" i="4"/>
  <c r="DA154" i="4"/>
  <c r="DB154" i="4"/>
  <c r="DC154" i="4" s="1"/>
  <c r="C176" i="4"/>
  <c r="W158" i="4"/>
  <c r="CU157" i="4"/>
  <c r="CA184" i="5" l="1"/>
  <c r="CK177" i="5"/>
  <c r="CL177" i="5"/>
  <c r="CC178" i="5"/>
  <c r="CE178" i="5" s="1"/>
  <c r="CH178" i="5" s="1"/>
  <c r="CB179" i="5"/>
  <c r="AX170" i="5"/>
  <c r="AZ170" i="5" s="1"/>
  <c r="AW171" i="5"/>
  <c r="BO184" i="5"/>
  <c r="CF184" i="5"/>
  <c r="CI184" i="5" s="1"/>
  <c r="CJ184" i="5"/>
  <c r="AY184" i="5"/>
  <c r="BA184" i="5"/>
  <c r="BE184" i="5"/>
  <c r="BD169" i="5"/>
  <c r="BF169" i="5" s="1"/>
  <c r="BC169" i="5"/>
  <c r="BG169" i="5" s="1"/>
  <c r="D170" i="5" s="1"/>
  <c r="P170" i="5" s="1"/>
  <c r="BB171" i="5"/>
  <c r="AU172" i="5"/>
  <c r="AV184" i="5"/>
  <c r="BZ184" i="5"/>
  <c r="CG184" i="5" s="1"/>
  <c r="AC158" i="4"/>
  <c r="BR172" i="5"/>
  <c r="BS172" i="5" s="1"/>
  <c r="BW172" i="5" s="1"/>
  <c r="E173" i="5" s="1"/>
  <c r="Q173" i="5" s="1"/>
  <c r="BQ184" i="5"/>
  <c r="BK185" i="5" s="1"/>
  <c r="BP173" i="5"/>
  <c r="BM174" i="5"/>
  <c r="BV172" i="5"/>
  <c r="BL174" i="5"/>
  <c r="BT173" i="5" s="1"/>
  <c r="J184" i="5"/>
  <c r="V184" i="5" s="1"/>
  <c r="AQ157" i="4"/>
  <c r="AD157" i="4"/>
  <c r="BN157" i="4"/>
  <c r="AE153" i="4"/>
  <c r="AG153" i="4" s="1"/>
  <c r="AB154" i="4"/>
  <c r="AU158" i="4"/>
  <c r="AF158" i="4"/>
  <c r="CE158" i="4"/>
  <c r="Y158" i="4"/>
  <c r="Z158" i="4"/>
  <c r="AA158" i="4"/>
  <c r="AT157" i="4" s="1"/>
  <c r="CQ88" i="4"/>
  <c r="G107" i="4" s="1"/>
  <c r="CT158" i="4"/>
  <c r="CZ157" i="4" s="1"/>
  <c r="BU184" i="5"/>
  <c r="AO184" i="5"/>
  <c r="AK184" i="5"/>
  <c r="AI184" i="5"/>
  <c r="BK114" i="4"/>
  <c r="CD113" i="4" s="1"/>
  <c r="F172" i="5"/>
  <c r="R172" i="5" s="1"/>
  <c r="BV89" i="4"/>
  <c r="BX89" i="4" s="1"/>
  <c r="CK89" i="4" s="1"/>
  <c r="CL89" i="4" s="1"/>
  <c r="CN88" i="4"/>
  <c r="F107" i="4" s="1"/>
  <c r="BM113" i="4"/>
  <c r="BO113" i="4" s="1"/>
  <c r="BL114" i="4"/>
  <c r="BM114" i="4" s="1"/>
  <c r="BO114" i="4" s="1"/>
  <c r="BJ115" i="4" s="1"/>
  <c r="CH89" i="4"/>
  <c r="CI89" i="4" s="1"/>
  <c r="CJ89" i="4" s="1"/>
  <c r="AD187" i="5"/>
  <c r="CR183" i="5"/>
  <c r="CS183" i="5" s="1"/>
  <c r="J176" i="4"/>
  <c r="CS158" i="4"/>
  <c r="CY158" i="4"/>
  <c r="BP158" i="4"/>
  <c r="BI158" i="4"/>
  <c r="BN158" i="4" s="1"/>
  <c r="X158" i="4"/>
  <c r="K177" i="4" s="1"/>
  <c r="CW157" i="4"/>
  <c r="CX157" i="4" s="1"/>
  <c r="DF157" i="4" s="1"/>
  <c r="CA157" i="4"/>
  <c r="CV158" i="4"/>
  <c r="DL184" i="5"/>
  <c r="DZ184" i="5"/>
  <c r="I182" i="5"/>
  <c r="U182" i="5" s="1"/>
  <c r="EA182" i="5"/>
  <c r="DM182" i="5"/>
  <c r="H182" i="5"/>
  <c r="T182" i="5" s="1"/>
  <c r="CX184" i="5"/>
  <c r="CY181" i="5"/>
  <c r="CZ181" i="5"/>
  <c r="G182" i="5" s="1"/>
  <c r="S182" i="5" s="1"/>
  <c r="N184" i="5"/>
  <c r="DE153" i="4"/>
  <c r="H172" i="4" s="1"/>
  <c r="DH153" i="4"/>
  <c r="I172" i="4" s="1"/>
  <c r="DD154" i="4"/>
  <c r="DW182" i="5"/>
  <c r="DX182" i="5" s="1"/>
  <c r="CU182" i="5"/>
  <c r="CV182" i="5" s="1"/>
  <c r="CQ184" i="5"/>
  <c r="CP184" i="5"/>
  <c r="CO184" i="5"/>
  <c r="CW183" i="5" s="1"/>
  <c r="CN184" i="5"/>
  <c r="DE184" i="5"/>
  <c r="DB184" i="5"/>
  <c r="DC184" i="5"/>
  <c r="DK183" i="5" s="1"/>
  <c r="DD184" i="5"/>
  <c r="DS184" i="5"/>
  <c r="DR184" i="5"/>
  <c r="DQ184" i="5"/>
  <c r="DY183" i="5" s="1"/>
  <c r="DP184" i="5"/>
  <c r="DI182" i="5"/>
  <c r="DJ182" i="5" s="1"/>
  <c r="DT183" i="5"/>
  <c r="DU183" i="5" s="1"/>
  <c r="DF183" i="5"/>
  <c r="DG183" i="5" s="1"/>
  <c r="DH184" i="5"/>
  <c r="BY184" i="5"/>
  <c r="CD184" i="5" s="1"/>
  <c r="CT184" i="5"/>
  <c r="B185" i="5"/>
  <c r="AA185" i="5"/>
  <c r="DV184" i="5"/>
  <c r="AB184" i="5"/>
  <c r="K185" i="5" s="1"/>
  <c r="W185" i="5" s="1"/>
  <c r="DB155" i="4"/>
  <c r="DC155" i="4" s="1"/>
  <c r="DA155" i="4"/>
  <c r="DG156" i="4"/>
  <c r="C177" i="4"/>
  <c r="W159" i="4"/>
  <c r="CU158" i="4"/>
  <c r="CA185" i="5" l="1"/>
  <c r="AV185" i="5"/>
  <c r="CK178" i="5"/>
  <c r="CL178" i="5"/>
  <c r="BZ185" i="5"/>
  <c r="CG185" i="5" s="1"/>
  <c r="BB172" i="5"/>
  <c r="AU173" i="5"/>
  <c r="AX171" i="5"/>
  <c r="AZ171" i="5" s="1"/>
  <c r="AW172" i="5"/>
  <c r="BD170" i="5"/>
  <c r="BF170" i="5" s="1"/>
  <c r="BC170" i="5"/>
  <c r="BG170" i="5" s="1"/>
  <c r="D171" i="5" s="1"/>
  <c r="P171" i="5" s="1"/>
  <c r="CC179" i="5"/>
  <c r="CE179" i="5" s="1"/>
  <c r="CH179" i="5" s="1"/>
  <c r="CB180" i="5"/>
  <c r="BO185" i="5"/>
  <c r="BA185" i="5"/>
  <c r="AV186" i="5" s="1"/>
  <c r="AY185" i="5"/>
  <c r="CJ185" i="5"/>
  <c r="CF185" i="5"/>
  <c r="CI185" i="5" s="1"/>
  <c r="BE185" i="5"/>
  <c r="AC159" i="4"/>
  <c r="BR173" i="5"/>
  <c r="BS173" i="5" s="1"/>
  <c r="BW173" i="5" s="1"/>
  <c r="E174" i="5" s="1"/>
  <c r="Q174" i="5" s="1"/>
  <c r="BQ185" i="5"/>
  <c r="BK186" i="5" s="1"/>
  <c r="BL175" i="5"/>
  <c r="BT174" i="5" s="1"/>
  <c r="BV173" i="5"/>
  <c r="BP174" i="5"/>
  <c r="BM175" i="5"/>
  <c r="J185" i="5"/>
  <c r="V185" i="5" s="1"/>
  <c r="AQ158" i="4"/>
  <c r="AD158" i="4"/>
  <c r="AF159" i="4"/>
  <c r="CE159" i="4"/>
  <c r="AU159" i="4"/>
  <c r="Y159" i="4"/>
  <c r="AW157" i="4"/>
  <c r="Z159" i="4"/>
  <c r="AA159" i="4"/>
  <c r="AT158" i="4" s="1"/>
  <c r="AE154" i="4"/>
  <c r="AG154" i="4" s="1"/>
  <c r="AB155" i="4"/>
  <c r="CT159" i="4"/>
  <c r="CZ158" i="4" s="1"/>
  <c r="BU185" i="5"/>
  <c r="AK185" i="5"/>
  <c r="AO185" i="5"/>
  <c r="AI185" i="5"/>
  <c r="BJ116" i="4"/>
  <c r="BJ117" i="4" s="1"/>
  <c r="BJ118" i="4" s="1"/>
  <c r="BJ119" i="4" s="1"/>
  <c r="BJ120" i="4" s="1"/>
  <c r="BJ121" i="4" s="1"/>
  <c r="BJ122" i="4" s="1"/>
  <c r="BJ123" i="4" s="1"/>
  <c r="BJ124" i="4" s="1"/>
  <c r="BJ125" i="4" s="1"/>
  <c r="BJ126" i="4" s="1"/>
  <c r="BK115" i="4"/>
  <c r="CD114" i="4" s="1"/>
  <c r="BY89" i="4"/>
  <c r="CO89" i="4" s="1"/>
  <c r="CP89" i="4" s="1"/>
  <c r="BR90" i="4"/>
  <c r="BS102" i="4" s="1"/>
  <c r="BT114" i="4" s="1"/>
  <c r="BU126" i="4" s="1"/>
  <c r="CM89" i="4"/>
  <c r="F173" i="5"/>
  <c r="R173" i="5" s="1"/>
  <c r="CC101" i="4"/>
  <c r="BZ101" i="4"/>
  <c r="CB101" i="4" s="1"/>
  <c r="CR184" i="5"/>
  <c r="CS184" i="5" s="1"/>
  <c r="J177" i="4"/>
  <c r="CW158" i="4"/>
  <c r="CX158" i="4" s="1"/>
  <c r="DF158" i="4" s="1"/>
  <c r="CA158" i="4"/>
  <c r="CV159" i="4"/>
  <c r="CS159" i="4"/>
  <c r="CY159" i="4"/>
  <c r="BP159" i="4"/>
  <c r="BI159" i="4"/>
  <c r="BN159" i="4" s="1"/>
  <c r="X159" i="4"/>
  <c r="K178" i="4" s="1"/>
  <c r="DL185" i="5"/>
  <c r="DZ185" i="5"/>
  <c r="EB182" i="5"/>
  <c r="I183" i="5" s="1"/>
  <c r="U183" i="5" s="1"/>
  <c r="EA183" i="5"/>
  <c r="DM183" i="5"/>
  <c r="DN182" i="5"/>
  <c r="H183" i="5" s="1"/>
  <c r="T183" i="5" s="1"/>
  <c r="CY182" i="5"/>
  <c r="CZ182" i="5"/>
  <c r="G183" i="5" s="1"/>
  <c r="S183" i="5" s="1"/>
  <c r="CX185" i="5"/>
  <c r="N185" i="5"/>
  <c r="DE154" i="4"/>
  <c r="H173" i="4" s="1"/>
  <c r="DH154" i="4"/>
  <c r="I173" i="4" s="1"/>
  <c r="DD155" i="4"/>
  <c r="DF184" i="5"/>
  <c r="DG184" i="5" s="1"/>
  <c r="DI183" i="5"/>
  <c r="DJ183" i="5" s="1"/>
  <c r="DS185" i="5"/>
  <c r="DR185" i="5"/>
  <c r="DP185" i="5"/>
  <c r="DQ185" i="5"/>
  <c r="DY184" i="5" s="1"/>
  <c r="DT184" i="5"/>
  <c r="DU184" i="5" s="1"/>
  <c r="CU183" i="5"/>
  <c r="CV183" i="5" s="1"/>
  <c r="B186" i="5"/>
  <c r="DH185" i="5"/>
  <c r="BY185" i="5"/>
  <c r="CD185" i="5" s="1"/>
  <c r="AA186" i="5"/>
  <c r="CT185" i="5"/>
  <c r="DV185" i="5"/>
  <c r="AB185" i="5"/>
  <c r="K186" i="5" s="1"/>
  <c r="W186" i="5" s="1"/>
  <c r="DB185" i="5"/>
  <c r="DC185" i="5"/>
  <c r="DK184" i="5" s="1"/>
  <c r="DD185" i="5"/>
  <c r="DE185" i="5"/>
  <c r="DW183" i="5"/>
  <c r="DX183" i="5" s="1"/>
  <c r="CQ185" i="5"/>
  <c r="CP185" i="5"/>
  <c r="CN185" i="5"/>
  <c r="CO185" i="5"/>
  <c r="CW184" i="5" s="1"/>
  <c r="DG157" i="4"/>
  <c r="DB156" i="4"/>
  <c r="DC156" i="4" s="1"/>
  <c r="DA156" i="4"/>
  <c r="W160" i="4"/>
  <c r="C178" i="4"/>
  <c r="CU159" i="4"/>
  <c r="CK179" i="5" l="1"/>
  <c r="CL179" i="5"/>
  <c r="BB173" i="5"/>
  <c r="AU174" i="5"/>
  <c r="BO186" i="5"/>
  <c r="CJ186" i="5"/>
  <c r="CF186" i="5"/>
  <c r="CI186" i="5" s="1"/>
  <c r="BA186" i="5"/>
  <c r="AV187" i="5" s="1"/>
  <c r="AY186" i="5"/>
  <c r="BE186" i="5"/>
  <c r="BZ186" i="5"/>
  <c r="CG186" i="5" s="1"/>
  <c r="AX172" i="5"/>
  <c r="AZ172" i="5" s="1"/>
  <c r="AW173" i="5"/>
  <c r="CA186" i="5"/>
  <c r="BD171" i="5"/>
  <c r="BF171" i="5" s="1"/>
  <c r="BC171" i="5"/>
  <c r="BG171" i="5" s="1"/>
  <c r="D172" i="5" s="1"/>
  <c r="P172" i="5" s="1"/>
  <c r="CC180" i="5"/>
  <c r="CE180" i="5" s="1"/>
  <c r="CH180" i="5" s="1"/>
  <c r="CB181" i="5"/>
  <c r="AC160" i="4"/>
  <c r="BR174" i="5"/>
  <c r="BS174" i="5" s="1"/>
  <c r="BW174" i="5" s="1"/>
  <c r="E175" i="5" s="1"/>
  <c r="Q175" i="5" s="1"/>
  <c r="BQ186" i="5"/>
  <c r="BK187" i="5" s="1"/>
  <c r="J186" i="5"/>
  <c r="V186" i="5" s="1"/>
  <c r="BM176" i="5"/>
  <c r="BP175" i="5"/>
  <c r="BN176" i="5" s="1"/>
  <c r="BN177" i="5" s="1"/>
  <c r="BN178" i="5" s="1"/>
  <c r="BN179" i="5" s="1"/>
  <c r="BN180" i="5" s="1"/>
  <c r="BN181" i="5" s="1"/>
  <c r="BN182" i="5" s="1"/>
  <c r="BN183" i="5" s="1"/>
  <c r="BN184" i="5" s="1"/>
  <c r="BN185" i="5" s="1"/>
  <c r="BN186" i="5" s="1"/>
  <c r="BV174" i="5"/>
  <c r="BL176" i="5"/>
  <c r="BT175" i="5" s="1"/>
  <c r="AQ159" i="4"/>
  <c r="AD159" i="4"/>
  <c r="AW158" i="4"/>
  <c r="AE155" i="4"/>
  <c r="AG155" i="4" s="1"/>
  <c r="AB156" i="4"/>
  <c r="Z160" i="4"/>
  <c r="AA160" i="4"/>
  <c r="AT159" i="4" s="1"/>
  <c r="CE160" i="4"/>
  <c r="AF160" i="4"/>
  <c r="AU160" i="4"/>
  <c r="Y160" i="4"/>
  <c r="CT160" i="4"/>
  <c r="CZ159" i="4" s="1"/>
  <c r="AO186" i="5"/>
  <c r="BU186" i="5"/>
  <c r="AK186" i="5"/>
  <c r="AI186" i="5"/>
  <c r="CQ89" i="4"/>
  <c r="G108" i="4" s="1"/>
  <c r="CN89" i="4"/>
  <c r="F108" i="4" s="1"/>
  <c r="F174" i="5"/>
  <c r="R174" i="5" s="1"/>
  <c r="BK116" i="4"/>
  <c r="BV90" i="4"/>
  <c r="BX90" i="4" s="1"/>
  <c r="CE90" i="4" s="1"/>
  <c r="DT185" i="5"/>
  <c r="DU185" i="5" s="1"/>
  <c r="J178" i="4"/>
  <c r="CW159" i="4"/>
  <c r="CX159" i="4" s="1"/>
  <c r="DF159" i="4" s="1"/>
  <c r="CA159" i="4"/>
  <c r="CY160" i="4"/>
  <c r="BP160" i="4"/>
  <c r="BI160" i="4"/>
  <c r="CA160" i="4" s="1"/>
  <c r="X160" i="4"/>
  <c r="K179" i="4" s="1"/>
  <c r="CS160" i="4"/>
  <c r="CV160" i="4"/>
  <c r="DL186" i="5"/>
  <c r="DZ186" i="5"/>
  <c r="EA184" i="5"/>
  <c r="EB183" i="5"/>
  <c r="I184" i="5" s="1"/>
  <c r="U184" i="5" s="1"/>
  <c r="DN183" i="5"/>
  <c r="H184" i="5" s="1"/>
  <c r="T184" i="5" s="1"/>
  <c r="DM184" i="5"/>
  <c r="CX186" i="5"/>
  <c r="CZ183" i="5"/>
  <c r="G184" i="5" s="1"/>
  <c r="S184" i="5" s="1"/>
  <c r="CY183" i="5"/>
  <c r="N186" i="5"/>
  <c r="DE155" i="4"/>
  <c r="H174" i="4" s="1"/>
  <c r="DH155" i="4"/>
  <c r="I174" i="4" s="1"/>
  <c r="DD156" i="4"/>
  <c r="DG158" i="4"/>
  <c r="CR185" i="5"/>
  <c r="CS185" i="5" s="1"/>
  <c r="DF185" i="5"/>
  <c r="DG185" i="5" s="1"/>
  <c r="DI185" i="5" s="1"/>
  <c r="DJ185" i="5" s="1"/>
  <c r="DS186" i="5"/>
  <c r="DQ186" i="5"/>
  <c r="DY185" i="5" s="1"/>
  <c r="DR186" i="5"/>
  <c r="DP186" i="5"/>
  <c r="CQ186" i="5"/>
  <c r="CO186" i="5"/>
  <c r="CW185" i="5" s="1"/>
  <c r="CP186" i="5"/>
  <c r="CN186" i="5"/>
  <c r="DC186" i="5"/>
  <c r="DK185" i="5" s="1"/>
  <c r="DB186" i="5"/>
  <c r="DD186" i="5"/>
  <c r="DE186" i="5"/>
  <c r="DW184" i="5"/>
  <c r="DX184" i="5" s="1"/>
  <c r="DI184" i="5"/>
  <c r="DJ184" i="5" s="1"/>
  <c r="DV186" i="5"/>
  <c r="CT186" i="5"/>
  <c r="B187" i="5"/>
  <c r="DH186" i="5"/>
  <c r="BY186" i="5"/>
  <c r="CD186" i="5" s="1"/>
  <c r="AA187" i="5"/>
  <c r="AB186" i="5"/>
  <c r="K187" i="5" s="1"/>
  <c r="W187" i="5" s="1"/>
  <c r="CU184" i="5"/>
  <c r="CV184" i="5" s="1"/>
  <c r="DA157" i="4"/>
  <c r="DB157" i="4"/>
  <c r="DC157" i="4" s="1"/>
  <c r="C179" i="4"/>
  <c r="W161" i="4"/>
  <c r="CU160" i="4"/>
  <c r="CA187" i="5" l="1"/>
  <c r="CK180" i="5"/>
  <c r="CL180" i="5"/>
  <c r="BZ187" i="5"/>
  <c r="AX173" i="5"/>
  <c r="AZ173" i="5" s="1"/>
  <c r="AW174" i="5"/>
  <c r="BB174" i="5"/>
  <c r="AU175" i="5"/>
  <c r="BD172" i="5"/>
  <c r="BF172" i="5" s="1"/>
  <c r="BC172" i="5"/>
  <c r="BG172" i="5" s="1"/>
  <c r="D173" i="5" s="1"/>
  <c r="P173" i="5" s="1"/>
  <c r="CG187" i="5"/>
  <c r="CJ187" i="5"/>
  <c r="CF187" i="5"/>
  <c r="BB187" i="5"/>
  <c r="BA187" i="5"/>
  <c r="BE187" i="5"/>
  <c r="AY187" i="5"/>
  <c r="CC181" i="5"/>
  <c r="CE181" i="5" s="1"/>
  <c r="CH181" i="5" s="1"/>
  <c r="CB182" i="5"/>
  <c r="J187" i="5"/>
  <c r="V187" i="5" s="1"/>
  <c r="BN187" i="5"/>
  <c r="BQ187" i="5"/>
  <c r="BT187" i="5" s="1"/>
  <c r="BO187" i="5"/>
  <c r="AC161" i="4"/>
  <c r="BR175" i="5"/>
  <c r="BS175" i="5" s="1"/>
  <c r="BW175" i="5" s="1"/>
  <c r="BV175" i="5"/>
  <c r="BL177" i="5"/>
  <c r="BT176" i="5" s="1"/>
  <c r="BM177" i="5"/>
  <c r="BP176" i="5"/>
  <c r="AL187" i="5"/>
  <c r="BR187" i="5"/>
  <c r="AQ160" i="4"/>
  <c r="AD160" i="4"/>
  <c r="Z161" i="4"/>
  <c r="AA161" i="4"/>
  <c r="AT160" i="4" s="1"/>
  <c r="AE156" i="4"/>
  <c r="AB157" i="4"/>
  <c r="AU161" i="4"/>
  <c r="AF161" i="4"/>
  <c r="CE161" i="4"/>
  <c r="Y161" i="4"/>
  <c r="J179" i="4"/>
  <c r="AW159" i="4"/>
  <c r="BN160" i="4"/>
  <c r="CT161" i="4"/>
  <c r="CZ160" i="4" s="1"/>
  <c r="BK117" i="4"/>
  <c r="CD115" i="4"/>
  <c r="D13" i="5"/>
  <c r="D29" i="5" s="1"/>
  <c r="D10" i="5"/>
  <c r="D26" i="5" s="1"/>
  <c r="D14" i="5"/>
  <c r="D30" i="5" s="1"/>
  <c r="D18" i="5"/>
  <c r="D34" i="5" s="1"/>
  <c r="D17" i="5"/>
  <c r="D33" i="5" s="1"/>
  <c r="D12" i="5"/>
  <c r="D28" i="5" s="1"/>
  <c r="C9" i="5"/>
  <c r="C25" i="5" s="1"/>
  <c r="D9" i="5"/>
  <c r="D25" i="5" s="1"/>
  <c r="D11" i="5"/>
  <c r="D27" i="5" s="1"/>
  <c r="D16" i="5"/>
  <c r="D32" i="5" s="1"/>
  <c r="D15" i="5"/>
  <c r="D31" i="5" s="1"/>
  <c r="D4" i="5"/>
  <c r="BU187" i="5"/>
  <c r="AK187" i="5"/>
  <c r="AO187" i="5"/>
  <c r="AI187" i="5"/>
  <c r="F175" i="5"/>
  <c r="R175" i="5" s="1"/>
  <c r="CC102" i="4"/>
  <c r="BZ102" i="4"/>
  <c r="CB102" i="4" s="1"/>
  <c r="BY90" i="4"/>
  <c r="CO90" i="4" s="1"/>
  <c r="CF90" i="4"/>
  <c r="CG90" i="4" s="1"/>
  <c r="CK90" i="4"/>
  <c r="CL90" i="4" s="1"/>
  <c r="CW160" i="4"/>
  <c r="CX160" i="4" s="1"/>
  <c r="DF160" i="4" s="1"/>
  <c r="CY161" i="4"/>
  <c r="BP161" i="4"/>
  <c r="BI161" i="4"/>
  <c r="BN161" i="4" s="1"/>
  <c r="X161" i="4"/>
  <c r="K180" i="4" s="1"/>
  <c r="CV161" i="4"/>
  <c r="CS161" i="4"/>
  <c r="DL187" i="5"/>
  <c r="DZ187" i="5"/>
  <c r="EA185" i="5"/>
  <c r="EB184" i="5"/>
  <c r="I185" i="5" s="1"/>
  <c r="U185" i="5" s="1"/>
  <c r="DN184" i="5"/>
  <c r="H185" i="5" s="1"/>
  <c r="T185" i="5" s="1"/>
  <c r="DN185" i="5"/>
  <c r="H186" i="5" s="1"/>
  <c r="T186" i="5" s="1"/>
  <c r="DM185" i="5"/>
  <c r="CX187" i="5"/>
  <c r="CY184" i="5"/>
  <c r="CZ184" i="5"/>
  <c r="G185" i="5" s="1"/>
  <c r="S185" i="5" s="1"/>
  <c r="N187" i="5"/>
  <c r="DE156" i="4"/>
  <c r="H175" i="4" s="1"/>
  <c r="DH156" i="4"/>
  <c r="I175" i="4" s="1"/>
  <c r="DD157" i="4"/>
  <c r="DG159" i="4"/>
  <c r="CU185" i="5"/>
  <c r="CV185" i="5" s="1"/>
  <c r="DF186" i="5"/>
  <c r="DG186" i="5" s="1"/>
  <c r="DS187" i="5"/>
  <c r="DR187" i="5"/>
  <c r="DQ187" i="5"/>
  <c r="DY186" i="5" s="1"/>
  <c r="DP187" i="5"/>
  <c r="DE187" i="5"/>
  <c r="DD187" i="5"/>
  <c r="DC187" i="5"/>
  <c r="DK186" i="5" s="1"/>
  <c r="DB187" i="5"/>
  <c r="CR186" i="5"/>
  <c r="CS186" i="5" s="1"/>
  <c r="CQ187" i="5"/>
  <c r="CN187" i="5"/>
  <c r="CP187" i="5"/>
  <c r="CO187" i="5"/>
  <c r="CW186" i="5" s="1"/>
  <c r="DT186" i="5"/>
  <c r="DU186" i="5" s="1"/>
  <c r="DW187" i="5"/>
  <c r="DV187" i="5"/>
  <c r="DY187" i="5" s="1"/>
  <c r="CT187" i="5"/>
  <c r="CW187" i="5" s="1"/>
  <c r="B188" i="5"/>
  <c r="A177" i="5" s="1"/>
  <c r="DI187" i="5"/>
  <c r="BY187" i="5"/>
  <c r="CD187" i="5" s="1"/>
  <c r="DH187" i="5"/>
  <c r="DK187" i="5" s="1"/>
  <c r="AB187" i="5"/>
  <c r="K188" i="5" s="1"/>
  <c r="W188" i="5" s="1"/>
  <c r="I11" i="5"/>
  <c r="I27" i="5" s="1"/>
  <c r="I13" i="5"/>
  <c r="I29" i="5" s="1"/>
  <c r="I9" i="5"/>
  <c r="I25" i="5" s="1"/>
  <c r="H14" i="5"/>
  <c r="H30" i="5" s="1"/>
  <c r="H15" i="5"/>
  <c r="H31" i="5" s="1"/>
  <c r="I10" i="5"/>
  <c r="I26" i="5" s="1"/>
  <c r="F10" i="5"/>
  <c r="G14" i="5"/>
  <c r="G30" i="5" s="1"/>
  <c r="I17" i="5"/>
  <c r="I33" i="5" s="1"/>
  <c r="G16" i="5"/>
  <c r="G32" i="5" s="1"/>
  <c r="K19" i="5"/>
  <c r="K35" i="5" s="1"/>
  <c r="F12" i="5"/>
  <c r="G18" i="5"/>
  <c r="G34" i="5" s="1"/>
  <c r="I15" i="5"/>
  <c r="I31" i="5" s="1"/>
  <c r="F16" i="5"/>
  <c r="K15" i="5"/>
  <c r="K31" i="5" s="1"/>
  <c r="K12" i="5"/>
  <c r="K28" i="5" s="1"/>
  <c r="K13" i="5"/>
  <c r="K29" i="5" s="1"/>
  <c r="K18" i="5"/>
  <c r="K34" i="5" s="1"/>
  <c r="I14" i="5"/>
  <c r="I30" i="5" s="1"/>
  <c r="H12" i="5"/>
  <c r="H28" i="5" s="1"/>
  <c r="F18" i="5"/>
  <c r="K17" i="5"/>
  <c r="K33" i="5" s="1"/>
  <c r="F13" i="5"/>
  <c r="I18" i="5"/>
  <c r="I34" i="5" s="1"/>
  <c r="H18" i="5"/>
  <c r="H34" i="5" s="1"/>
  <c r="I19" i="5"/>
  <c r="I35" i="5" s="1"/>
  <c r="G17" i="5"/>
  <c r="G33" i="5" s="1"/>
  <c r="G10" i="5"/>
  <c r="G26" i="5" s="1"/>
  <c r="H11" i="5"/>
  <c r="H27" i="5" s="1"/>
  <c r="G19" i="5"/>
  <c r="G35" i="5" s="1"/>
  <c r="K16" i="5"/>
  <c r="K32" i="5" s="1"/>
  <c r="G12" i="5"/>
  <c r="G28" i="5" s="1"/>
  <c r="K9" i="5"/>
  <c r="K25" i="5" s="1"/>
  <c r="H10" i="5"/>
  <c r="H26" i="5" s="1"/>
  <c r="H13" i="5"/>
  <c r="H29" i="5" s="1"/>
  <c r="G15" i="5"/>
  <c r="G31" i="5" s="1"/>
  <c r="F15" i="5"/>
  <c r="K11" i="5"/>
  <c r="K27" i="5" s="1"/>
  <c r="H17" i="5"/>
  <c r="H33" i="5" s="1"/>
  <c r="I16" i="5"/>
  <c r="I32" i="5" s="1"/>
  <c r="H16" i="5"/>
  <c r="H32" i="5" s="1"/>
  <c r="H19" i="5"/>
  <c r="H35" i="5" s="1"/>
  <c r="K10" i="5"/>
  <c r="K26" i="5" s="1"/>
  <c r="K14" i="5"/>
  <c r="K30" i="5" s="1"/>
  <c r="I12" i="5"/>
  <c r="I28" i="5" s="1"/>
  <c r="F14" i="5"/>
  <c r="F11" i="5"/>
  <c r="G11" i="5"/>
  <c r="G27" i="5" s="1"/>
  <c r="F17" i="5"/>
  <c r="G13" i="5"/>
  <c r="G29" i="5" s="1"/>
  <c r="DW185" i="5"/>
  <c r="DX185" i="5" s="1"/>
  <c r="EB185" i="5" s="1"/>
  <c r="DB158" i="4"/>
  <c r="DC158" i="4" s="1"/>
  <c r="DA158" i="4"/>
  <c r="CU161" i="4"/>
  <c r="C180" i="4"/>
  <c r="W162" i="4"/>
  <c r="CL181" i="5" l="1"/>
  <c r="CK181" i="5"/>
  <c r="AX174" i="5"/>
  <c r="AZ174" i="5" s="1"/>
  <c r="AW175" i="5"/>
  <c r="CC182" i="5"/>
  <c r="CE182" i="5" s="1"/>
  <c r="CH182" i="5" s="1"/>
  <c r="CB183" i="5"/>
  <c r="BD173" i="5"/>
  <c r="BF173" i="5" s="1"/>
  <c r="BC173" i="5"/>
  <c r="BG173" i="5" s="1"/>
  <c r="D174" i="5" s="1"/>
  <c r="P174" i="5" s="1"/>
  <c r="BB175" i="5"/>
  <c r="AU176" i="5"/>
  <c r="J180" i="4"/>
  <c r="AC162" i="4"/>
  <c r="AG156" i="4"/>
  <c r="BR176" i="5"/>
  <c r="BS176" i="5" s="1"/>
  <c r="BW176" i="5" s="1"/>
  <c r="E177" i="5" s="1"/>
  <c r="Q177" i="5" s="1"/>
  <c r="BM178" i="5"/>
  <c r="BP177" i="5"/>
  <c r="E19" i="5"/>
  <c r="E35" i="5" s="1"/>
  <c r="E176" i="5"/>
  <c r="Q176" i="5" s="1"/>
  <c r="BV176" i="5"/>
  <c r="BL178" i="5"/>
  <c r="BT177" i="5" s="1"/>
  <c r="BQ162" i="4"/>
  <c r="AG162" i="4"/>
  <c r="AQ161" i="4"/>
  <c r="AD161" i="4"/>
  <c r="CT162" i="4"/>
  <c r="CZ161" i="4" s="1"/>
  <c r="AW160" i="4"/>
  <c r="Z162" i="4"/>
  <c r="AA162" i="4"/>
  <c r="AT161" i="4" s="1"/>
  <c r="AE157" i="4"/>
  <c r="AG157" i="4" s="1"/>
  <c r="AB158" i="4"/>
  <c r="AF162" i="4"/>
  <c r="Y162" i="4"/>
  <c r="BK118" i="4"/>
  <c r="CD116" i="4"/>
  <c r="CM90" i="4"/>
  <c r="CN90" i="4" s="1"/>
  <c r="CP90" i="4"/>
  <c r="CH90" i="4"/>
  <c r="CI90" i="4" s="1"/>
  <c r="CJ90" i="4" s="1"/>
  <c r="CF91" i="4" s="1"/>
  <c r="F28" i="5"/>
  <c r="F33" i="5"/>
  <c r="F30" i="5"/>
  <c r="F27" i="5"/>
  <c r="F29" i="5"/>
  <c r="F31" i="5"/>
  <c r="F26" i="5"/>
  <c r="F34" i="5"/>
  <c r="F32" i="5"/>
  <c r="DF187" i="5"/>
  <c r="DG187" i="5" s="1"/>
  <c r="DJ187" i="5" s="1"/>
  <c r="J4" i="5"/>
  <c r="J188" i="5"/>
  <c r="V188" i="5" s="1"/>
  <c r="CS162" i="4"/>
  <c r="CV162" i="4"/>
  <c r="CW161" i="4"/>
  <c r="CX161" i="4" s="1"/>
  <c r="DF161" i="4" s="1"/>
  <c r="CA161" i="4"/>
  <c r="CY162" i="4"/>
  <c r="CZ162" i="4" s="1"/>
  <c r="BP162" i="4"/>
  <c r="BI162" i="4"/>
  <c r="BN162" i="4" s="1"/>
  <c r="X162" i="4"/>
  <c r="K181" i="4" s="1"/>
  <c r="EA186" i="5"/>
  <c r="I186" i="5"/>
  <c r="U186" i="5" s="1"/>
  <c r="DM186" i="5"/>
  <c r="CZ185" i="5"/>
  <c r="G186" i="5" s="1"/>
  <c r="S186" i="5" s="1"/>
  <c r="CY185" i="5"/>
  <c r="N188" i="5"/>
  <c r="DH157" i="4"/>
  <c r="I176" i="4" s="1"/>
  <c r="DE157" i="4"/>
  <c r="H176" i="4" s="1"/>
  <c r="DD158" i="4"/>
  <c r="K4" i="5"/>
  <c r="K20" i="5"/>
  <c r="K36" i="5" s="1"/>
  <c r="CU186" i="5"/>
  <c r="CV186" i="5" s="1"/>
  <c r="DI186" i="5"/>
  <c r="DJ186" i="5" s="1"/>
  <c r="DN186" i="5" s="1"/>
  <c r="CR187" i="5"/>
  <c r="CS187" i="5" s="1"/>
  <c r="DT187" i="5"/>
  <c r="DU187" i="5" s="1"/>
  <c r="DX187" i="5" s="1"/>
  <c r="DW186" i="5"/>
  <c r="DX186" i="5" s="1"/>
  <c r="S34" i="4"/>
  <c r="H31" i="4"/>
  <c r="R31" i="4" s="1"/>
  <c r="H25" i="4"/>
  <c r="R25" i="4" s="1"/>
  <c r="H28" i="4"/>
  <c r="R28" i="4" s="1"/>
  <c r="I27" i="4"/>
  <c r="S27" i="4" s="1"/>
  <c r="H17" i="4"/>
  <c r="R34" i="4" s="1"/>
  <c r="G23" i="4"/>
  <c r="Q23" i="4" s="1"/>
  <c r="F25" i="4"/>
  <c r="P25" i="4" s="1"/>
  <c r="I31" i="4"/>
  <c r="S31" i="4" s="1"/>
  <c r="H22" i="4"/>
  <c r="R22" i="4" s="1"/>
  <c r="F26" i="4"/>
  <c r="P26" i="4" s="1"/>
  <c r="G26" i="4"/>
  <c r="Q26" i="4" s="1"/>
  <c r="H30" i="4"/>
  <c r="R30" i="4" s="1"/>
  <c r="I23" i="4"/>
  <c r="S23" i="4" s="1"/>
  <c r="F22" i="4"/>
  <c r="P22" i="4" s="1"/>
  <c r="F24" i="4"/>
  <c r="P24" i="4" s="1"/>
  <c r="I26" i="4"/>
  <c r="S26" i="4" s="1"/>
  <c r="I30" i="4"/>
  <c r="S30" i="4" s="1"/>
  <c r="G24" i="4"/>
  <c r="Q24" i="4" s="1"/>
  <c r="F23" i="4"/>
  <c r="P23" i="4" s="1"/>
  <c r="I25" i="4"/>
  <c r="S25" i="4" s="1"/>
  <c r="I28" i="4"/>
  <c r="S28" i="4" s="1"/>
  <c r="H24" i="4"/>
  <c r="R24" i="4" s="1"/>
  <c r="I32" i="4"/>
  <c r="S32" i="4" s="1"/>
  <c r="G25" i="4"/>
  <c r="Q25" i="4" s="1"/>
  <c r="H27" i="4"/>
  <c r="R27" i="4" s="1"/>
  <c r="I24" i="4"/>
  <c r="S24" i="4" s="1"/>
  <c r="K17" i="4"/>
  <c r="U34" i="4" s="1"/>
  <c r="G22" i="4"/>
  <c r="Q22" i="4" s="1"/>
  <c r="H26" i="4"/>
  <c r="R26" i="4" s="1"/>
  <c r="I22" i="4"/>
  <c r="S22" i="4" s="1"/>
  <c r="H32" i="4"/>
  <c r="R32" i="4" s="1"/>
  <c r="H29" i="4"/>
  <c r="R29" i="4" s="1"/>
  <c r="I29" i="4"/>
  <c r="S29" i="4" s="1"/>
  <c r="H23" i="4"/>
  <c r="R23" i="4" s="1"/>
  <c r="DG160" i="4"/>
  <c r="DB159" i="4"/>
  <c r="DC159" i="4" s="1"/>
  <c r="DA159" i="4"/>
  <c r="C181" i="4"/>
  <c r="K28" i="4"/>
  <c r="U28" i="4" s="1"/>
  <c r="K25" i="4"/>
  <c r="U25" i="4" s="1"/>
  <c r="K22" i="4"/>
  <c r="U22" i="4" s="1"/>
  <c r="K27" i="4"/>
  <c r="U27" i="4" s="1"/>
  <c r="K23" i="4"/>
  <c r="U23" i="4" s="1"/>
  <c r="K30" i="4"/>
  <c r="U30" i="4" s="1"/>
  <c r="K29" i="4"/>
  <c r="U29" i="4" s="1"/>
  <c r="K26" i="4"/>
  <c r="U26" i="4" s="1"/>
  <c r="K31" i="4"/>
  <c r="U31" i="4" s="1"/>
  <c r="K24" i="4"/>
  <c r="U24" i="4" s="1"/>
  <c r="K32" i="4"/>
  <c r="U32" i="4" s="1"/>
  <c r="CU162" i="4"/>
  <c r="CL182" i="5" l="1"/>
  <c r="CK182" i="5"/>
  <c r="AX175" i="5"/>
  <c r="AZ175" i="5" s="1"/>
  <c r="AW176" i="5"/>
  <c r="BD174" i="5"/>
  <c r="BF174" i="5" s="1"/>
  <c r="BC174" i="5"/>
  <c r="BG174" i="5" s="1"/>
  <c r="D175" i="5" s="1"/>
  <c r="P175" i="5" s="1"/>
  <c r="BB176" i="5"/>
  <c r="AU177" i="5"/>
  <c r="CC183" i="5"/>
  <c r="CE183" i="5" s="1"/>
  <c r="CH183" i="5" s="1"/>
  <c r="CB184" i="5"/>
  <c r="BR177" i="5"/>
  <c r="BS177" i="5" s="1"/>
  <c r="BW177" i="5" s="1"/>
  <c r="E178" i="5" s="1"/>
  <c r="Q178" i="5" s="1"/>
  <c r="BV177" i="5"/>
  <c r="BL179" i="5"/>
  <c r="BT178" i="5" s="1"/>
  <c r="BM179" i="5"/>
  <c r="BP178" i="5"/>
  <c r="AQ162" i="4"/>
  <c r="AD162" i="4"/>
  <c r="AW161" i="4"/>
  <c r="AE158" i="4"/>
  <c r="AG158" i="4" s="1"/>
  <c r="AB159" i="4"/>
  <c r="AW156" i="4"/>
  <c r="BK119" i="4"/>
  <c r="CD117" i="4"/>
  <c r="BR91" i="4"/>
  <c r="BS103" i="4" s="1"/>
  <c r="BT115" i="4" s="1"/>
  <c r="BU127" i="4" s="1"/>
  <c r="F109" i="4"/>
  <c r="F27" i="4"/>
  <c r="P27" i="4" s="1"/>
  <c r="CQ90" i="4"/>
  <c r="CG91" i="4"/>
  <c r="F176" i="5"/>
  <c r="R176" i="5" s="1"/>
  <c r="F19" i="5"/>
  <c r="F35" i="5" s="1"/>
  <c r="J181" i="4"/>
  <c r="CW162" i="4"/>
  <c r="CX162" i="4" s="1"/>
  <c r="DF162" i="4" s="1"/>
  <c r="CA162" i="4"/>
  <c r="EB186" i="5"/>
  <c r="I187" i="5" s="1"/>
  <c r="U187" i="5" s="1"/>
  <c r="EA187" i="5"/>
  <c r="EB187" i="5"/>
  <c r="H187" i="5"/>
  <c r="T187" i="5" s="1"/>
  <c r="DM187" i="5"/>
  <c r="DN187" i="5"/>
  <c r="CY186" i="5"/>
  <c r="CZ186" i="5"/>
  <c r="G187" i="5" s="1"/>
  <c r="S187" i="5" s="1"/>
  <c r="DE158" i="4"/>
  <c r="H177" i="4" s="1"/>
  <c r="DH158" i="4"/>
  <c r="I177" i="4" s="1"/>
  <c r="DD159" i="4"/>
  <c r="H4" i="5"/>
  <c r="I4" i="5"/>
  <c r="CU187" i="5"/>
  <c r="CV187" i="5" s="1"/>
  <c r="DG161" i="4"/>
  <c r="DB160" i="4"/>
  <c r="DC160" i="4" s="1"/>
  <c r="DA160" i="4"/>
  <c r="K33" i="4"/>
  <c r="U33" i="4" s="1"/>
  <c r="CL183" i="5" l="1"/>
  <c r="CK183" i="5"/>
  <c r="BB177" i="5"/>
  <c r="AU178" i="5"/>
  <c r="AX176" i="5"/>
  <c r="AZ176" i="5" s="1"/>
  <c r="AW177" i="5"/>
  <c r="BD175" i="5"/>
  <c r="BF175" i="5" s="1"/>
  <c r="BC175" i="5"/>
  <c r="BG175" i="5" s="1"/>
  <c r="CC184" i="5"/>
  <c r="CE184" i="5" s="1"/>
  <c r="CH184" i="5" s="1"/>
  <c r="CB185" i="5"/>
  <c r="BR178" i="5"/>
  <c r="BS178" i="5" s="1"/>
  <c r="BW178" i="5" s="1"/>
  <c r="E179" i="5" s="1"/>
  <c r="Q179" i="5" s="1"/>
  <c r="BP179" i="5"/>
  <c r="BM180" i="5"/>
  <c r="BV178" i="5"/>
  <c r="BL180" i="5"/>
  <c r="BT179" i="5" s="1"/>
  <c r="AE159" i="4"/>
  <c r="AG159" i="4" s="1"/>
  <c r="AB160" i="4"/>
  <c r="BK120" i="4"/>
  <c r="CD118" i="4"/>
  <c r="BV91" i="4"/>
  <c r="BX91" i="4" s="1"/>
  <c r="CK91" i="4" s="1"/>
  <c r="G109" i="4"/>
  <c r="G27" i="4"/>
  <c r="Q27" i="4" s="1"/>
  <c r="CH91" i="4"/>
  <c r="CI91" i="4" s="1"/>
  <c r="CJ91" i="4" s="1"/>
  <c r="CF92" i="4" s="1"/>
  <c r="F177" i="5"/>
  <c r="R177" i="5" s="1"/>
  <c r="CC103" i="4"/>
  <c r="BZ103" i="4"/>
  <c r="CB103" i="4" s="1"/>
  <c r="CY187" i="5"/>
  <c r="CZ187" i="5"/>
  <c r="G20" i="5" s="1"/>
  <c r="G36" i="5" s="1"/>
  <c r="DH159" i="4"/>
  <c r="I178" i="4" s="1"/>
  <c r="DE159" i="4"/>
  <c r="H178" i="4" s="1"/>
  <c r="DD160" i="4"/>
  <c r="DG162" i="4"/>
  <c r="G9" i="5"/>
  <c r="G25" i="5" s="1"/>
  <c r="F4" i="5"/>
  <c r="I188" i="5"/>
  <c r="U188" i="5" s="1"/>
  <c r="I20" i="5"/>
  <c r="I36" i="5" s="1"/>
  <c r="H188" i="5"/>
  <c r="T188" i="5" s="1"/>
  <c r="H9" i="5"/>
  <c r="H25" i="5" s="1"/>
  <c r="H20" i="5"/>
  <c r="H36" i="5" s="1"/>
  <c r="DA161" i="4"/>
  <c r="DB161" i="4"/>
  <c r="DC161" i="4" s="1"/>
  <c r="CL184" i="5" l="1"/>
  <c r="CK184" i="5"/>
  <c r="D176" i="5"/>
  <c r="P176" i="5" s="1"/>
  <c r="D19" i="5"/>
  <c r="D35" i="5" s="1"/>
  <c r="AX177" i="5"/>
  <c r="AZ177" i="5" s="1"/>
  <c r="AW178" i="5"/>
  <c r="BD176" i="5"/>
  <c r="BF176" i="5" s="1"/>
  <c r="BC176" i="5"/>
  <c r="BG176" i="5" s="1"/>
  <c r="D177" i="5" s="1"/>
  <c r="P177" i="5" s="1"/>
  <c r="BB178" i="5"/>
  <c r="AU179" i="5"/>
  <c r="CC185" i="5"/>
  <c r="CE185" i="5" s="1"/>
  <c r="CH185" i="5" s="1"/>
  <c r="CB186" i="5"/>
  <c r="BR179" i="5"/>
  <c r="BS179" i="5" s="1"/>
  <c r="BW179" i="5" s="1"/>
  <c r="E180" i="5" s="1"/>
  <c r="Q180" i="5" s="1"/>
  <c r="BL181" i="5"/>
  <c r="BT180" i="5" s="1"/>
  <c r="BV179" i="5"/>
  <c r="BM181" i="5"/>
  <c r="BP180" i="5"/>
  <c r="AE160" i="4"/>
  <c r="AG160" i="4" s="1"/>
  <c r="AB161" i="4"/>
  <c r="CD119" i="4"/>
  <c r="BK121" i="4"/>
  <c r="CL91" i="4"/>
  <c r="CM91" i="4" s="1"/>
  <c r="CN91" i="4" s="1"/>
  <c r="F110" i="4" s="1"/>
  <c r="BY91" i="4"/>
  <c r="CO91" i="4" s="1"/>
  <c r="CP91" i="4" s="1"/>
  <c r="F178" i="5"/>
  <c r="R178" i="5" s="1"/>
  <c r="CG92" i="4"/>
  <c r="BR92" i="4"/>
  <c r="BS104" i="4" s="1"/>
  <c r="BT116" i="4" s="1"/>
  <c r="BU128" i="4" s="1"/>
  <c r="G4" i="5"/>
  <c r="G188" i="5"/>
  <c r="S188" i="5" s="1"/>
  <c r="DH160" i="4"/>
  <c r="I179" i="4" s="1"/>
  <c r="DE160" i="4"/>
  <c r="H179" i="4" s="1"/>
  <c r="DD161" i="4"/>
  <c r="F9" i="5"/>
  <c r="DB162" i="4"/>
  <c r="DC162" i="4" s="1"/>
  <c r="DA162" i="4"/>
  <c r="CL185" i="5" l="1"/>
  <c r="CK185" i="5"/>
  <c r="AX178" i="5"/>
  <c r="AZ178" i="5" s="1"/>
  <c r="AW179" i="5"/>
  <c r="BD177" i="5"/>
  <c r="BF177" i="5" s="1"/>
  <c r="BC177" i="5"/>
  <c r="BG177" i="5" s="1"/>
  <c r="D178" i="5" s="1"/>
  <c r="P178" i="5" s="1"/>
  <c r="CC186" i="5"/>
  <c r="CE186" i="5" s="1"/>
  <c r="CH186" i="5" s="1"/>
  <c r="CB187" i="5"/>
  <c r="CC187" i="5" s="1"/>
  <c r="CE187" i="5" s="1"/>
  <c r="CH187" i="5" s="1"/>
  <c r="BB179" i="5"/>
  <c r="AU180" i="5"/>
  <c r="BR180" i="5"/>
  <c r="BS180" i="5" s="1"/>
  <c r="BW180" i="5" s="1"/>
  <c r="E181" i="5" s="1"/>
  <c r="Q181" i="5" s="1"/>
  <c r="BM182" i="5"/>
  <c r="BP181" i="5"/>
  <c r="BV180" i="5"/>
  <c r="BL182" i="5"/>
  <c r="BT181" i="5" s="1"/>
  <c r="AE161" i="4"/>
  <c r="AG161" i="4" s="1"/>
  <c r="AB162" i="4"/>
  <c r="AE162" i="4" s="1"/>
  <c r="BK122" i="4"/>
  <c r="CQ91" i="4"/>
  <c r="G110" i="4" s="1"/>
  <c r="BV92" i="4"/>
  <c r="BX92" i="4" s="1"/>
  <c r="CK92" i="4" s="1"/>
  <c r="CL92" i="4" s="1"/>
  <c r="F179" i="5"/>
  <c r="R179" i="5" s="1"/>
  <c r="CH92" i="4"/>
  <c r="CI92" i="4" s="1"/>
  <c r="CJ92" i="4" s="1"/>
  <c r="CF93" i="4" s="1"/>
  <c r="F25" i="5"/>
  <c r="DH161" i="4"/>
  <c r="I180" i="4" s="1"/>
  <c r="DE161" i="4"/>
  <c r="H180" i="4" s="1"/>
  <c r="DD162" i="4"/>
  <c r="CL186" i="5" l="1"/>
  <c r="CK186" i="5"/>
  <c r="AX179" i="5"/>
  <c r="AZ179" i="5" s="1"/>
  <c r="AW180" i="5"/>
  <c r="BD178" i="5"/>
  <c r="BF178" i="5" s="1"/>
  <c r="BC178" i="5"/>
  <c r="BG178" i="5" s="1"/>
  <c r="D179" i="5" s="1"/>
  <c r="P179" i="5" s="1"/>
  <c r="BB180" i="5"/>
  <c r="AU181" i="5"/>
  <c r="BR181" i="5"/>
  <c r="BS181" i="5" s="1"/>
  <c r="BW181" i="5" s="1"/>
  <c r="E182" i="5" s="1"/>
  <c r="Q182" i="5" s="1"/>
  <c r="BL183" i="5"/>
  <c r="BT182" i="5" s="1"/>
  <c r="BV181" i="5"/>
  <c r="BP182" i="5"/>
  <c r="BM183" i="5"/>
  <c r="CD121" i="4"/>
  <c r="BK123" i="4"/>
  <c r="BY92" i="4"/>
  <c r="CO92" i="4" s="1"/>
  <c r="CP92" i="4" s="1"/>
  <c r="F180" i="5"/>
  <c r="R180" i="5" s="1"/>
  <c r="CG93" i="4"/>
  <c r="CH93" i="4" s="1"/>
  <c r="CI93" i="4" s="1"/>
  <c r="CJ93" i="4" s="1"/>
  <c r="CF94" i="4" s="1"/>
  <c r="CM92" i="4"/>
  <c r="CN92" i="4" s="1"/>
  <c r="F111" i="4" s="1"/>
  <c r="BR93" i="4"/>
  <c r="BS105" i="4" s="1"/>
  <c r="BT117" i="4" s="1"/>
  <c r="BU129" i="4" s="1"/>
  <c r="BZ104" i="4"/>
  <c r="CB104" i="4" s="1"/>
  <c r="CC104" i="4"/>
  <c r="DH162" i="4"/>
  <c r="DE162" i="4"/>
  <c r="H181" i="4" s="1"/>
  <c r="CL187" i="5" l="1"/>
  <c r="CK187" i="5"/>
  <c r="BB181" i="5"/>
  <c r="AU182" i="5"/>
  <c r="AX180" i="5"/>
  <c r="AZ180" i="5" s="1"/>
  <c r="AW181" i="5"/>
  <c r="BD179" i="5"/>
  <c r="BF179" i="5" s="1"/>
  <c r="BC179" i="5"/>
  <c r="BG179" i="5" s="1"/>
  <c r="D180" i="5" s="1"/>
  <c r="P180" i="5" s="1"/>
  <c r="BR182" i="5"/>
  <c r="BS182" i="5" s="1"/>
  <c r="BW182" i="5" s="1"/>
  <c r="E183" i="5" s="1"/>
  <c r="Q183" i="5" s="1"/>
  <c r="BM184" i="5"/>
  <c r="BP183" i="5"/>
  <c r="BV182" i="5"/>
  <c r="BL184" i="5"/>
  <c r="BT183" i="5" s="1"/>
  <c r="CD122" i="4"/>
  <c r="BK124" i="4"/>
  <c r="CG94" i="4"/>
  <c r="BV93" i="4"/>
  <c r="BX93" i="4" s="1"/>
  <c r="CK93" i="4" s="1"/>
  <c r="CL93" i="4" s="1"/>
  <c r="F181" i="5"/>
  <c r="R181" i="5" s="1"/>
  <c r="CQ92" i="4"/>
  <c r="G111" i="4" s="1"/>
  <c r="BR94" i="4"/>
  <c r="BS106" i="4" s="1"/>
  <c r="BT118" i="4" s="1"/>
  <c r="BU130" i="4" s="1"/>
  <c r="H33" i="4"/>
  <c r="R33" i="4" s="1"/>
  <c r="I181" i="4"/>
  <c r="I33" i="4"/>
  <c r="S33" i="4" s="1"/>
  <c r="AX181" i="5" l="1"/>
  <c r="AZ181" i="5" s="1"/>
  <c r="AW182" i="5"/>
  <c r="BD180" i="5"/>
  <c r="BF180" i="5" s="1"/>
  <c r="BC180" i="5"/>
  <c r="BG180" i="5" s="1"/>
  <c r="D181" i="5" s="1"/>
  <c r="P181" i="5" s="1"/>
  <c r="BB182" i="5"/>
  <c r="AU183" i="5"/>
  <c r="BR183" i="5"/>
  <c r="BS183" i="5" s="1"/>
  <c r="BW183" i="5" s="1"/>
  <c r="E184" i="5" s="1"/>
  <c r="Q184" i="5" s="1"/>
  <c r="BL185" i="5"/>
  <c r="BT184" i="5" s="1"/>
  <c r="BV183" i="5"/>
  <c r="BP184" i="5"/>
  <c r="BM185" i="5"/>
  <c r="CD123" i="4"/>
  <c r="BK125" i="4"/>
  <c r="CC105" i="4"/>
  <c r="BZ105" i="4"/>
  <c r="CB105" i="4" s="1"/>
  <c r="CM93" i="4"/>
  <c r="BV94" i="4"/>
  <c r="BX94" i="4" s="1"/>
  <c r="CK94" i="4" s="1"/>
  <c r="CL94" i="4" s="1"/>
  <c r="F182" i="5"/>
  <c r="R182" i="5" s="1"/>
  <c r="BY93" i="4"/>
  <c r="CO93" i="4" s="1"/>
  <c r="CP93" i="4" s="1"/>
  <c r="CH94" i="4"/>
  <c r="CI94" i="4" s="1"/>
  <c r="CJ94" i="4" s="1"/>
  <c r="CF95" i="4" s="1"/>
  <c r="BB183" i="5" l="1"/>
  <c r="AU184" i="5"/>
  <c r="AX182" i="5"/>
  <c r="AZ182" i="5" s="1"/>
  <c r="AW183" i="5"/>
  <c r="BD181" i="5"/>
  <c r="BF181" i="5" s="1"/>
  <c r="BC181" i="5"/>
  <c r="BG181" i="5" s="1"/>
  <c r="D182" i="5" s="1"/>
  <c r="P182" i="5" s="1"/>
  <c r="BR184" i="5"/>
  <c r="BS184" i="5" s="1"/>
  <c r="BW184" i="5" s="1"/>
  <c r="E185" i="5" s="1"/>
  <c r="Q185" i="5" s="1"/>
  <c r="BM186" i="5"/>
  <c r="BP185" i="5"/>
  <c r="BV184" i="5"/>
  <c r="BL186" i="5"/>
  <c r="BT185" i="5" s="1"/>
  <c r="CD124" i="4"/>
  <c r="BK126" i="4"/>
  <c r="CD125" i="4" s="1"/>
  <c r="CQ93" i="4"/>
  <c r="G112" i="4" s="1"/>
  <c r="BR95" i="4"/>
  <c r="BS107" i="4" s="1"/>
  <c r="BT119" i="4" s="1"/>
  <c r="BU131" i="4" s="1"/>
  <c r="CN93" i="4"/>
  <c r="F112" i="4" s="1"/>
  <c r="F183" i="5"/>
  <c r="R183" i="5" s="1"/>
  <c r="CG95" i="4"/>
  <c r="CC106" i="4"/>
  <c r="BZ106" i="4"/>
  <c r="CB106" i="4" s="1"/>
  <c r="BY94" i="4"/>
  <c r="CO94" i="4" s="1"/>
  <c r="CP94" i="4" s="1"/>
  <c r="CM94" i="4"/>
  <c r="CN94" i="4" s="1"/>
  <c r="F113" i="4" s="1"/>
  <c r="AX183" i="5" l="1"/>
  <c r="AZ183" i="5" s="1"/>
  <c r="AW184" i="5"/>
  <c r="BD182" i="5"/>
  <c r="BF182" i="5" s="1"/>
  <c r="BC182" i="5"/>
  <c r="BG182" i="5" s="1"/>
  <c r="D183" i="5" s="1"/>
  <c r="P183" i="5" s="1"/>
  <c r="BB184" i="5"/>
  <c r="AU185" i="5"/>
  <c r="BR185" i="5"/>
  <c r="BS185" i="5" s="1"/>
  <c r="BW185" i="5" s="1"/>
  <c r="E186" i="5" s="1"/>
  <c r="Q186" i="5" s="1"/>
  <c r="BV185" i="5"/>
  <c r="BL187" i="5"/>
  <c r="BT186" i="5" s="1"/>
  <c r="BM187" i="5"/>
  <c r="BP187" i="5" s="1"/>
  <c r="BP186" i="5"/>
  <c r="BV95" i="4"/>
  <c r="BX95" i="4" s="1"/>
  <c r="CK95" i="4" s="1"/>
  <c r="F184" i="5"/>
  <c r="R184" i="5" s="1"/>
  <c r="CQ94" i="4"/>
  <c r="G113" i="4" s="1"/>
  <c r="CH95" i="4"/>
  <c r="CI95" i="4" s="1"/>
  <c r="CJ95" i="4" s="1"/>
  <c r="CF96" i="4" s="1"/>
  <c r="BB185" i="5" l="1"/>
  <c r="AU186" i="5"/>
  <c r="AX184" i="5"/>
  <c r="AZ184" i="5" s="1"/>
  <c r="AW185" i="5"/>
  <c r="BD183" i="5"/>
  <c r="BF183" i="5" s="1"/>
  <c r="BC183" i="5"/>
  <c r="BG183" i="5" s="1"/>
  <c r="D184" i="5" s="1"/>
  <c r="P184" i="5" s="1"/>
  <c r="BR186" i="5"/>
  <c r="BS186" i="5" s="1"/>
  <c r="BW186" i="5" s="1"/>
  <c r="E187" i="5" s="1"/>
  <c r="Q187" i="5" s="1"/>
  <c r="BV186" i="5"/>
  <c r="BV187" i="5" s="1"/>
  <c r="BS187" i="5"/>
  <c r="BY95" i="4"/>
  <c r="CO95" i="4" s="1"/>
  <c r="CP95" i="4" s="1"/>
  <c r="CC107" i="4"/>
  <c r="CL95" i="4"/>
  <c r="CM95" i="4" s="1"/>
  <c r="BZ107" i="4"/>
  <c r="CB107" i="4" s="1"/>
  <c r="CG96" i="4"/>
  <c r="F185" i="5"/>
  <c r="R185" i="5" s="1"/>
  <c r="BR96" i="4"/>
  <c r="BS108" i="4" s="1"/>
  <c r="BT120" i="4" s="1"/>
  <c r="BU132" i="4" s="1"/>
  <c r="AX185" i="5" l="1"/>
  <c r="AZ185" i="5" s="1"/>
  <c r="AW186" i="5"/>
  <c r="BD184" i="5"/>
  <c r="BF184" i="5" s="1"/>
  <c r="BC184" i="5"/>
  <c r="BG184" i="5" s="1"/>
  <c r="D185" i="5" s="1"/>
  <c r="P185" i="5" s="1"/>
  <c r="BB186" i="5"/>
  <c r="AU187" i="5"/>
  <c r="BW187" i="5"/>
  <c r="E188" i="5" s="1"/>
  <c r="Q188" i="5" s="1"/>
  <c r="CN95" i="4"/>
  <c r="F114" i="4" s="1"/>
  <c r="CQ95" i="4"/>
  <c r="G114" i="4" s="1"/>
  <c r="F186" i="5"/>
  <c r="R186" i="5" s="1"/>
  <c r="CH96" i="4"/>
  <c r="CI96" i="4" s="1"/>
  <c r="CJ96" i="4" s="1"/>
  <c r="CF97" i="4" s="1"/>
  <c r="BV96" i="4"/>
  <c r="BX96" i="4" s="1"/>
  <c r="CK96" i="4" s="1"/>
  <c r="CL96" i="4" s="1"/>
  <c r="E20" i="5" l="1"/>
  <c r="E36" i="5" s="1"/>
  <c r="AX186" i="5"/>
  <c r="AZ186" i="5" s="1"/>
  <c r="AW187" i="5"/>
  <c r="AX187" i="5" s="1"/>
  <c r="AZ187" i="5" s="1"/>
  <c r="BC187" i="5" s="1"/>
  <c r="BD185" i="5"/>
  <c r="BF185" i="5" s="1"/>
  <c r="BC185" i="5"/>
  <c r="BG185" i="5" s="1"/>
  <c r="D186" i="5" s="1"/>
  <c r="P186" i="5" s="1"/>
  <c r="BR97" i="4"/>
  <c r="BS109" i="4" s="1"/>
  <c r="BT121" i="4" s="1"/>
  <c r="BU133" i="4" s="1"/>
  <c r="F187" i="5"/>
  <c r="R187" i="5" s="1"/>
  <c r="CM96" i="4"/>
  <c r="CN96" i="4" s="1"/>
  <c r="F115" i="4" s="1"/>
  <c r="CC108" i="4"/>
  <c r="BZ108" i="4"/>
  <c r="CB108" i="4" s="1"/>
  <c r="BY96" i="4"/>
  <c r="CO96" i="4" s="1"/>
  <c r="CP96" i="4" s="1"/>
  <c r="CG97" i="4"/>
  <c r="BD186" i="5" l="1"/>
  <c r="BF186" i="5" s="1"/>
  <c r="BC186" i="5"/>
  <c r="BG186" i="5" s="1"/>
  <c r="D187" i="5" s="1"/>
  <c r="P187" i="5" s="1"/>
  <c r="BV97" i="4"/>
  <c r="BX97" i="4" s="1"/>
  <c r="CK97" i="4" s="1"/>
  <c r="CH97" i="4"/>
  <c r="CI97" i="4" s="1"/>
  <c r="CJ97" i="4" s="1"/>
  <c r="CF98" i="4" s="1"/>
  <c r="CG98" i="4"/>
  <c r="CC109" i="4"/>
  <c r="BZ109" i="4"/>
  <c r="CB109" i="4" s="1"/>
  <c r="CQ96" i="4"/>
  <c r="G115" i="4" s="1"/>
  <c r="BG187" i="5" l="1"/>
  <c r="BF187" i="5"/>
  <c r="CL97" i="4"/>
  <c r="CM97" i="4" s="1"/>
  <c r="CN97" i="4" s="1"/>
  <c r="F116" i="4" s="1"/>
  <c r="BY97" i="4"/>
  <c r="CO97" i="4" s="1"/>
  <c r="CP97" i="4" s="1"/>
  <c r="CH98" i="4"/>
  <c r="CI98" i="4" s="1"/>
  <c r="CJ98" i="4" s="1"/>
  <c r="CF99" i="4" s="1"/>
  <c r="BR98" i="4"/>
  <c r="BS110" i="4" s="1"/>
  <c r="BT122" i="4" s="1"/>
  <c r="BU134" i="4" s="1"/>
  <c r="CG99" i="4"/>
  <c r="F188" i="5"/>
  <c r="R188" i="5" s="1"/>
  <c r="F20" i="5"/>
  <c r="F36" i="5" s="1"/>
  <c r="D188" i="5" l="1"/>
  <c r="P188" i="5" s="1"/>
  <c r="D20" i="5"/>
  <c r="D36" i="5" s="1"/>
  <c r="BR99" i="4"/>
  <c r="BS111" i="4" s="1"/>
  <c r="BT123" i="4" s="1"/>
  <c r="BU135" i="4" s="1"/>
  <c r="CQ97" i="4"/>
  <c r="G116" i="4" s="1"/>
  <c r="BV98" i="4"/>
  <c r="BX98" i="4" s="1"/>
  <c r="CK98" i="4" s="1"/>
  <c r="CH99" i="4"/>
  <c r="CI99" i="4" s="1"/>
  <c r="CJ99" i="4" s="1"/>
  <c r="CF100" i="4" s="1"/>
  <c r="BV99" i="4" l="1"/>
  <c r="BX99" i="4" s="1"/>
  <c r="CK99" i="4" s="1"/>
  <c r="CL99" i="4" s="1"/>
  <c r="CL98" i="4"/>
  <c r="CM98" i="4" s="1"/>
  <c r="BY98" i="4"/>
  <c r="CO98" i="4" s="1"/>
  <c r="CP98" i="4" s="1"/>
  <c r="CC110" i="4"/>
  <c r="BZ110" i="4"/>
  <c r="CB110" i="4" s="1"/>
  <c r="CG100" i="4"/>
  <c r="BR100" i="4"/>
  <c r="BS112" i="4" s="1"/>
  <c r="BT124" i="4" s="1"/>
  <c r="BU136" i="4" s="1"/>
  <c r="CC111" i="4"/>
  <c r="BZ111" i="4"/>
  <c r="CB111" i="4" s="1"/>
  <c r="BY99" i="4" l="1"/>
  <c r="CO99" i="4" s="1"/>
  <c r="CP99" i="4" s="1"/>
  <c r="CN98" i="4"/>
  <c r="F117" i="4" s="1"/>
  <c r="CM99" i="4"/>
  <c r="CN99" i="4" s="1"/>
  <c r="F118" i="4" s="1"/>
  <c r="CQ98" i="4"/>
  <c r="G117" i="4" s="1"/>
  <c r="BV100" i="4"/>
  <c r="BX100" i="4" s="1"/>
  <c r="CK100" i="4" s="1"/>
  <c r="CL100" i="4" s="1"/>
  <c r="CH100" i="4"/>
  <c r="CI100" i="4" s="1"/>
  <c r="CJ100" i="4" s="1"/>
  <c r="CF101" i="4" s="1"/>
  <c r="BL115" i="4"/>
  <c r="CQ99" i="4" l="1"/>
  <c r="G118" i="4" s="1"/>
  <c r="BY100" i="4"/>
  <c r="CO100" i="4" s="1"/>
  <c r="CP100" i="4" s="1"/>
  <c r="CG101" i="4"/>
  <c r="BR101" i="4"/>
  <c r="BS113" i="4" s="1"/>
  <c r="BT125" i="4" s="1"/>
  <c r="BU137" i="4" s="1"/>
  <c r="CC112" i="4"/>
  <c r="BZ112" i="4"/>
  <c r="CB112" i="4" s="1"/>
  <c r="CM100" i="4"/>
  <c r="CN100" i="4" s="1"/>
  <c r="F119" i="4" s="1"/>
  <c r="BM115" i="4"/>
  <c r="BO115" i="4" s="1"/>
  <c r="BQ115" i="4" s="1"/>
  <c r="BL116" i="4"/>
  <c r="CQ100" i="4" l="1"/>
  <c r="G119" i="4" s="1"/>
  <c r="BV101" i="4"/>
  <c r="BX101" i="4" s="1"/>
  <c r="CK101" i="4" s="1"/>
  <c r="CL101" i="4" s="1"/>
  <c r="CH101" i="4"/>
  <c r="CI101" i="4" s="1"/>
  <c r="CJ101" i="4" s="1"/>
  <c r="BM116" i="4"/>
  <c r="BO116" i="4" s="1"/>
  <c r="BQ116" i="4" s="1"/>
  <c r="BL117" i="4"/>
  <c r="BY101" i="4" l="1"/>
  <c r="CO101" i="4" s="1"/>
  <c r="CP101" i="4" s="1"/>
  <c r="BR102" i="4"/>
  <c r="BS114" i="4" s="1"/>
  <c r="BT126" i="4" s="1"/>
  <c r="BU138" i="4" s="1"/>
  <c r="CM101" i="4"/>
  <c r="CC113" i="4"/>
  <c r="BZ113" i="4"/>
  <c r="CB113" i="4" s="1"/>
  <c r="BM117" i="4"/>
  <c r="BO117" i="4" s="1"/>
  <c r="BQ117" i="4" s="1"/>
  <c r="BL118" i="4"/>
  <c r="CQ101" i="4" l="1"/>
  <c r="G120" i="4" s="1"/>
  <c r="CN101" i="4"/>
  <c r="F120" i="4" s="1"/>
  <c r="BV102" i="4"/>
  <c r="BX102" i="4" s="1"/>
  <c r="CE102" i="4" s="1"/>
  <c r="BM118" i="4"/>
  <c r="BO118" i="4" s="1"/>
  <c r="BQ118" i="4" s="1"/>
  <c r="BL119" i="4"/>
  <c r="CC114" i="4" l="1"/>
  <c r="BZ114" i="4"/>
  <c r="CB114" i="4" s="1"/>
  <c r="BY102" i="4"/>
  <c r="CO102" i="4" s="1"/>
  <c r="CF102" i="4"/>
  <c r="CG102" i="4" s="1"/>
  <c r="CK102" i="4"/>
  <c r="CL102" i="4" s="1"/>
  <c r="BM119" i="4"/>
  <c r="BO119" i="4" s="1"/>
  <c r="BQ119" i="4" s="1"/>
  <c r="BL120" i="4"/>
  <c r="CM102" i="4" l="1"/>
  <c r="CN102" i="4" s="1"/>
  <c r="CP102" i="4"/>
  <c r="CH102" i="4"/>
  <c r="CI102" i="4" s="1"/>
  <c r="CJ102" i="4" s="1"/>
  <c r="CF103" i="4" s="1"/>
  <c r="BM120" i="4"/>
  <c r="BO120" i="4" s="1"/>
  <c r="BL121" i="4"/>
  <c r="CD120" i="4" l="1"/>
  <c r="BQ120" i="4"/>
  <c r="F121" i="4"/>
  <c r="F28" i="4"/>
  <c r="P28" i="4" s="1"/>
  <c r="CQ102" i="4"/>
  <c r="CG103" i="4"/>
  <c r="BR103" i="4"/>
  <c r="BS115" i="4" s="1"/>
  <c r="BT127" i="4" s="1"/>
  <c r="BU139" i="4" s="1"/>
  <c r="BM121" i="4"/>
  <c r="BO121" i="4" s="1"/>
  <c r="BQ121" i="4" s="1"/>
  <c r="BL122" i="4"/>
  <c r="BV103" i="4" l="1"/>
  <c r="BX103" i="4" s="1"/>
  <c r="CH103" i="4"/>
  <c r="CI103" i="4" s="1"/>
  <c r="CJ103" i="4" s="1"/>
  <c r="CF104" i="4" s="1"/>
  <c r="G121" i="4"/>
  <c r="G28" i="4"/>
  <c r="Q28" i="4" s="1"/>
  <c r="BM122" i="4"/>
  <c r="BO122" i="4" s="1"/>
  <c r="BQ122" i="4" s="1"/>
  <c r="BL123" i="4"/>
  <c r="CG104" i="4" l="1"/>
  <c r="CH104" i="4" s="1"/>
  <c r="CI104" i="4" s="1"/>
  <c r="CJ104" i="4" s="1"/>
  <c r="CF105" i="4" s="1"/>
  <c r="BR104" i="4"/>
  <c r="BS116" i="4" s="1"/>
  <c r="BT128" i="4" s="1"/>
  <c r="BU140" i="4" s="1"/>
  <c r="BY103" i="4"/>
  <c r="CO103" i="4" s="1"/>
  <c r="CK103" i="4"/>
  <c r="CL103" i="4" s="1"/>
  <c r="CC115" i="4"/>
  <c r="BZ115" i="4"/>
  <c r="CB115" i="4" s="1"/>
  <c r="BM123" i="4"/>
  <c r="BO123" i="4" s="1"/>
  <c r="BQ123" i="4" s="1"/>
  <c r="BL124" i="4"/>
  <c r="CG105" i="4" l="1"/>
  <c r="CM103" i="4"/>
  <c r="CN103" i="4" s="1"/>
  <c r="F122" i="4" s="1"/>
  <c r="CP103" i="4"/>
  <c r="BR105" i="4"/>
  <c r="BS117" i="4" s="1"/>
  <c r="BT129" i="4" s="1"/>
  <c r="BU141" i="4" s="1"/>
  <c r="BV104" i="4"/>
  <c r="BX104" i="4" s="1"/>
  <c r="CK104" i="4" s="1"/>
  <c r="CL104" i="4" s="1"/>
  <c r="BM124" i="4"/>
  <c r="BO124" i="4" s="1"/>
  <c r="BQ124" i="4" s="1"/>
  <c r="BL125" i="4"/>
  <c r="CM104" i="4" l="1"/>
  <c r="CN104" i="4" s="1"/>
  <c r="F123" i="4" s="1"/>
  <c r="BV105" i="4"/>
  <c r="BX105" i="4" s="1"/>
  <c r="CK105" i="4" s="1"/>
  <c r="CL105" i="4" s="1"/>
  <c r="CQ103" i="4"/>
  <c r="G122" i="4" s="1"/>
  <c r="BY104" i="4"/>
  <c r="CO104" i="4" s="1"/>
  <c r="CP104" i="4" s="1"/>
  <c r="CC116" i="4"/>
  <c r="BZ116" i="4"/>
  <c r="CB116" i="4" s="1"/>
  <c r="CH105" i="4"/>
  <c r="CI105" i="4" s="1"/>
  <c r="CJ105" i="4" s="1"/>
  <c r="CF106" i="4" s="1"/>
  <c r="BM125" i="4"/>
  <c r="BO125" i="4" s="1"/>
  <c r="BQ125" i="4" s="1"/>
  <c r="BL126" i="4"/>
  <c r="BY105" i="4" l="1"/>
  <c r="CO105" i="4" s="1"/>
  <c r="CP105" i="4" s="1"/>
  <c r="CM105" i="4"/>
  <c r="CN105" i="4" s="1"/>
  <c r="F124" i="4" s="1"/>
  <c r="CG106" i="4"/>
  <c r="CC117" i="4"/>
  <c r="BZ117" i="4"/>
  <c r="CB117" i="4" s="1"/>
  <c r="BR106" i="4"/>
  <c r="BS118" i="4" s="1"/>
  <c r="BT130" i="4" s="1"/>
  <c r="BU142" i="4" s="1"/>
  <c r="CQ104" i="4"/>
  <c r="G123" i="4" s="1"/>
  <c r="BM126" i="4"/>
  <c r="BO126" i="4" s="1"/>
  <c r="BJ127" i="4" l="1"/>
  <c r="BJ128" i="4" s="1"/>
  <c r="BQ126" i="4"/>
  <c r="CH106" i="4"/>
  <c r="CI106" i="4" s="1"/>
  <c r="CJ106" i="4" s="1"/>
  <c r="CF107" i="4" s="1"/>
  <c r="CQ105" i="4"/>
  <c r="G124" i="4" s="1"/>
  <c r="BV106" i="4"/>
  <c r="BX106" i="4" s="1"/>
  <c r="CK106" i="4" s="1"/>
  <c r="CL106" i="4" s="1"/>
  <c r="BK127" i="4"/>
  <c r="BJ129" i="4" l="1"/>
  <c r="BQ128" i="4"/>
  <c r="BL127" i="4"/>
  <c r="BQ127" i="4"/>
  <c r="BK128" i="4"/>
  <c r="CD126" i="4"/>
  <c r="BY106" i="4"/>
  <c r="CO106" i="4" s="1"/>
  <c r="CP106" i="4" s="1"/>
  <c r="CM106" i="4"/>
  <c r="CC118" i="4"/>
  <c r="BZ118" i="4"/>
  <c r="CB118" i="4" s="1"/>
  <c r="CG107" i="4"/>
  <c r="CH107" i="4" s="1"/>
  <c r="CI107" i="4" s="1"/>
  <c r="CJ107" i="4" s="1"/>
  <c r="CF108" i="4" s="1"/>
  <c r="BR107" i="4"/>
  <c r="BS119" i="4" s="1"/>
  <c r="BT131" i="4" s="1"/>
  <c r="BU143" i="4" s="1"/>
  <c r="BL128" i="4" l="1"/>
  <c r="BM127" i="4"/>
  <c r="BO127" i="4" s="1"/>
  <c r="BJ130" i="4"/>
  <c r="BQ129" i="4"/>
  <c r="BK129" i="4"/>
  <c r="CD127" i="4"/>
  <c r="CQ106" i="4"/>
  <c r="G125" i="4" s="1"/>
  <c r="BV107" i="4"/>
  <c r="BX107" i="4" s="1"/>
  <c r="CK107" i="4" s="1"/>
  <c r="CL107" i="4" s="1"/>
  <c r="CN106" i="4"/>
  <c r="F125" i="4" s="1"/>
  <c r="CG108" i="4"/>
  <c r="CH108" i="4" s="1"/>
  <c r="CI108" i="4" s="1"/>
  <c r="CJ108" i="4" s="1"/>
  <c r="CF109" i="4" s="1"/>
  <c r="BR108" i="4"/>
  <c r="BS120" i="4" s="1"/>
  <c r="BT132" i="4" s="1"/>
  <c r="BU144" i="4" s="1"/>
  <c r="BJ131" i="4" l="1"/>
  <c r="BQ130" i="4"/>
  <c r="BL129" i="4"/>
  <c r="BM128" i="4"/>
  <c r="BO128" i="4" s="1"/>
  <c r="BK130" i="4"/>
  <c r="CD128" i="4"/>
  <c r="BY107" i="4"/>
  <c r="CO107" i="4" s="1"/>
  <c r="CP107" i="4" s="1"/>
  <c r="CG109" i="4"/>
  <c r="CC119" i="4"/>
  <c r="BZ119" i="4"/>
  <c r="CB119" i="4" s="1"/>
  <c r="CM107" i="4"/>
  <c r="BV108" i="4"/>
  <c r="BX108" i="4" s="1"/>
  <c r="CK108" i="4" s="1"/>
  <c r="CL108" i="4" s="1"/>
  <c r="BR109" i="4"/>
  <c r="BS121" i="4" s="1"/>
  <c r="BT133" i="4" s="1"/>
  <c r="BU145" i="4" s="1"/>
  <c r="BM129" i="4" l="1"/>
  <c r="BO129" i="4" s="1"/>
  <c r="BL130" i="4"/>
  <c r="BJ132" i="4"/>
  <c r="BQ131" i="4"/>
  <c r="BK131" i="4"/>
  <c r="CD129" i="4"/>
  <c r="CQ107" i="4"/>
  <c r="G126" i="4" s="1"/>
  <c r="BY108" i="4"/>
  <c r="CO108" i="4" s="1"/>
  <c r="CP108" i="4" s="1"/>
  <c r="CM108" i="4"/>
  <c r="CN107" i="4"/>
  <c r="F126" i="4" s="1"/>
  <c r="BV109" i="4"/>
  <c r="BX109" i="4" s="1"/>
  <c r="CK109" i="4" s="1"/>
  <c r="CL109" i="4" s="1"/>
  <c r="CC120" i="4"/>
  <c r="BZ120" i="4"/>
  <c r="CB120" i="4" s="1"/>
  <c r="CH109" i="4"/>
  <c r="CI109" i="4" s="1"/>
  <c r="CJ109" i="4" s="1"/>
  <c r="CF110" i="4" s="1"/>
  <c r="BL131" i="4" l="1"/>
  <c r="BM130" i="4"/>
  <c r="BO130" i="4" s="1"/>
  <c r="BJ133" i="4"/>
  <c r="BQ132" i="4"/>
  <c r="BK132" i="4"/>
  <c r="CD130" i="4"/>
  <c r="BY109" i="4"/>
  <c r="CO109" i="4" s="1"/>
  <c r="CP109" i="4" s="1"/>
  <c r="CQ108" i="4"/>
  <c r="G127" i="4" s="1"/>
  <c r="CG110" i="4"/>
  <c r="CM109" i="4"/>
  <c r="CC121" i="4"/>
  <c r="BZ121" i="4"/>
  <c r="CB121" i="4" s="1"/>
  <c r="BR110" i="4"/>
  <c r="BS122" i="4" s="1"/>
  <c r="BT134" i="4" s="1"/>
  <c r="BU146" i="4" s="1"/>
  <c r="CN108" i="4"/>
  <c r="F127" i="4" s="1"/>
  <c r="BM131" i="4" l="1"/>
  <c r="BO131" i="4" s="1"/>
  <c r="BL132" i="4"/>
  <c r="BJ134" i="4"/>
  <c r="BQ133" i="4"/>
  <c r="BK133" i="4"/>
  <c r="CD131" i="4"/>
  <c r="CQ109" i="4"/>
  <c r="G128" i="4" s="1"/>
  <c r="CN109" i="4"/>
  <c r="F128" i="4" s="1"/>
  <c r="BV110" i="4"/>
  <c r="BX110" i="4" s="1"/>
  <c r="CK110" i="4" s="1"/>
  <c r="CL110" i="4" s="1"/>
  <c r="CH110" i="4"/>
  <c r="CI110" i="4" s="1"/>
  <c r="CJ110" i="4" s="1"/>
  <c r="CF111" i="4" s="1"/>
  <c r="BJ135" i="4" l="1"/>
  <c r="BQ134" i="4"/>
  <c r="BM132" i="4"/>
  <c r="BO132" i="4" s="1"/>
  <c r="BL133" i="4"/>
  <c r="BK134" i="4"/>
  <c r="CD132" i="4"/>
  <c r="BY110" i="4"/>
  <c r="CO110" i="4" s="1"/>
  <c r="CP110" i="4" s="1"/>
  <c r="CM110" i="4"/>
  <c r="CN110" i="4" s="1"/>
  <c r="F129" i="4" s="1"/>
  <c r="BR111" i="4"/>
  <c r="BS123" i="4" s="1"/>
  <c r="BT135" i="4" s="1"/>
  <c r="BU147" i="4" s="1"/>
  <c r="CG111" i="4"/>
  <c r="CC122" i="4"/>
  <c r="BZ122" i="4"/>
  <c r="CB122" i="4" s="1"/>
  <c r="BM133" i="4" l="1"/>
  <c r="BO133" i="4" s="1"/>
  <c r="BL134" i="4"/>
  <c r="BJ136" i="4"/>
  <c r="BQ135" i="4"/>
  <c r="BK135" i="4"/>
  <c r="CD133" i="4"/>
  <c r="CQ110" i="4"/>
  <c r="G129" i="4" s="1"/>
  <c r="CH111" i="4"/>
  <c r="CI111" i="4" s="1"/>
  <c r="CJ111" i="4" s="1"/>
  <c r="CF112" i="4" s="1"/>
  <c r="BV111" i="4"/>
  <c r="BX111" i="4" s="1"/>
  <c r="CK111" i="4" s="1"/>
  <c r="CL111" i="4" s="1"/>
  <c r="BJ137" i="4" l="1"/>
  <c r="BQ136" i="4"/>
  <c r="BM134" i="4"/>
  <c r="BO134" i="4" s="1"/>
  <c r="BL135" i="4"/>
  <c r="BK136" i="4"/>
  <c r="CD134" i="4"/>
  <c r="BY111" i="4"/>
  <c r="CO111" i="4" s="1"/>
  <c r="CP111" i="4" s="1"/>
  <c r="CM111" i="4"/>
  <c r="CN111" i="4" s="1"/>
  <c r="F130" i="4" s="1"/>
  <c r="CC123" i="4"/>
  <c r="BZ123" i="4"/>
  <c r="CB123" i="4" s="1"/>
  <c r="CG112" i="4"/>
  <c r="BR112" i="4"/>
  <c r="BS124" i="4" s="1"/>
  <c r="BT136" i="4" s="1"/>
  <c r="BU148" i="4" s="1"/>
  <c r="BM135" i="4" l="1"/>
  <c r="BO135" i="4" s="1"/>
  <c r="BL136" i="4"/>
  <c r="BJ138" i="4"/>
  <c r="BQ138" i="4" s="1"/>
  <c r="BQ137" i="4"/>
  <c r="BK137" i="4"/>
  <c r="CD135" i="4"/>
  <c r="CQ111" i="4"/>
  <c r="G130" i="4" s="1"/>
  <c r="BV112" i="4"/>
  <c r="BX112" i="4" s="1"/>
  <c r="CK112" i="4" s="1"/>
  <c r="CL112" i="4" s="1"/>
  <c r="CH112" i="4"/>
  <c r="CI112" i="4" s="1"/>
  <c r="CJ112" i="4" s="1"/>
  <c r="CF113" i="4" s="1"/>
  <c r="BM136" i="4" l="1"/>
  <c r="BO136" i="4" s="1"/>
  <c r="BL137" i="4"/>
  <c r="BK138" i="4"/>
  <c r="CD137" i="4" s="1"/>
  <c r="CD136" i="4"/>
  <c r="BY112" i="4"/>
  <c r="CO112" i="4" s="1"/>
  <c r="CP112" i="4" s="1"/>
  <c r="CC124" i="4"/>
  <c r="BZ124" i="4"/>
  <c r="CB124" i="4" s="1"/>
  <c r="BR113" i="4"/>
  <c r="BS125" i="4" s="1"/>
  <c r="BT137" i="4" s="1"/>
  <c r="BU149" i="4" s="1"/>
  <c r="CM112" i="4"/>
  <c r="CN112" i="4" s="1"/>
  <c r="F131" i="4" s="1"/>
  <c r="CG113" i="4"/>
  <c r="BM137" i="4" l="1"/>
  <c r="BO137" i="4" s="1"/>
  <c r="BL138" i="4"/>
  <c r="BM138" i="4" s="1"/>
  <c r="BO138" i="4" s="1"/>
  <c r="CQ112" i="4"/>
  <c r="G131" i="4" s="1"/>
  <c r="BV113" i="4"/>
  <c r="BX113" i="4" s="1"/>
  <c r="CK113" i="4" s="1"/>
  <c r="CL113" i="4" s="1"/>
  <c r="CH113" i="4"/>
  <c r="CI113" i="4" s="1"/>
  <c r="CJ113" i="4" s="1"/>
  <c r="BJ139" i="4"/>
  <c r="BQ139" i="4" s="1"/>
  <c r="BY113" i="4" l="1"/>
  <c r="CO113" i="4" s="1"/>
  <c r="CP113" i="4" s="1"/>
  <c r="BR114" i="4"/>
  <c r="BS126" i="4" s="1"/>
  <c r="BT138" i="4" s="1"/>
  <c r="BU150" i="4" s="1"/>
  <c r="BJ140" i="4"/>
  <c r="BK139" i="4"/>
  <c r="CD138" i="4" s="1"/>
  <c r="BL139" i="4"/>
  <c r="CM113" i="4"/>
  <c r="CC125" i="4"/>
  <c r="BZ125" i="4"/>
  <c r="CB125" i="4" s="1"/>
  <c r="BJ141" i="4" l="1"/>
  <c r="BQ140" i="4"/>
  <c r="CQ113" i="4"/>
  <c r="G132" i="4" s="1"/>
  <c r="CN113" i="4"/>
  <c r="F132" i="4" s="1"/>
  <c r="BM139" i="4"/>
  <c r="BO139" i="4" s="1"/>
  <c r="BL140" i="4"/>
  <c r="BK140" i="4"/>
  <c r="BV114" i="4"/>
  <c r="BX114" i="4" s="1"/>
  <c r="BJ142" i="4" l="1"/>
  <c r="BQ141" i="4"/>
  <c r="BK141" i="4"/>
  <c r="CD139" i="4"/>
  <c r="BY114" i="4"/>
  <c r="CO114" i="4" s="1"/>
  <c r="CE114" i="4"/>
  <c r="CF114" i="4" s="1"/>
  <c r="CG114" i="4" s="1"/>
  <c r="CK114" i="4"/>
  <c r="BM140" i="4"/>
  <c r="BO140" i="4" s="1"/>
  <c r="BL141" i="4"/>
  <c r="CC126" i="4"/>
  <c r="BZ126" i="4"/>
  <c r="CB126" i="4" s="1"/>
  <c r="BJ143" i="4" l="1"/>
  <c r="BQ142" i="4"/>
  <c r="BK142" i="4"/>
  <c r="CD140" i="4"/>
  <c r="CP114" i="4"/>
  <c r="CL114" i="4"/>
  <c r="CM114" i="4" s="1"/>
  <c r="BL142" i="4"/>
  <c r="BM141" i="4"/>
  <c r="BO141" i="4" s="1"/>
  <c r="CH114" i="4"/>
  <c r="CI114" i="4" s="1"/>
  <c r="CJ114" i="4" s="1"/>
  <c r="CF115" i="4" s="1"/>
  <c r="BJ144" i="4" l="1"/>
  <c r="BQ143" i="4"/>
  <c r="CQ114" i="4"/>
  <c r="G133" i="4" s="1"/>
  <c r="BK143" i="4"/>
  <c r="CD141" i="4"/>
  <c r="G29" i="4"/>
  <c r="Q29" i="4" s="1"/>
  <c r="BR115" i="4"/>
  <c r="BS127" i="4" s="1"/>
  <c r="BT139" i="4" s="1"/>
  <c r="BU151" i="4" s="1"/>
  <c r="CG115" i="4"/>
  <c r="CN114" i="4"/>
  <c r="BM142" i="4"/>
  <c r="BO142" i="4" s="1"/>
  <c r="BL143" i="4"/>
  <c r="BJ145" i="4" l="1"/>
  <c r="BQ144" i="4"/>
  <c r="BK144" i="4"/>
  <c r="CD142" i="4"/>
  <c r="BL144" i="4"/>
  <c r="BM143" i="4"/>
  <c r="BO143" i="4" s="1"/>
  <c r="BV115" i="4"/>
  <c r="BX115" i="4" s="1"/>
  <c r="CK115" i="4" s="1"/>
  <c r="CL115" i="4" s="1"/>
  <c r="CH115" i="4"/>
  <c r="CI115" i="4" s="1"/>
  <c r="CJ115" i="4" s="1"/>
  <c r="CF116" i="4" s="1"/>
  <c r="F133" i="4"/>
  <c r="F29" i="4"/>
  <c r="P29" i="4" s="1"/>
  <c r="BJ146" i="4" l="1"/>
  <c r="BQ145" i="4"/>
  <c r="BK145" i="4"/>
  <c r="CD143" i="4"/>
  <c r="BY115" i="4"/>
  <c r="CO115" i="4" s="1"/>
  <c r="CP115" i="4" s="1"/>
  <c r="CG116" i="4"/>
  <c r="CM115" i="4"/>
  <c r="CC127" i="4"/>
  <c r="BZ127" i="4"/>
  <c r="CB127" i="4" s="1"/>
  <c r="BL145" i="4"/>
  <c r="BM144" i="4"/>
  <c r="BO144" i="4" s="1"/>
  <c r="BR116" i="4"/>
  <c r="BS128" i="4" s="1"/>
  <c r="BT140" i="4" s="1"/>
  <c r="BU152" i="4" s="1"/>
  <c r="BJ147" i="4" l="1"/>
  <c r="BQ146" i="4"/>
  <c r="BK146" i="4"/>
  <c r="CD144" i="4"/>
  <c r="CQ115" i="4"/>
  <c r="G134" i="4" s="1"/>
  <c r="BV116" i="4"/>
  <c r="BX116" i="4" s="1"/>
  <c r="CK116" i="4" s="1"/>
  <c r="CL116" i="4" s="1"/>
  <c r="CN115" i="4"/>
  <c r="F134" i="4" s="1"/>
  <c r="BM145" i="4"/>
  <c r="BO145" i="4" s="1"/>
  <c r="BL146" i="4"/>
  <c r="CH116" i="4"/>
  <c r="CI116" i="4" s="1"/>
  <c r="CJ116" i="4" s="1"/>
  <c r="CF117" i="4" s="1"/>
  <c r="BJ148" i="4" l="1"/>
  <c r="BQ147" i="4"/>
  <c r="BK147" i="4"/>
  <c r="CD145" i="4"/>
  <c r="BY116" i="4"/>
  <c r="CO116" i="4" s="1"/>
  <c r="CP116" i="4" s="1"/>
  <c r="CG117" i="4"/>
  <c r="CC128" i="4"/>
  <c r="BZ128" i="4"/>
  <c r="CB128" i="4" s="1"/>
  <c r="BM146" i="4"/>
  <c r="BO146" i="4" s="1"/>
  <c r="BL147" i="4"/>
  <c r="BR117" i="4"/>
  <c r="BS129" i="4" s="1"/>
  <c r="BT141" i="4" s="1"/>
  <c r="BU153" i="4" s="1"/>
  <c r="CM116" i="4"/>
  <c r="BJ149" i="4" l="1"/>
  <c r="BQ148" i="4"/>
  <c r="BK148" i="4"/>
  <c r="CD146" i="4"/>
  <c r="CH117" i="4"/>
  <c r="CI117" i="4" s="1"/>
  <c r="CJ117" i="4" s="1"/>
  <c r="CF118" i="4" s="1"/>
  <c r="CQ116" i="4"/>
  <c r="G135" i="4" s="1"/>
  <c r="CN116" i="4"/>
  <c r="F135" i="4" s="1"/>
  <c r="BV117" i="4"/>
  <c r="BX117" i="4" s="1"/>
  <c r="CK117" i="4" s="1"/>
  <c r="CL117" i="4" s="1"/>
  <c r="BM147" i="4"/>
  <c r="BO147" i="4" s="1"/>
  <c r="BL148" i="4"/>
  <c r="BJ150" i="4" l="1"/>
  <c r="BQ150" i="4" s="1"/>
  <c r="BQ149" i="4"/>
  <c r="BK149" i="4"/>
  <c r="CD147" i="4"/>
  <c r="CM117" i="4"/>
  <c r="CN117" i="4" s="1"/>
  <c r="F136" i="4" s="1"/>
  <c r="CC129" i="4"/>
  <c r="BZ129" i="4"/>
  <c r="CB129" i="4" s="1"/>
  <c r="CG118" i="4"/>
  <c r="BL149" i="4"/>
  <c r="BM148" i="4"/>
  <c r="BO148" i="4" s="1"/>
  <c r="BY117" i="4"/>
  <c r="CO117" i="4" s="1"/>
  <c r="CP117" i="4" s="1"/>
  <c r="BR118" i="4"/>
  <c r="BS130" i="4" s="1"/>
  <c r="BT142" i="4" s="1"/>
  <c r="BU154" i="4" s="1"/>
  <c r="BK150" i="4" l="1"/>
  <c r="CD149" i="4" s="1"/>
  <c r="CD148" i="4"/>
  <c r="CH118" i="4"/>
  <c r="CI118" i="4" s="1"/>
  <c r="CJ118" i="4" s="1"/>
  <c r="CF119" i="4" s="1"/>
  <c r="BV118" i="4"/>
  <c r="BX118" i="4" s="1"/>
  <c r="CK118" i="4" s="1"/>
  <c r="CL118" i="4" s="1"/>
  <c r="BM149" i="4"/>
  <c r="BO149" i="4" s="1"/>
  <c r="BL150" i="4"/>
  <c r="BM150" i="4" s="1"/>
  <c r="BO150" i="4" s="1"/>
  <c r="CQ117" i="4"/>
  <c r="G136" i="4" s="1"/>
  <c r="BY118" i="4" l="1"/>
  <c r="CO118" i="4" s="1"/>
  <c r="CP118" i="4" s="1"/>
  <c r="CC130" i="4"/>
  <c r="BZ130" i="4"/>
  <c r="CB130" i="4" s="1"/>
  <c r="CM118" i="4"/>
  <c r="CG119" i="4"/>
  <c r="BJ151" i="4"/>
  <c r="BQ151" i="4" s="1"/>
  <c r="BR119" i="4"/>
  <c r="BS131" i="4" s="1"/>
  <c r="BT143" i="4" s="1"/>
  <c r="BU155" i="4" s="1"/>
  <c r="CQ118" i="4" l="1"/>
  <c r="G137" i="4" s="1"/>
  <c r="CN118" i="4"/>
  <c r="F137" i="4" s="1"/>
  <c r="BJ152" i="4"/>
  <c r="BK151" i="4"/>
  <c r="CD150" i="4" s="1"/>
  <c r="BL151" i="4"/>
  <c r="BV119" i="4"/>
  <c r="BX119" i="4" s="1"/>
  <c r="CK119" i="4" s="1"/>
  <c r="CL119" i="4" s="1"/>
  <c r="CH119" i="4"/>
  <c r="CI119" i="4" s="1"/>
  <c r="CJ119" i="4" s="1"/>
  <c r="CF120" i="4" s="1"/>
  <c r="BJ153" i="4" l="1"/>
  <c r="BQ152" i="4"/>
  <c r="CG120" i="4"/>
  <c r="CM119" i="4"/>
  <c r="CN119" i="4" s="1"/>
  <c r="F138" i="4" s="1"/>
  <c r="BR120" i="4"/>
  <c r="BS132" i="4" s="1"/>
  <c r="BT144" i="4" s="1"/>
  <c r="BU156" i="4" s="1"/>
  <c r="CC131" i="4"/>
  <c r="BZ131" i="4"/>
  <c r="CB131" i="4" s="1"/>
  <c r="BL152" i="4"/>
  <c r="BM151" i="4"/>
  <c r="BO151" i="4" s="1"/>
  <c r="BY119" i="4"/>
  <c r="CO119" i="4" s="1"/>
  <c r="CP119" i="4" s="1"/>
  <c r="BK152" i="4"/>
  <c r="BJ154" i="4" l="1"/>
  <c r="BQ153" i="4"/>
  <c r="BK153" i="4"/>
  <c r="CD151" i="4"/>
  <c r="CQ119" i="4"/>
  <c r="G138" i="4" s="1"/>
  <c r="BV120" i="4"/>
  <c r="BX120" i="4" s="1"/>
  <c r="CK120" i="4" s="1"/>
  <c r="CL120" i="4" s="1"/>
  <c r="BR121" i="4"/>
  <c r="BS133" i="4" s="1"/>
  <c r="BT145" i="4" s="1"/>
  <c r="BU157" i="4" s="1"/>
  <c r="BM152" i="4"/>
  <c r="BO152" i="4" s="1"/>
  <c r="BL153" i="4"/>
  <c r="CH120" i="4"/>
  <c r="CI120" i="4" s="1"/>
  <c r="CJ120" i="4" s="1"/>
  <c r="CF121" i="4" s="1"/>
  <c r="BJ155" i="4" l="1"/>
  <c r="BQ154" i="4"/>
  <c r="BK154" i="4"/>
  <c r="CD152" i="4"/>
  <c r="BY120" i="4"/>
  <c r="CO120" i="4" s="1"/>
  <c r="CP120" i="4" s="1"/>
  <c r="CM120" i="4"/>
  <c r="CG121" i="4"/>
  <c r="CH121" i="4" s="1"/>
  <c r="CI121" i="4" s="1"/>
  <c r="CJ121" i="4" s="1"/>
  <c r="CF122" i="4" s="1"/>
  <c r="BM153" i="4"/>
  <c r="BO153" i="4" s="1"/>
  <c r="BL154" i="4"/>
  <c r="CC132" i="4"/>
  <c r="BZ132" i="4"/>
  <c r="CB132" i="4" s="1"/>
  <c r="BV121" i="4"/>
  <c r="BX121" i="4" s="1"/>
  <c r="CK121" i="4" s="1"/>
  <c r="CL121" i="4" s="1"/>
  <c r="BJ156" i="4" l="1"/>
  <c r="BQ155" i="4"/>
  <c r="BK155" i="4"/>
  <c r="CD153" i="4"/>
  <c r="CQ120" i="4"/>
  <c r="G139" i="4" s="1"/>
  <c r="CN120" i="4"/>
  <c r="F139" i="4" s="1"/>
  <c r="CG122" i="4"/>
  <c r="BM154" i="4"/>
  <c r="BO154" i="4" s="1"/>
  <c r="BL155" i="4"/>
  <c r="BY121" i="4"/>
  <c r="CO121" i="4" s="1"/>
  <c r="CP121" i="4" s="1"/>
  <c r="CC133" i="4"/>
  <c r="BZ133" i="4"/>
  <c r="CB133" i="4" s="1"/>
  <c r="CM121" i="4"/>
  <c r="CN121" i="4" s="1"/>
  <c r="F140" i="4" s="1"/>
  <c r="BR122" i="4"/>
  <c r="BS134" i="4" s="1"/>
  <c r="BT146" i="4" s="1"/>
  <c r="BU158" i="4" s="1"/>
  <c r="BJ157" i="4" l="1"/>
  <c r="BQ156" i="4"/>
  <c r="BK156" i="4"/>
  <c r="CD154" i="4"/>
  <c r="BV122" i="4"/>
  <c r="BX122" i="4" s="1"/>
  <c r="CK122" i="4" s="1"/>
  <c r="CL122" i="4" s="1"/>
  <c r="BM155" i="4"/>
  <c r="BO155" i="4" s="1"/>
  <c r="BL156" i="4"/>
  <c r="CQ121" i="4"/>
  <c r="G140" i="4" s="1"/>
  <c r="CH122" i="4"/>
  <c r="CI122" i="4" s="1"/>
  <c r="CJ122" i="4" s="1"/>
  <c r="CF123" i="4" s="1"/>
  <c r="BJ158" i="4" l="1"/>
  <c r="BQ157" i="4"/>
  <c r="BK157" i="4"/>
  <c r="CD155" i="4"/>
  <c r="BY122" i="4"/>
  <c r="CO122" i="4" s="1"/>
  <c r="CP122" i="4" s="1"/>
  <c r="BL157" i="4"/>
  <c r="BM156" i="4"/>
  <c r="BO156" i="4" s="1"/>
  <c r="CG123" i="4"/>
  <c r="BR123" i="4"/>
  <c r="BS135" i="4" s="1"/>
  <c r="BT147" i="4" s="1"/>
  <c r="BU159" i="4" s="1"/>
  <c r="CM122" i="4"/>
  <c r="CC134" i="4"/>
  <c r="BZ134" i="4"/>
  <c r="CB134" i="4" s="1"/>
  <c r="BJ159" i="4" l="1"/>
  <c r="BQ158" i="4"/>
  <c r="BK158" i="4"/>
  <c r="CD156" i="4"/>
  <c r="CH123" i="4"/>
  <c r="CI123" i="4" s="1"/>
  <c r="CJ123" i="4" s="1"/>
  <c r="CF124" i="4" s="1"/>
  <c r="BV123" i="4"/>
  <c r="BX123" i="4" s="1"/>
  <c r="CK123" i="4" s="1"/>
  <c r="CL123" i="4" s="1"/>
  <c r="CN122" i="4"/>
  <c r="F141" i="4" s="1"/>
  <c r="CQ122" i="4"/>
  <c r="G141" i="4" s="1"/>
  <c r="BM157" i="4"/>
  <c r="BO157" i="4" s="1"/>
  <c r="BL158" i="4"/>
  <c r="BJ160" i="4" l="1"/>
  <c r="BQ159" i="4"/>
  <c r="BK159" i="4"/>
  <c r="CD157" i="4"/>
  <c r="BY123" i="4"/>
  <c r="CO123" i="4" s="1"/>
  <c r="CP123" i="4" s="1"/>
  <c r="CM123" i="4"/>
  <c r="CN123" i="4" s="1"/>
  <c r="F142" i="4" s="1"/>
  <c r="CC135" i="4"/>
  <c r="BZ135" i="4"/>
  <c r="CB135" i="4" s="1"/>
  <c r="BM158" i="4"/>
  <c r="BO158" i="4" s="1"/>
  <c r="BL159" i="4"/>
  <c r="CG124" i="4"/>
  <c r="BR124" i="4"/>
  <c r="BS136" i="4" s="1"/>
  <c r="BT148" i="4" s="1"/>
  <c r="BU160" i="4" s="1"/>
  <c r="BJ161" i="4" l="1"/>
  <c r="BQ160" i="4"/>
  <c r="BK160" i="4"/>
  <c r="CD158" i="4"/>
  <c r="CQ123" i="4"/>
  <c r="G142" i="4" s="1"/>
  <c r="BV124" i="4"/>
  <c r="BX124" i="4" s="1"/>
  <c r="CK124" i="4" s="1"/>
  <c r="CL124" i="4" s="1"/>
  <c r="BM159" i="4"/>
  <c r="BO159" i="4" s="1"/>
  <c r="BL160" i="4"/>
  <c r="CH124" i="4"/>
  <c r="CI124" i="4" s="1"/>
  <c r="CJ124" i="4" s="1"/>
  <c r="CF125" i="4" s="1"/>
  <c r="BJ162" i="4" l="1"/>
  <c r="BQ161" i="4"/>
  <c r="BK161" i="4"/>
  <c r="CD159" i="4"/>
  <c r="BY124" i="4"/>
  <c r="CO124" i="4" s="1"/>
  <c r="CP124" i="4" s="1"/>
  <c r="BR125" i="4"/>
  <c r="BS137" i="4" s="1"/>
  <c r="BT149" i="4" s="1"/>
  <c r="BU161" i="4" s="1"/>
  <c r="CG125" i="4"/>
  <c r="BL161" i="4"/>
  <c r="BM160" i="4"/>
  <c r="BO160" i="4" s="1"/>
  <c r="CC136" i="4"/>
  <c r="BZ136" i="4"/>
  <c r="CB136" i="4" s="1"/>
  <c r="CM124" i="4"/>
  <c r="BK162" i="4" l="1"/>
  <c r="CD161" i="4" s="1"/>
  <c r="CD160" i="4"/>
  <c r="CQ124" i="4"/>
  <c r="G143" i="4" s="1"/>
  <c r="CN124" i="4"/>
  <c r="F143" i="4" s="1"/>
  <c r="CH125" i="4"/>
  <c r="CI125" i="4" s="1"/>
  <c r="CJ125" i="4" s="1"/>
  <c r="BM161" i="4"/>
  <c r="BO161" i="4" s="1"/>
  <c r="BL162" i="4"/>
  <c r="BM162" i="4" s="1"/>
  <c r="BO162" i="4" s="1"/>
  <c r="BV125" i="4"/>
  <c r="BX125" i="4" s="1"/>
  <c r="CK125" i="4" s="1"/>
  <c r="CL125" i="4" s="1"/>
  <c r="BY125" i="4" l="1"/>
  <c r="CO125" i="4" s="1"/>
  <c r="CP125" i="4" s="1"/>
  <c r="CC137" i="4"/>
  <c r="BZ137" i="4"/>
  <c r="CB137" i="4" s="1"/>
  <c r="CM125" i="4"/>
  <c r="CN125" i="4" s="1"/>
  <c r="F144" i="4" s="1"/>
  <c r="BR126" i="4"/>
  <c r="BS138" i="4" s="1"/>
  <c r="BT150" i="4" s="1"/>
  <c r="BU162" i="4" s="1"/>
  <c r="BV126" i="4" l="1"/>
  <c r="BX126" i="4" s="1"/>
  <c r="CE126" i="4" s="1"/>
  <c r="CQ125" i="4"/>
  <c r="G144" i="4" s="1"/>
  <c r="BY126" i="4" l="1"/>
  <c r="CO126" i="4" s="1"/>
  <c r="CK126" i="4"/>
  <c r="CL126" i="4" s="1"/>
  <c r="CF126" i="4"/>
  <c r="CG126" i="4" s="1"/>
  <c r="CH126" i="4" s="1"/>
  <c r="CC138" i="4"/>
  <c r="BZ138" i="4"/>
  <c r="CB138" i="4" s="1"/>
  <c r="CM126" i="4" l="1"/>
  <c r="CN126" i="4" s="1"/>
  <c r="CP126" i="4"/>
  <c r="CI126" i="4"/>
  <c r="BR127" i="4" s="1"/>
  <c r="BS139" i="4" s="1"/>
  <c r="BT151" i="4" s="1"/>
  <c r="F145" i="4" l="1"/>
  <c r="F30" i="4"/>
  <c r="P30" i="4" s="1"/>
  <c r="BV127" i="4"/>
  <c r="BX127" i="4" s="1"/>
  <c r="CJ126" i="4"/>
  <c r="CF127" i="4" s="1"/>
  <c r="CQ126" i="4"/>
  <c r="G145" i="4" l="1"/>
  <c r="G30" i="4"/>
  <c r="Q30" i="4" s="1"/>
  <c r="CC139" i="4"/>
  <c r="BZ139" i="4"/>
  <c r="CB139" i="4" s="1"/>
  <c r="BY127" i="4"/>
  <c r="CO127" i="4" s="1"/>
  <c r="CK127" i="4"/>
  <c r="CL127" i="4" s="1"/>
  <c r="CG127" i="4"/>
  <c r="CH127" i="4" s="1"/>
  <c r="CI127" i="4" s="1"/>
  <c r="CJ127" i="4" s="1"/>
  <c r="CF128" i="4" s="1"/>
  <c r="CG128" i="4" l="1"/>
  <c r="CM127" i="4"/>
  <c r="CN127" i="4" s="1"/>
  <c r="F146" i="4" s="1"/>
  <c r="CP127" i="4"/>
  <c r="BR128" i="4"/>
  <c r="BS140" i="4" s="1"/>
  <c r="BT152" i="4" s="1"/>
  <c r="BV128" i="4" l="1"/>
  <c r="BX128" i="4" s="1"/>
  <c r="CQ127" i="4"/>
  <c r="G146" i="4" s="1"/>
  <c r="CH128" i="4"/>
  <c r="CI128" i="4" s="1"/>
  <c r="CJ128" i="4" s="1"/>
  <c r="CF129" i="4" s="1"/>
  <c r="CG129" i="4" l="1"/>
  <c r="BR129" i="4"/>
  <c r="BS141" i="4" s="1"/>
  <c r="BT153" i="4" s="1"/>
  <c r="BY128" i="4"/>
  <c r="CO128" i="4" s="1"/>
  <c r="CK128" i="4"/>
  <c r="CL128" i="4" s="1"/>
  <c r="CC140" i="4"/>
  <c r="BZ140" i="4"/>
  <c r="CB140" i="4" s="1"/>
  <c r="CM128" i="4" l="1"/>
  <c r="CN128" i="4" s="1"/>
  <c r="F147" i="4" s="1"/>
  <c r="CP128" i="4"/>
  <c r="BV129" i="4"/>
  <c r="BX129" i="4" s="1"/>
  <c r="CH129" i="4"/>
  <c r="CI129" i="4" s="1"/>
  <c r="CJ129" i="4" s="1"/>
  <c r="CF130" i="4" s="1"/>
  <c r="BY129" i="4" l="1"/>
  <c r="CO129" i="4" s="1"/>
  <c r="CK129" i="4"/>
  <c r="CL129" i="4" s="1"/>
  <c r="CQ128" i="4"/>
  <c r="G147" i="4" s="1"/>
  <c r="CG130" i="4"/>
  <c r="CH130" i="4" s="1"/>
  <c r="CI130" i="4" s="1"/>
  <c r="CJ130" i="4" s="1"/>
  <c r="CF131" i="4" s="1"/>
  <c r="CC141" i="4"/>
  <c r="BZ141" i="4"/>
  <c r="CB141" i="4" s="1"/>
  <c r="BR130" i="4"/>
  <c r="BS142" i="4" s="1"/>
  <c r="BT154" i="4" s="1"/>
  <c r="CG131" i="4" l="1"/>
  <c r="BR131" i="4"/>
  <c r="BS143" i="4" s="1"/>
  <c r="BT155" i="4" s="1"/>
  <c r="CM129" i="4"/>
  <c r="CN129" i="4" s="1"/>
  <c r="F148" i="4" s="1"/>
  <c r="CP129" i="4"/>
  <c r="BV130" i="4"/>
  <c r="BX130" i="4" s="1"/>
  <c r="BV131" i="4" l="1"/>
  <c r="BX131" i="4" s="1"/>
  <c r="BY130" i="4"/>
  <c r="CO130" i="4" s="1"/>
  <c r="CK130" i="4"/>
  <c r="CL130" i="4" s="1"/>
  <c r="CQ129" i="4"/>
  <c r="G148" i="4" s="1"/>
  <c r="CC142" i="4"/>
  <c r="BZ142" i="4"/>
  <c r="CB142" i="4" s="1"/>
  <c r="CH131" i="4"/>
  <c r="CI131" i="4" s="1"/>
  <c r="CJ131" i="4" s="1"/>
  <c r="CF132" i="4" s="1"/>
  <c r="BR132" i="4" l="1"/>
  <c r="BS144" i="4" s="1"/>
  <c r="BT156" i="4" s="1"/>
  <c r="CM130" i="4"/>
  <c r="CN130" i="4" s="1"/>
  <c r="F149" i="4" s="1"/>
  <c r="CP130" i="4"/>
  <c r="CG132" i="4"/>
  <c r="CH132" i="4" s="1"/>
  <c r="CI132" i="4" s="1"/>
  <c r="CJ132" i="4" s="1"/>
  <c r="CF133" i="4" s="1"/>
  <c r="BY131" i="4"/>
  <c r="CO131" i="4" s="1"/>
  <c r="CK131" i="4"/>
  <c r="CL131" i="4" s="1"/>
  <c r="CC143" i="4"/>
  <c r="BZ143" i="4"/>
  <c r="CB143" i="4" s="1"/>
  <c r="BV132" i="4" l="1"/>
  <c r="BX132" i="4" s="1"/>
  <c r="BY132" i="4" s="1"/>
  <c r="CO132" i="4" s="1"/>
  <c r="CQ130" i="4"/>
  <c r="G149" i="4" s="1"/>
  <c r="CG133" i="4"/>
  <c r="CM131" i="4"/>
  <c r="CN131" i="4" s="1"/>
  <c r="F150" i="4" s="1"/>
  <c r="CP131" i="4"/>
  <c r="BR133" i="4"/>
  <c r="BS145" i="4" s="1"/>
  <c r="BT157" i="4" s="1"/>
  <c r="CK132" i="4" l="1"/>
  <c r="CL132" i="4" s="1"/>
  <c r="CM132" i="4" s="1"/>
  <c r="CN132" i="4" s="1"/>
  <c r="F151" i="4" s="1"/>
  <c r="BZ144" i="4"/>
  <c r="CB144" i="4" s="1"/>
  <c r="CC144" i="4"/>
  <c r="BV133" i="4"/>
  <c r="BX133" i="4" s="1"/>
  <c r="CQ131" i="4"/>
  <c r="G150" i="4" s="1"/>
  <c r="CH133" i="4"/>
  <c r="CI133" i="4" s="1"/>
  <c r="CJ133" i="4" s="1"/>
  <c r="CF134" i="4" s="1"/>
  <c r="CP132" i="4" l="1"/>
  <c r="CQ132" i="4" s="1"/>
  <c r="G151" i="4" s="1"/>
  <c r="CG134" i="4"/>
  <c r="BR134" i="4"/>
  <c r="BS146" i="4" s="1"/>
  <c r="BT158" i="4" s="1"/>
  <c r="CC145" i="4"/>
  <c r="BZ145" i="4"/>
  <c r="CB145" i="4" s="1"/>
  <c r="BY133" i="4"/>
  <c r="CO133" i="4" s="1"/>
  <c r="CK133" i="4"/>
  <c r="CL133" i="4" s="1"/>
  <c r="CI162" i="4"/>
  <c r="CJ162" i="4" s="1"/>
  <c r="BV134" i="4" l="1"/>
  <c r="BX134" i="4" s="1"/>
  <c r="CM133" i="4"/>
  <c r="CN133" i="4" s="1"/>
  <c r="F152" i="4" s="1"/>
  <c r="CP133" i="4"/>
  <c r="CH134" i="4"/>
  <c r="CI134" i="4" s="1"/>
  <c r="CJ134" i="4" s="1"/>
  <c r="CF135" i="4" s="1"/>
  <c r="CG135" i="4" l="1"/>
  <c r="CQ133" i="4"/>
  <c r="G152" i="4" s="1"/>
  <c r="BR135" i="4"/>
  <c r="BS147" i="4" s="1"/>
  <c r="BT159" i="4" s="1"/>
  <c r="CC146" i="4"/>
  <c r="BZ146" i="4"/>
  <c r="CB146" i="4" s="1"/>
  <c r="BY134" i="4"/>
  <c r="CO134" i="4" s="1"/>
  <c r="CK134" i="4"/>
  <c r="CL134" i="4" s="1"/>
  <c r="BV135" i="4" l="1"/>
  <c r="BX135" i="4" s="1"/>
  <c r="CM134" i="4"/>
  <c r="CN134" i="4" s="1"/>
  <c r="F153" i="4" s="1"/>
  <c r="CP134" i="4"/>
  <c r="CH135" i="4"/>
  <c r="CI135" i="4" s="1"/>
  <c r="CJ135" i="4" s="1"/>
  <c r="CF136" i="4" s="1"/>
  <c r="CG136" i="4" l="1"/>
  <c r="CQ134" i="4"/>
  <c r="G153" i="4" s="1"/>
  <c r="BR136" i="4"/>
  <c r="BS148" i="4" s="1"/>
  <c r="BT160" i="4" s="1"/>
  <c r="CC147" i="4"/>
  <c r="BZ147" i="4"/>
  <c r="CB147" i="4" s="1"/>
  <c r="BY135" i="4"/>
  <c r="CO135" i="4" s="1"/>
  <c r="CK135" i="4"/>
  <c r="CL135" i="4" s="1"/>
  <c r="BV136" i="4" l="1"/>
  <c r="BX136" i="4" s="1"/>
  <c r="CM135" i="4"/>
  <c r="CN135" i="4" s="1"/>
  <c r="F154" i="4" s="1"/>
  <c r="CP135" i="4"/>
  <c r="CH136" i="4"/>
  <c r="CI136" i="4" s="1"/>
  <c r="CJ136" i="4" s="1"/>
  <c r="CF137" i="4" s="1"/>
  <c r="CG137" i="4" l="1"/>
  <c r="CQ135" i="4"/>
  <c r="G154" i="4" s="1"/>
  <c r="BY136" i="4"/>
  <c r="CO136" i="4" s="1"/>
  <c r="CK136" i="4"/>
  <c r="CL136" i="4" s="1"/>
  <c r="CC148" i="4"/>
  <c r="BZ148" i="4"/>
  <c r="CB148" i="4" s="1"/>
  <c r="BR137" i="4"/>
  <c r="BS149" i="4" s="1"/>
  <c r="BT161" i="4" s="1"/>
  <c r="CM136" i="4" l="1"/>
  <c r="CN136" i="4" s="1"/>
  <c r="F155" i="4" s="1"/>
  <c r="CP136" i="4"/>
  <c r="BV137" i="4"/>
  <c r="BX137" i="4" s="1"/>
  <c r="CH137" i="4"/>
  <c r="CI137" i="4" s="1"/>
  <c r="CJ137" i="4" s="1"/>
  <c r="CQ136" i="4" l="1"/>
  <c r="G155" i="4" s="1"/>
  <c r="CC149" i="4"/>
  <c r="BZ149" i="4"/>
  <c r="CB149" i="4" s="1"/>
  <c r="BY137" i="4"/>
  <c r="CO137" i="4" s="1"/>
  <c r="CK137" i="4"/>
  <c r="CL137" i="4" s="1"/>
  <c r="BR138" i="4"/>
  <c r="BS150" i="4" s="1"/>
  <c r="BT162" i="4" s="1"/>
  <c r="BV138" i="4" l="1"/>
  <c r="BX138" i="4" s="1"/>
  <c r="CE138" i="4" s="1"/>
  <c r="CM137" i="4"/>
  <c r="CN137" i="4" s="1"/>
  <c r="F156" i="4" s="1"/>
  <c r="CP137" i="4"/>
  <c r="CQ137" i="4" l="1"/>
  <c r="G156" i="4" s="1"/>
  <c r="BY138" i="4"/>
  <c r="CO138" i="4" s="1"/>
  <c r="CK138" i="4"/>
  <c r="CL138" i="4" s="1"/>
  <c r="CF138" i="4"/>
  <c r="CG138" i="4" s="1"/>
  <c r="CH138" i="4" s="1"/>
  <c r="CC150" i="4"/>
  <c r="BZ150" i="4"/>
  <c r="CB150" i="4" s="1"/>
  <c r="CI138" i="4" l="1"/>
  <c r="BR139" i="4" s="1"/>
  <c r="BS151" i="4" s="1"/>
  <c r="CM138" i="4"/>
  <c r="CN138" i="4" s="1"/>
  <c r="F17" i="4" s="1"/>
  <c r="P34" i="4" s="1"/>
  <c r="CP138" i="4"/>
  <c r="CJ138" i="4" l="1"/>
  <c r="CF139" i="4" s="1"/>
  <c r="F157" i="4"/>
  <c r="F31" i="4"/>
  <c r="P31" i="4" s="1"/>
  <c r="CQ138" i="4"/>
  <c r="G17" i="4" s="1"/>
  <c r="Q34" i="4" s="1"/>
  <c r="CG139" i="4"/>
  <c r="BV139" i="4"/>
  <c r="BX139" i="4" s="1"/>
  <c r="BY139" i="4" l="1"/>
  <c r="CO139" i="4" s="1"/>
  <c r="CK139" i="4"/>
  <c r="CL139" i="4" s="1"/>
  <c r="CC151" i="4"/>
  <c r="BZ151" i="4"/>
  <c r="CB151" i="4" s="1"/>
  <c r="CH139" i="4"/>
  <c r="CI139" i="4" s="1"/>
  <c r="CJ139" i="4" s="1"/>
  <c r="CF140" i="4" s="1"/>
  <c r="G157" i="4"/>
  <c r="G31" i="4"/>
  <c r="Q31" i="4" s="1"/>
  <c r="CG140" i="4" l="1"/>
  <c r="BR140" i="4"/>
  <c r="BS152" i="4" s="1"/>
  <c r="CM139" i="4"/>
  <c r="CN139" i="4" s="1"/>
  <c r="F158" i="4" s="1"/>
  <c r="CP139" i="4"/>
  <c r="CQ139" i="4" l="1"/>
  <c r="G158" i="4" s="1"/>
  <c r="BV140" i="4"/>
  <c r="BX140" i="4" s="1"/>
  <c r="CH140" i="4"/>
  <c r="CI140" i="4" s="1"/>
  <c r="CJ140" i="4" s="1"/>
  <c r="CF141" i="4" s="1"/>
  <c r="BR141" i="4" l="1"/>
  <c r="BS153" i="4" s="1"/>
  <c r="CC152" i="4"/>
  <c r="BZ152" i="4"/>
  <c r="CB152" i="4" s="1"/>
  <c r="CG141" i="4"/>
  <c r="BY140" i="4"/>
  <c r="CO140" i="4" s="1"/>
  <c r="CK140" i="4"/>
  <c r="CL140" i="4" s="1"/>
  <c r="CM140" i="4" l="1"/>
  <c r="CN140" i="4" s="1"/>
  <c r="F159" i="4" s="1"/>
  <c r="CP140" i="4"/>
  <c r="CH141" i="4"/>
  <c r="CI141" i="4" s="1"/>
  <c r="CJ141" i="4" s="1"/>
  <c r="CF142" i="4" s="1"/>
  <c r="BV141" i="4"/>
  <c r="BX141" i="4" s="1"/>
  <c r="CQ140" i="4" l="1"/>
  <c r="G159" i="4" s="1"/>
  <c r="CC153" i="4"/>
  <c r="BZ153" i="4"/>
  <c r="CB153" i="4" s="1"/>
  <c r="BR142" i="4"/>
  <c r="BS154" i="4" s="1"/>
  <c r="CG142" i="4"/>
  <c r="BY141" i="4"/>
  <c r="CO141" i="4" s="1"/>
  <c r="CK141" i="4"/>
  <c r="CL141" i="4" s="1"/>
  <c r="CM141" i="4" l="1"/>
  <c r="CN141" i="4" s="1"/>
  <c r="F160" i="4" s="1"/>
  <c r="CP141" i="4"/>
  <c r="CH142" i="4"/>
  <c r="CI142" i="4" s="1"/>
  <c r="CJ142" i="4" s="1"/>
  <c r="CF143" i="4" s="1"/>
  <c r="BV142" i="4"/>
  <c r="BX142" i="4" s="1"/>
  <c r="CQ141" i="4" l="1"/>
  <c r="G160" i="4" s="1"/>
  <c r="CC154" i="4"/>
  <c r="BZ154" i="4"/>
  <c r="CB154" i="4" s="1"/>
  <c r="BY142" i="4"/>
  <c r="CO142" i="4" s="1"/>
  <c r="CK142" i="4"/>
  <c r="CL142" i="4" s="1"/>
  <c r="CG143" i="4"/>
  <c r="BR143" i="4"/>
  <c r="BS155" i="4" s="1"/>
  <c r="CM142" i="4" l="1"/>
  <c r="CN142" i="4" s="1"/>
  <c r="F161" i="4" s="1"/>
  <c r="CP142" i="4"/>
  <c r="BV143" i="4"/>
  <c r="BX143" i="4" s="1"/>
  <c r="CH143" i="4"/>
  <c r="CI143" i="4" s="1"/>
  <c r="CJ143" i="4" s="1"/>
  <c r="CF144" i="4" s="1"/>
  <c r="CQ142" i="4" l="1"/>
  <c r="G161" i="4" s="1"/>
  <c r="CG144" i="4"/>
  <c r="BY143" i="4"/>
  <c r="CO143" i="4" s="1"/>
  <c r="CK143" i="4"/>
  <c r="CL143" i="4" s="1"/>
  <c r="BR144" i="4"/>
  <c r="BS156" i="4" s="1"/>
  <c r="CC155" i="4"/>
  <c r="BZ155" i="4"/>
  <c r="CB155" i="4" s="1"/>
  <c r="CM143" i="4" l="1"/>
  <c r="CN143" i="4" s="1"/>
  <c r="F162" i="4" s="1"/>
  <c r="CP143" i="4"/>
  <c r="BV144" i="4"/>
  <c r="BX144" i="4" s="1"/>
  <c r="CH144" i="4"/>
  <c r="CI144" i="4" s="1"/>
  <c r="CJ144" i="4" s="1"/>
  <c r="CF145" i="4" s="1"/>
  <c r="CQ143" i="4" l="1"/>
  <c r="G162" i="4" s="1"/>
  <c r="CG145" i="4"/>
  <c r="BR145" i="4"/>
  <c r="BS157" i="4" s="1"/>
  <c r="CC156" i="4"/>
  <c r="BZ156" i="4"/>
  <c r="CB156" i="4" s="1"/>
  <c r="BY144" i="4"/>
  <c r="CO144" i="4" s="1"/>
  <c r="CK144" i="4"/>
  <c r="CL144" i="4" s="1"/>
  <c r="CM144" i="4" l="1"/>
  <c r="CN144" i="4" s="1"/>
  <c r="F163" i="4" s="1"/>
  <c r="CP144" i="4"/>
  <c r="BV145" i="4"/>
  <c r="BX145" i="4" s="1"/>
  <c r="CH145" i="4"/>
  <c r="CI145" i="4" s="1"/>
  <c r="CJ145" i="4" s="1"/>
  <c r="CF146" i="4" s="1"/>
  <c r="CQ144" i="4" l="1"/>
  <c r="G163" i="4" s="1"/>
  <c r="BY145" i="4"/>
  <c r="CO145" i="4" s="1"/>
  <c r="CK145" i="4"/>
  <c r="CL145" i="4" s="1"/>
  <c r="CG146" i="4"/>
  <c r="CC157" i="4"/>
  <c r="BZ157" i="4"/>
  <c r="CB157" i="4" s="1"/>
  <c r="BR146" i="4"/>
  <c r="BS158" i="4" s="1"/>
  <c r="BV146" i="4" l="1"/>
  <c r="BX146" i="4" s="1"/>
  <c r="CH146" i="4"/>
  <c r="CI146" i="4" s="1"/>
  <c r="CJ146" i="4" s="1"/>
  <c r="CF147" i="4" s="1"/>
  <c r="CM145" i="4"/>
  <c r="CN145" i="4" s="1"/>
  <c r="F164" i="4" s="1"/>
  <c r="CP145" i="4"/>
  <c r="CQ145" i="4" l="1"/>
  <c r="G164" i="4" s="1"/>
  <c r="CG147" i="4"/>
  <c r="BR147" i="4"/>
  <c r="BS159" i="4" s="1"/>
  <c r="BY146" i="4"/>
  <c r="CO146" i="4" s="1"/>
  <c r="CK146" i="4"/>
  <c r="CL146" i="4" s="1"/>
  <c r="CC158" i="4"/>
  <c r="BZ158" i="4"/>
  <c r="CB158" i="4" s="1"/>
  <c r="CM146" i="4" l="1"/>
  <c r="CN146" i="4" s="1"/>
  <c r="F165" i="4" s="1"/>
  <c r="CP146" i="4"/>
  <c r="BV147" i="4"/>
  <c r="BX147" i="4" s="1"/>
  <c r="CH147" i="4"/>
  <c r="CI147" i="4" s="1"/>
  <c r="CJ147" i="4" s="1"/>
  <c r="CF148" i="4" s="1"/>
  <c r="BY147" i="4" l="1"/>
  <c r="CO147" i="4" s="1"/>
  <c r="CK147" i="4"/>
  <c r="CL147" i="4" s="1"/>
  <c r="BR148" i="4"/>
  <c r="BS160" i="4" s="1"/>
  <c r="CQ146" i="4"/>
  <c r="G165" i="4" s="1"/>
  <c r="CG148" i="4"/>
  <c r="CC159" i="4"/>
  <c r="BZ159" i="4"/>
  <c r="CB159" i="4" s="1"/>
  <c r="BV148" i="4" l="1"/>
  <c r="BX148" i="4" s="1"/>
  <c r="CH148" i="4"/>
  <c r="CI148" i="4" s="1"/>
  <c r="CJ148" i="4" s="1"/>
  <c r="CF149" i="4" s="1"/>
  <c r="CM147" i="4"/>
  <c r="CN147" i="4" s="1"/>
  <c r="F166" i="4" s="1"/>
  <c r="CP147" i="4"/>
  <c r="CQ147" i="4" l="1"/>
  <c r="G166" i="4" s="1"/>
  <c r="CG149" i="4"/>
  <c r="CH149" i="4" s="1"/>
  <c r="CI149" i="4" s="1"/>
  <c r="CJ149" i="4" s="1"/>
  <c r="BY148" i="4"/>
  <c r="CO148" i="4" s="1"/>
  <c r="CK148" i="4"/>
  <c r="CL148" i="4" s="1"/>
  <c r="CC160" i="4"/>
  <c r="BZ160" i="4"/>
  <c r="CB160" i="4" s="1"/>
  <c r="BR149" i="4"/>
  <c r="BS161" i="4" s="1"/>
  <c r="BV149" i="4" l="1"/>
  <c r="BX149" i="4" s="1"/>
  <c r="CM148" i="4"/>
  <c r="CN148" i="4" s="1"/>
  <c r="F167" i="4" s="1"/>
  <c r="CP148" i="4"/>
  <c r="BR150" i="4"/>
  <c r="BS162" i="4" s="1"/>
  <c r="BV150" i="4" l="1"/>
  <c r="BX150" i="4" s="1"/>
  <c r="CE150" i="4" s="1"/>
  <c r="CQ148" i="4"/>
  <c r="G167" i="4" s="1"/>
  <c r="CC161" i="4"/>
  <c r="BZ161" i="4"/>
  <c r="CB161" i="4" s="1"/>
  <c r="BY149" i="4"/>
  <c r="CO149" i="4" s="1"/>
  <c r="CK149" i="4"/>
  <c r="CL149" i="4" s="1"/>
  <c r="CM149" i="4" l="1"/>
  <c r="CN149" i="4" s="1"/>
  <c r="F168" i="4" s="1"/>
  <c r="CP149" i="4"/>
  <c r="CC162" i="4"/>
  <c r="BZ162" i="4"/>
  <c r="CB162" i="4" s="1"/>
  <c r="BY150" i="4"/>
  <c r="CO150" i="4" s="1"/>
  <c r="CF150" i="4"/>
  <c r="CG150" i="4" s="1"/>
  <c r="CH150" i="4" s="1"/>
  <c r="CK150" i="4"/>
  <c r="CL150" i="4" s="1"/>
  <c r="CQ149" i="4" l="1"/>
  <c r="G168" i="4" s="1"/>
  <c r="CI150" i="4"/>
  <c r="BR151" i="4" s="1"/>
  <c r="BV151" i="4" s="1"/>
  <c r="BX151" i="4" s="1"/>
  <c r="CM150" i="4"/>
  <c r="CP150" i="4"/>
  <c r="CQ150" i="4" l="1"/>
  <c r="G169" i="4" s="1"/>
  <c r="CJ150" i="4"/>
  <c r="CF151" i="4" s="1"/>
  <c r="G32" i="4"/>
  <c r="Q32" i="4" s="1"/>
  <c r="CN150" i="4"/>
  <c r="CG151" i="4"/>
  <c r="BY151" i="4"/>
  <c r="CO151" i="4" s="1"/>
  <c r="CK151" i="4" l="1"/>
  <c r="CH151" i="4"/>
  <c r="CI151" i="4" s="1"/>
  <c r="CJ151" i="4" s="1"/>
  <c r="CF152" i="4" s="1"/>
  <c r="F169" i="4"/>
  <c r="F32" i="4"/>
  <c r="P32" i="4" s="1"/>
  <c r="CL151" i="4" l="1"/>
  <c r="CM151" i="4" s="1"/>
  <c r="CN151" i="4" s="1"/>
  <c r="F170" i="4" s="1"/>
  <c r="CP151" i="4"/>
  <c r="BR152" i="4"/>
  <c r="BV152" i="4" s="1"/>
  <c r="BX152" i="4" s="1"/>
  <c r="CG152" i="4"/>
  <c r="CQ151" i="4" l="1"/>
  <c r="G170" i="4" s="1"/>
  <c r="CH152" i="4"/>
  <c r="CI152" i="4" s="1"/>
  <c r="CJ152" i="4" s="1"/>
  <c r="CF153" i="4" s="1"/>
  <c r="BY152" i="4"/>
  <c r="CO152" i="4" s="1"/>
  <c r="CK152" i="4"/>
  <c r="CL152" i="4" s="1"/>
  <c r="CM152" i="4" l="1"/>
  <c r="CN152" i="4" s="1"/>
  <c r="F171" i="4" s="1"/>
  <c r="CP152" i="4"/>
  <c r="CG153" i="4"/>
  <c r="BR153" i="4"/>
  <c r="BV153" i="4" s="1"/>
  <c r="BX153" i="4" s="1"/>
  <c r="CQ152" i="4" l="1"/>
  <c r="G171" i="4" s="1"/>
  <c r="BY153" i="4"/>
  <c r="CO153" i="4" s="1"/>
  <c r="CK153" i="4"/>
  <c r="CL153" i="4" s="1"/>
  <c r="CH153" i="4"/>
  <c r="CI153" i="4" s="1"/>
  <c r="CJ153" i="4" s="1"/>
  <c r="CF154" i="4" s="1"/>
  <c r="CG154" i="4" l="1"/>
  <c r="CM153" i="4"/>
  <c r="CN153" i="4" s="1"/>
  <c r="F172" i="4" s="1"/>
  <c r="CP153" i="4"/>
  <c r="BR154" i="4"/>
  <c r="BV154" i="4" s="1"/>
  <c r="BX154" i="4" s="1"/>
  <c r="CQ153" i="4" l="1"/>
  <c r="G172" i="4" s="1"/>
  <c r="BY154" i="4"/>
  <c r="CO154" i="4" s="1"/>
  <c r="CK154" i="4"/>
  <c r="CL154" i="4" s="1"/>
  <c r="CH154" i="4"/>
  <c r="CI154" i="4" s="1"/>
  <c r="CJ154" i="4" s="1"/>
  <c r="CF155" i="4" s="1"/>
  <c r="BR155" i="4" l="1"/>
  <c r="BV155" i="4" s="1"/>
  <c r="BX155" i="4" s="1"/>
  <c r="CM154" i="4"/>
  <c r="CN154" i="4" s="1"/>
  <c r="F173" i="4" s="1"/>
  <c r="CP154" i="4"/>
  <c r="CG155" i="4"/>
  <c r="CQ154" i="4" l="1"/>
  <c r="G173" i="4" s="1"/>
  <c r="CH155" i="4"/>
  <c r="CI155" i="4" s="1"/>
  <c r="CJ155" i="4" s="1"/>
  <c r="CF156" i="4" s="1"/>
  <c r="BY155" i="4"/>
  <c r="CO155" i="4" s="1"/>
  <c r="CK155" i="4"/>
  <c r="CL155" i="4" s="1"/>
  <c r="CM155" i="4" l="1"/>
  <c r="CN155" i="4" s="1"/>
  <c r="F174" i="4" s="1"/>
  <c r="CP155" i="4"/>
  <c r="CG156" i="4"/>
  <c r="CH156" i="4" s="1"/>
  <c r="CI156" i="4" s="1"/>
  <c r="CJ156" i="4" s="1"/>
  <c r="CF157" i="4" s="1"/>
  <c r="BR156" i="4"/>
  <c r="BV156" i="4" s="1"/>
  <c r="BX156" i="4" s="1"/>
  <c r="CQ155" i="4" l="1"/>
  <c r="G174" i="4" s="1"/>
  <c r="CG157" i="4"/>
  <c r="BY156" i="4"/>
  <c r="CO156" i="4" s="1"/>
  <c r="CK156" i="4"/>
  <c r="CL156" i="4" s="1"/>
  <c r="BR157" i="4"/>
  <c r="BV157" i="4" s="1"/>
  <c r="BX157" i="4" s="1"/>
  <c r="CM156" i="4" l="1"/>
  <c r="CN156" i="4" s="1"/>
  <c r="F175" i="4" s="1"/>
  <c r="CP156" i="4"/>
  <c r="BY157" i="4"/>
  <c r="CO157" i="4" s="1"/>
  <c r="CK157" i="4"/>
  <c r="CL157" i="4" s="1"/>
  <c r="CH157" i="4"/>
  <c r="CI157" i="4" s="1"/>
  <c r="CJ157" i="4" s="1"/>
  <c r="CF158" i="4" s="1"/>
  <c r="CQ156" i="4" l="1"/>
  <c r="G175" i="4" s="1"/>
  <c r="CG158" i="4"/>
  <c r="BR158" i="4"/>
  <c r="BV158" i="4" s="1"/>
  <c r="BX158" i="4" s="1"/>
  <c r="CM157" i="4"/>
  <c r="CN157" i="4" s="1"/>
  <c r="F176" i="4" s="1"/>
  <c r="CP157" i="4"/>
  <c r="CQ157" i="4" l="1"/>
  <c r="G176" i="4" s="1"/>
  <c r="BY158" i="4"/>
  <c r="CO158" i="4" s="1"/>
  <c r="CK158" i="4"/>
  <c r="CL158" i="4" s="1"/>
  <c r="CH158" i="4"/>
  <c r="CI158" i="4" s="1"/>
  <c r="CJ158" i="4" s="1"/>
  <c r="CF159" i="4" s="1"/>
  <c r="BR159" i="4" l="1"/>
  <c r="BV159" i="4" s="1"/>
  <c r="BX159" i="4" s="1"/>
  <c r="CM158" i="4"/>
  <c r="CN158" i="4" s="1"/>
  <c r="F177" i="4" s="1"/>
  <c r="CP158" i="4"/>
  <c r="CG159" i="4"/>
  <c r="CQ158" i="4" l="1"/>
  <c r="G177" i="4" s="1"/>
  <c r="CH159" i="4"/>
  <c r="CI159" i="4" s="1"/>
  <c r="CJ159" i="4" s="1"/>
  <c r="CF160" i="4" s="1"/>
  <c r="BY159" i="4"/>
  <c r="CO159" i="4" s="1"/>
  <c r="CK159" i="4"/>
  <c r="CL159" i="4" s="1"/>
  <c r="CM159" i="4" l="1"/>
  <c r="CN159" i="4" s="1"/>
  <c r="F178" i="4" s="1"/>
  <c r="CP159" i="4"/>
  <c r="CG160" i="4"/>
  <c r="CH160" i="4" s="1"/>
  <c r="CI160" i="4" s="1"/>
  <c r="CJ160" i="4" s="1"/>
  <c r="CF161" i="4" s="1"/>
  <c r="BR160" i="4"/>
  <c r="BV160" i="4" s="1"/>
  <c r="BX160" i="4" s="1"/>
  <c r="CQ159" i="4" l="1"/>
  <c r="G178" i="4" s="1"/>
  <c r="CG161" i="4"/>
  <c r="BR161" i="4"/>
  <c r="BV161" i="4" s="1"/>
  <c r="BX161" i="4" s="1"/>
  <c r="BY160" i="4"/>
  <c r="CO160" i="4" s="1"/>
  <c r="CK160" i="4"/>
  <c r="CL160" i="4" s="1"/>
  <c r="CM160" i="4" l="1"/>
  <c r="CN160" i="4" s="1"/>
  <c r="F179" i="4" s="1"/>
  <c r="CP160" i="4"/>
  <c r="BY161" i="4"/>
  <c r="CO161" i="4" s="1"/>
  <c r="CK161" i="4"/>
  <c r="CL161" i="4" s="1"/>
  <c r="CH161" i="4"/>
  <c r="CI161" i="4" s="1"/>
  <c r="CJ161" i="4" s="1"/>
  <c r="CQ160" i="4" l="1"/>
  <c r="G179" i="4" s="1"/>
  <c r="BR162" i="4"/>
  <c r="BV162" i="4" s="1"/>
  <c r="BX162" i="4" s="1"/>
  <c r="CM161" i="4"/>
  <c r="CN161" i="4" s="1"/>
  <c r="F180" i="4" s="1"/>
  <c r="CP161" i="4"/>
  <c r="CQ161" i="4" l="1"/>
  <c r="G180" i="4" s="1"/>
  <c r="BY162" i="4"/>
  <c r="CO162" i="4" s="1"/>
  <c r="CK162" i="4"/>
  <c r="CL162" i="4" s="1"/>
  <c r="CM162" i="4" l="1"/>
  <c r="CP162" i="4"/>
  <c r="CQ162" i="4" l="1"/>
  <c r="G181" i="4" s="1"/>
  <c r="G33" i="4"/>
  <c r="Q33" i="4" s="1"/>
  <c r="CN162" i="4"/>
  <c r="F181" i="4" l="1"/>
  <c r="F33" i="4"/>
  <c r="P33" i="4" s="1"/>
  <c r="AW150" i="4"/>
  <c r="AW144" i="4"/>
  <c r="AW138" i="4"/>
  <c r="AW132" i="4"/>
  <c r="AW120" i="4"/>
  <c r="AK151" i="4"/>
  <c r="AW114" i="4"/>
  <c r="AK139" i="4"/>
  <c r="AW102" i="4"/>
  <c r="AW96" i="4"/>
  <c r="AK127" i="4"/>
  <c r="AK121" i="4"/>
  <c r="AK115" i="4"/>
  <c r="AW78" i="4"/>
  <c r="AW72" i="4"/>
  <c r="AK103" i="4"/>
  <c r="AW66" i="4"/>
  <c r="AW60" i="4"/>
  <c r="AK91" i="4"/>
  <c r="AW48" i="4"/>
  <c r="AK79" i="4"/>
  <c r="AW42" i="4"/>
  <c r="AK77" i="4"/>
  <c r="AK76" i="4"/>
  <c r="AK75" i="4"/>
  <c r="AK74" i="4"/>
  <c r="AK73" i="4"/>
  <c r="AK72" i="4"/>
  <c r="AK71" i="4"/>
  <c r="AK70" i="4"/>
  <c r="AK68" i="4"/>
  <c r="AK69" i="4"/>
  <c r="AK67" i="4"/>
  <c r="AW31" i="4"/>
  <c r="AW32" i="4"/>
  <c r="AW30" i="4"/>
  <c r="AH31" i="4"/>
  <c r="AH32" i="4" s="1"/>
  <c r="AV30" i="4"/>
  <c r="AX30" i="4" l="1"/>
  <c r="AY30" i="4" s="1"/>
  <c r="AZ30" i="4" s="1"/>
  <c r="AL31" i="4"/>
  <c r="AN31" i="4" s="1"/>
  <c r="AO31" i="4" s="1"/>
  <c r="BE31" i="4" s="1"/>
  <c r="AH33" i="4"/>
  <c r="AI44" i="4"/>
  <c r="AL32" i="4"/>
  <c r="AN32" i="4" s="1"/>
  <c r="AI43" i="4"/>
  <c r="AV31" i="4" l="1"/>
  <c r="AX31" i="4" s="1"/>
  <c r="BA31" i="4"/>
  <c r="AJ55" i="4"/>
  <c r="AP43" i="4"/>
  <c r="AR43" i="4" s="1"/>
  <c r="AS43" i="4"/>
  <c r="AO32" i="4"/>
  <c r="BE32" i="4" s="1"/>
  <c r="AS44" i="4"/>
  <c r="AJ56" i="4"/>
  <c r="AP44" i="4"/>
  <c r="AR44" i="4" s="1"/>
  <c r="AI45" i="4"/>
  <c r="AL33" i="4"/>
  <c r="AN33" i="4" s="1"/>
  <c r="AO33" i="4" s="1"/>
  <c r="BE33" i="4" s="1"/>
  <c r="AS45" i="4" l="1"/>
  <c r="AP45" i="4"/>
  <c r="AR45" i="4" s="1"/>
  <c r="AJ57" i="4"/>
  <c r="BB31" i="4"/>
  <c r="BC31" i="4" s="1"/>
  <c r="BD31" i="4" s="1"/>
  <c r="D50" i="4" s="1"/>
  <c r="BF31" i="4"/>
  <c r="AY31" i="4"/>
  <c r="AZ31" i="4" s="1"/>
  <c r="AV32" i="4" l="1"/>
  <c r="AX32" i="4" s="1"/>
  <c r="BA32" i="4"/>
  <c r="BG31" i="4"/>
  <c r="E50" i="4" s="1"/>
  <c r="BF32" i="4" l="1"/>
  <c r="BB32" i="4"/>
  <c r="BC32" i="4" s="1"/>
  <c r="AY32" i="4"/>
  <c r="AZ32" i="4" s="1"/>
  <c r="BG32" i="4" l="1"/>
  <c r="E51" i="4" s="1"/>
  <c r="BA33" i="4"/>
  <c r="BD32" i="4"/>
  <c r="D51" i="4" s="1"/>
  <c r="BF33" i="4" l="1"/>
  <c r="BB33" i="4"/>
  <c r="BC33" i="4" s="1"/>
  <c r="BG33" i="4" l="1"/>
  <c r="E52" i="4" s="1"/>
  <c r="BD33" i="4"/>
  <c r="D52" i="4" s="1"/>
  <c r="AW36" i="4"/>
  <c r="AW35" i="4"/>
  <c r="AW38" i="4"/>
  <c r="AW33" i="4"/>
  <c r="AW37" i="4"/>
  <c r="AW39" i="4"/>
  <c r="AW34" i="4"/>
  <c r="AW40" i="4"/>
  <c r="AH34" i="4"/>
  <c r="AH35" i="4" s="1"/>
  <c r="AI47" i="4" s="1"/>
  <c r="AS47" i="4" s="1"/>
  <c r="AV33" i="4"/>
  <c r="AL34" i="4" l="1"/>
  <c r="AN34" i="4" s="1"/>
  <c r="AO34" i="4" s="1"/>
  <c r="BE34" i="4" s="1"/>
  <c r="AX33" i="4"/>
  <c r="AY33" i="4" s="1"/>
  <c r="AZ33" i="4" s="1"/>
  <c r="AV34" i="4" s="1"/>
  <c r="AX34" i="4" s="1"/>
  <c r="AY34" i="4" s="1"/>
  <c r="AZ34" i="4" s="1"/>
  <c r="AV35" i="4" s="1"/>
  <c r="AX35" i="4" s="1"/>
  <c r="AH36" i="4"/>
  <c r="AI48" i="4" s="1"/>
  <c r="AI46" i="4"/>
  <c r="AS46" i="4" s="1"/>
  <c r="AJ59" i="4"/>
  <c r="AP47" i="4"/>
  <c r="AR47" i="4" s="1"/>
  <c r="AL35" i="4"/>
  <c r="AN35" i="4" s="1"/>
  <c r="BA34" i="4" l="1"/>
  <c r="BF34" i="4" s="1"/>
  <c r="BA35" i="4"/>
  <c r="BB35" i="4" s="1"/>
  <c r="AJ58" i="4"/>
  <c r="AP46" i="4"/>
  <c r="AR46" i="4" s="1"/>
  <c r="AH37" i="4"/>
  <c r="AL36" i="4"/>
  <c r="AN36" i="4" s="1"/>
  <c r="AO36" i="4" s="1"/>
  <c r="BE36" i="4" s="1"/>
  <c r="AY35" i="4"/>
  <c r="AZ35" i="4" s="1"/>
  <c r="BB34" i="4"/>
  <c r="BC34" i="4" s="1"/>
  <c r="BD34" i="4" s="1"/>
  <c r="D53" i="4" s="1"/>
  <c r="AO35" i="4"/>
  <c r="BE35" i="4" s="1"/>
  <c r="AS48" i="4"/>
  <c r="AJ60" i="4"/>
  <c r="AP48" i="4"/>
  <c r="AR48" i="4" s="1"/>
  <c r="BF35" i="4" l="1"/>
  <c r="AH38" i="4"/>
  <c r="AL37" i="4"/>
  <c r="AN37" i="4" s="1"/>
  <c r="AO37" i="4" s="1"/>
  <c r="BE37" i="4" s="1"/>
  <c r="AI49" i="4"/>
  <c r="BG34" i="4"/>
  <c r="E53" i="4" s="1"/>
  <c r="BC35" i="4"/>
  <c r="AV36" i="4"/>
  <c r="AX36" i="4" s="1"/>
  <c r="BA36" i="4"/>
  <c r="AP49" i="4" l="1"/>
  <c r="AR49" i="4" s="1"/>
  <c r="AS49" i="4"/>
  <c r="AJ61" i="4"/>
  <c r="AI50" i="4"/>
  <c r="AH39" i="4"/>
  <c r="AL38" i="4"/>
  <c r="AN38" i="4" s="1"/>
  <c r="AO38" i="4" s="1"/>
  <c r="BE38" i="4" s="1"/>
  <c r="BD35" i="4"/>
  <c r="D54" i="4" s="1"/>
  <c r="BG35" i="4"/>
  <c r="E54" i="4" s="1"/>
  <c r="BF36" i="4"/>
  <c r="BB36" i="4"/>
  <c r="BC36" i="4" s="1"/>
  <c r="BD36" i="4" s="1"/>
  <c r="D55" i="4" s="1"/>
  <c r="AY36" i="4"/>
  <c r="AZ36" i="4" s="1"/>
  <c r="AH40" i="4" l="1"/>
  <c r="AL39" i="4"/>
  <c r="AN39" i="4" s="1"/>
  <c r="AO39" i="4" s="1"/>
  <c r="BE39" i="4" s="1"/>
  <c r="AI51" i="4"/>
  <c r="AJ62" i="4"/>
  <c r="AS50" i="4"/>
  <c r="AP50" i="4"/>
  <c r="AR50" i="4" s="1"/>
  <c r="AV37" i="4"/>
  <c r="AX37" i="4" s="1"/>
  <c r="BA37" i="4"/>
  <c r="BG36" i="4"/>
  <c r="E55" i="4" s="1"/>
  <c r="AS51" i="4" l="1"/>
  <c r="AP51" i="4"/>
  <c r="AR51" i="4" s="1"/>
  <c r="AJ63" i="4"/>
  <c r="AL40" i="4"/>
  <c r="AN40" i="4" s="1"/>
  <c r="AO40" i="4" s="1"/>
  <c r="BE40" i="4" s="1"/>
  <c r="AI52" i="4"/>
  <c r="AH41" i="4"/>
  <c r="BB37" i="4"/>
  <c r="BC37" i="4" s="1"/>
  <c r="BF37" i="4"/>
  <c r="AY37" i="4"/>
  <c r="AZ37" i="4" s="1"/>
  <c r="BG37" i="4" l="1"/>
  <c r="E56" i="4" s="1"/>
  <c r="AL41" i="4"/>
  <c r="AN41" i="4" s="1"/>
  <c r="AO41" i="4" s="1"/>
  <c r="BE41" i="4" s="1"/>
  <c r="AI53" i="4"/>
  <c r="AH42" i="4"/>
  <c r="AP52" i="4"/>
  <c r="AR52" i="4" s="1"/>
  <c r="AS52" i="4"/>
  <c r="AJ64" i="4"/>
  <c r="AV38" i="4"/>
  <c r="AX38" i="4" s="1"/>
  <c r="BA38" i="4"/>
  <c r="BD37" i="4"/>
  <c r="D56" i="4" s="1"/>
  <c r="AI54" i="4" l="1"/>
  <c r="AH43" i="4"/>
  <c r="AL42" i="4"/>
  <c r="AN42" i="4" s="1"/>
  <c r="AU42" i="4" s="1"/>
  <c r="AJ65" i="4"/>
  <c r="AP53" i="4"/>
  <c r="AR53" i="4" s="1"/>
  <c r="AS53" i="4"/>
  <c r="BB38" i="4"/>
  <c r="BC38" i="4" s="1"/>
  <c r="BD38" i="4" s="1"/>
  <c r="D57" i="4" s="1"/>
  <c r="BF38" i="4"/>
  <c r="AY38" i="4"/>
  <c r="AZ38" i="4" s="1"/>
  <c r="AJ66" i="4" l="1"/>
  <c r="AK78" i="4" s="1"/>
  <c r="AS54" i="4"/>
  <c r="AP54" i="4"/>
  <c r="AR54" i="4" s="1"/>
  <c r="AH44" i="4"/>
  <c r="AL43" i="4"/>
  <c r="AN43" i="4" s="1"/>
  <c r="AO43" i="4" s="1"/>
  <c r="BE43" i="4" s="1"/>
  <c r="AI55" i="4"/>
  <c r="AO42" i="4"/>
  <c r="BE42" i="4" s="1"/>
  <c r="BG38" i="4"/>
  <c r="E57" i="4" s="1"/>
  <c r="AV39" i="4"/>
  <c r="AX39" i="4" s="1"/>
  <c r="BA39" i="4"/>
  <c r="AS55" i="4" l="1"/>
  <c r="AP55" i="4"/>
  <c r="AR55" i="4" s="1"/>
  <c r="AJ67" i="4"/>
  <c r="AL44" i="4"/>
  <c r="AN44" i="4" s="1"/>
  <c r="AO44" i="4" s="1"/>
  <c r="BE44" i="4" s="1"/>
  <c r="AI56" i="4"/>
  <c r="AH45" i="4"/>
  <c r="AY39" i="4"/>
  <c r="AZ39" i="4" s="1"/>
  <c r="BB39" i="4"/>
  <c r="BC39" i="4" s="1"/>
  <c r="BD39" i="4" s="1"/>
  <c r="D58" i="4" s="1"/>
  <c r="BF39" i="4"/>
  <c r="AI57" i="4" l="1"/>
  <c r="AH46" i="4"/>
  <c r="AL45" i="4"/>
  <c r="AN45" i="4" s="1"/>
  <c r="AO45" i="4" s="1"/>
  <c r="BE45" i="4" s="1"/>
  <c r="AJ68" i="4"/>
  <c r="AK80" i="4" s="1"/>
  <c r="AP56" i="4"/>
  <c r="AR56" i="4" s="1"/>
  <c r="AS56" i="4"/>
  <c r="AV40" i="4"/>
  <c r="AX40" i="4" s="1"/>
  <c r="BA40" i="4"/>
  <c r="BG39" i="4"/>
  <c r="E58" i="4" s="1"/>
  <c r="AL46" i="4" l="1"/>
  <c r="AN46" i="4" s="1"/>
  <c r="AO46" i="4" s="1"/>
  <c r="BE46" i="4" s="1"/>
  <c r="AI58" i="4"/>
  <c r="AH47" i="4"/>
  <c r="AJ69" i="4"/>
  <c r="AK81" i="4" s="1"/>
  <c r="AS57" i="4"/>
  <c r="AP57" i="4"/>
  <c r="AR57" i="4" s="1"/>
  <c r="BB40" i="4"/>
  <c r="BC40" i="4" s="1"/>
  <c r="BD40" i="4" s="1"/>
  <c r="D59" i="4" s="1"/>
  <c r="BF40" i="4"/>
  <c r="AY40" i="4"/>
  <c r="AZ40" i="4" s="1"/>
  <c r="AP58" i="4" l="1"/>
  <c r="AR58" i="4" s="1"/>
  <c r="AJ70" i="4"/>
  <c r="AK82" i="4" s="1"/>
  <c r="AS58" i="4"/>
  <c r="AH48" i="4"/>
  <c r="AL47" i="4"/>
  <c r="AN47" i="4" s="1"/>
  <c r="AO47" i="4" s="1"/>
  <c r="BE47" i="4" s="1"/>
  <c r="AI59" i="4"/>
  <c r="AV41" i="4"/>
  <c r="AX41" i="4" s="1"/>
  <c r="BA41" i="4"/>
  <c r="BG40" i="4"/>
  <c r="E59" i="4" s="1"/>
  <c r="AH49" i="4" l="1"/>
  <c r="AI60" i="4"/>
  <c r="AL48" i="4"/>
  <c r="AN48" i="4" s="1"/>
  <c r="AO48" i="4" s="1"/>
  <c r="BE48" i="4" s="1"/>
  <c r="AP59" i="4"/>
  <c r="AR59" i="4" s="1"/>
  <c r="AS59" i="4"/>
  <c r="AJ71" i="4"/>
  <c r="AK83" i="4" s="1"/>
  <c r="BB41" i="4"/>
  <c r="BC41" i="4" s="1"/>
  <c r="BD41" i="4" s="1"/>
  <c r="D60" i="4" s="1"/>
  <c r="BF41" i="4"/>
  <c r="AY41" i="4"/>
  <c r="AZ41" i="4" s="1"/>
  <c r="BG41" i="4" l="1"/>
  <c r="E60" i="4" s="1"/>
  <c r="AJ72" i="4"/>
  <c r="AK84" i="4" s="1"/>
  <c r="AS60" i="4"/>
  <c r="AP60" i="4"/>
  <c r="AR60" i="4" s="1"/>
  <c r="AH50" i="4"/>
  <c r="AL49" i="4"/>
  <c r="AN49" i="4" s="1"/>
  <c r="AO49" i="4" s="1"/>
  <c r="BE49" i="4" s="1"/>
  <c r="AI61" i="4"/>
  <c r="AV42" i="4"/>
  <c r="AX42" i="4" s="1"/>
  <c r="BA42" i="4"/>
  <c r="AP61" i="4" l="1"/>
  <c r="AR61" i="4" s="1"/>
  <c r="AJ73" i="4"/>
  <c r="AK85" i="4" s="1"/>
  <c r="AS61" i="4"/>
  <c r="AI62" i="4"/>
  <c r="AH51" i="4"/>
  <c r="AL50" i="4"/>
  <c r="AN50" i="4" s="1"/>
  <c r="AO50" i="4" s="1"/>
  <c r="BE50" i="4" s="1"/>
  <c r="BB42" i="4"/>
  <c r="BC42" i="4" s="1"/>
  <c r="BF42" i="4"/>
  <c r="AY42" i="4"/>
  <c r="AZ42" i="4" s="1"/>
  <c r="BG42" i="4" l="1"/>
  <c r="AH52" i="4"/>
  <c r="AI63" i="4"/>
  <c r="AL51" i="4"/>
  <c r="AN51" i="4" s="1"/>
  <c r="AO51" i="4" s="1"/>
  <c r="BE51" i="4" s="1"/>
  <c r="AJ74" i="4"/>
  <c r="AK86" i="4" s="1"/>
  <c r="AS62" i="4"/>
  <c r="AP62" i="4"/>
  <c r="AR62" i="4" s="1"/>
  <c r="AV43" i="4"/>
  <c r="AX43" i="4" s="1"/>
  <c r="BA43" i="4"/>
  <c r="E23" i="4"/>
  <c r="O23" i="4" s="1"/>
  <c r="E61" i="4"/>
  <c r="BD42" i="4"/>
  <c r="AJ75" i="4" l="1"/>
  <c r="AK87" i="4" s="1"/>
  <c r="AP63" i="4"/>
  <c r="AR63" i="4" s="1"/>
  <c r="AS63" i="4"/>
  <c r="AL52" i="4"/>
  <c r="AN52" i="4" s="1"/>
  <c r="AO52" i="4" s="1"/>
  <c r="BE52" i="4" s="1"/>
  <c r="AH53" i="4"/>
  <c r="AI64" i="4"/>
  <c r="D23" i="4"/>
  <c r="N23" i="4" s="1"/>
  <c r="D61" i="4"/>
  <c r="BB43" i="4"/>
  <c r="BC43" i="4" s="1"/>
  <c r="BD43" i="4" s="1"/>
  <c r="D62" i="4" s="1"/>
  <c r="BF43" i="4"/>
  <c r="AY43" i="4"/>
  <c r="AZ43" i="4" s="1"/>
  <c r="AL53" i="4" l="1"/>
  <c r="AN53" i="4" s="1"/>
  <c r="AO53" i="4" s="1"/>
  <c r="BE53" i="4" s="1"/>
  <c r="AH54" i="4"/>
  <c r="AI65" i="4"/>
  <c r="AS64" i="4"/>
  <c r="AP64" i="4"/>
  <c r="AR64" i="4" s="1"/>
  <c r="AJ76" i="4"/>
  <c r="AK88" i="4" s="1"/>
  <c r="BG43" i="4"/>
  <c r="E62" i="4" s="1"/>
  <c r="AV44" i="4"/>
  <c r="AX44" i="4" s="1"/>
  <c r="BA44" i="4"/>
  <c r="AI66" i="4" l="1"/>
  <c r="AL54" i="4"/>
  <c r="AN54" i="4" s="1"/>
  <c r="AU54" i="4" s="1"/>
  <c r="AS65" i="4"/>
  <c r="AJ77" i="4"/>
  <c r="AK89" i="4" s="1"/>
  <c r="AP65" i="4"/>
  <c r="AR65" i="4" s="1"/>
  <c r="BF44" i="4"/>
  <c r="BB44" i="4"/>
  <c r="BC44" i="4" s="1"/>
  <c r="BD44" i="4" s="1"/>
  <c r="D63" i="4" s="1"/>
  <c r="AY44" i="4"/>
  <c r="AZ44" i="4" s="1"/>
  <c r="AO54" i="4" l="1"/>
  <c r="BE54" i="4" s="1"/>
  <c r="AJ78" i="4"/>
  <c r="AK90" i="4" s="1"/>
  <c r="AP66" i="4"/>
  <c r="AR66" i="4" s="1"/>
  <c r="AS66" i="4"/>
  <c r="AV45" i="4"/>
  <c r="AX45" i="4" s="1"/>
  <c r="BA45" i="4"/>
  <c r="BG44" i="4"/>
  <c r="E63" i="4" s="1"/>
  <c r="BB45" i="4" l="1"/>
  <c r="BC45" i="4" s="1"/>
  <c r="BD45" i="4" s="1"/>
  <c r="D64" i="4" s="1"/>
  <c r="BF45" i="4"/>
  <c r="AY45" i="4"/>
  <c r="AZ45" i="4" s="1"/>
  <c r="BG45" i="4" l="1"/>
  <c r="E64" i="4" s="1"/>
  <c r="AV46" i="4"/>
  <c r="AX46" i="4" s="1"/>
  <c r="BA46" i="4"/>
  <c r="BB46" i="4" l="1"/>
  <c r="BC46" i="4" s="1"/>
  <c r="BD46" i="4" s="1"/>
  <c r="D65" i="4" s="1"/>
  <c r="BF46" i="4"/>
  <c r="AY46" i="4"/>
  <c r="AZ46" i="4" s="1"/>
  <c r="BG46" i="4" l="1"/>
  <c r="E65" i="4" s="1"/>
  <c r="AV47" i="4"/>
  <c r="AX47" i="4" s="1"/>
  <c r="BA47" i="4"/>
  <c r="BB47" i="4" l="1"/>
  <c r="BC47" i="4" s="1"/>
  <c r="BD47" i="4" s="1"/>
  <c r="D66" i="4" s="1"/>
  <c r="BF47" i="4"/>
  <c r="AY47" i="4"/>
  <c r="AZ47" i="4" s="1"/>
  <c r="BG47" i="4" l="1"/>
  <c r="E66" i="4" s="1"/>
  <c r="AV48" i="4"/>
  <c r="AX48" i="4" s="1"/>
  <c r="BA48" i="4"/>
  <c r="BB48" i="4" l="1"/>
  <c r="BC48" i="4" s="1"/>
  <c r="BD48" i="4" s="1"/>
  <c r="D67" i="4" s="1"/>
  <c r="BF48" i="4"/>
  <c r="AY48" i="4"/>
  <c r="AZ48" i="4" s="1"/>
  <c r="BG48" i="4" l="1"/>
  <c r="E67" i="4" s="1"/>
  <c r="AV49" i="4"/>
  <c r="AX49" i="4" s="1"/>
  <c r="BA49" i="4"/>
  <c r="BB49" i="4" l="1"/>
  <c r="BC49" i="4" s="1"/>
  <c r="BD49" i="4" s="1"/>
  <c r="D68" i="4" s="1"/>
  <c r="BF49" i="4"/>
  <c r="AY49" i="4"/>
  <c r="AZ49" i="4" s="1"/>
  <c r="AV50" i="4" l="1"/>
  <c r="AX50" i="4" s="1"/>
  <c r="BA50" i="4"/>
  <c r="BG49" i="4"/>
  <c r="E68" i="4" s="1"/>
  <c r="BB50" i="4" l="1"/>
  <c r="BC50" i="4" s="1"/>
  <c r="BD50" i="4" s="1"/>
  <c r="D69" i="4" s="1"/>
  <c r="BF50" i="4"/>
  <c r="AY50" i="4"/>
  <c r="AZ50" i="4" s="1"/>
  <c r="AV51" i="4" l="1"/>
  <c r="AX51" i="4" s="1"/>
  <c r="BA51" i="4"/>
  <c r="BG50" i="4"/>
  <c r="E69" i="4" s="1"/>
  <c r="BF51" i="4" l="1"/>
  <c r="BB51" i="4"/>
  <c r="BC51" i="4" s="1"/>
  <c r="BD51" i="4" s="1"/>
  <c r="D70" i="4" s="1"/>
  <c r="AY51" i="4"/>
  <c r="AZ51" i="4" s="1"/>
  <c r="AV52" i="4" l="1"/>
  <c r="AX52" i="4" s="1"/>
  <c r="BA52" i="4"/>
  <c r="BG51" i="4"/>
  <c r="E70" i="4" s="1"/>
  <c r="BB52" i="4" l="1"/>
  <c r="BC52" i="4" s="1"/>
  <c r="BD52" i="4" s="1"/>
  <c r="D71" i="4" s="1"/>
  <c r="BF52" i="4"/>
  <c r="AY52" i="4"/>
  <c r="AZ52" i="4" s="1"/>
  <c r="AV53" i="4" l="1"/>
  <c r="AX53" i="4" s="1"/>
  <c r="BA53" i="4"/>
  <c r="BG52" i="4"/>
  <c r="E71" i="4" s="1"/>
  <c r="BB53" i="4" l="1"/>
  <c r="BC53" i="4" s="1"/>
  <c r="BD53" i="4" s="1"/>
  <c r="D72" i="4" s="1"/>
  <c r="BF53" i="4"/>
  <c r="AY53" i="4"/>
  <c r="AZ53" i="4" s="1"/>
  <c r="BG53" i="4" l="1"/>
  <c r="E72" i="4" s="1"/>
  <c r="AV54" i="4"/>
  <c r="BA54" i="4"/>
  <c r="AW54" i="4" l="1"/>
  <c r="BB54" i="4"/>
  <c r="BC54" i="4" s="1"/>
  <c r="BD54" i="4" s="1"/>
  <c r="BF54" i="4"/>
  <c r="AX54" i="4" l="1"/>
  <c r="D73" i="4"/>
  <c r="D24" i="4"/>
  <c r="N24" i="4" s="1"/>
  <c r="BG54" i="4"/>
  <c r="AY54" i="4" l="1"/>
  <c r="AH55" i="4" s="1"/>
  <c r="E24" i="4"/>
  <c r="O24" i="4" s="1"/>
  <c r="E73" i="4"/>
  <c r="AZ54" i="4" l="1"/>
  <c r="AV55" i="4" s="1"/>
  <c r="AX55" i="4" s="1"/>
  <c r="AY55" i="4" s="1"/>
  <c r="AZ55" i="4" s="1"/>
  <c r="AV56" i="4" s="1"/>
  <c r="AX56" i="4" s="1"/>
  <c r="AL55" i="4"/>
  <c r="AN55" i="4" s="1"/>
  <c r="AH56" i="4"/>
  <c r="AI67" i="4"/>
  <c r="AP67" i="4" l="1"/>
  <c r="AR67" i="4" s="1"/>
  <c r="AS67" i="4"/>
  <c r="AJ79" i="4"/>
  <c r="AH57" i="4"/>
  <c r="AI68" i="4"/>
  <c r="AL56" i="4"/>
  <c r="AN56" i="4" s="1"/>
  <c r="BA56" i="4" s="1"/>
  <c r="BB56" i="4" s="1"/>
  <c r="AO55" i="4"/>
  <c r="BE55" i="4" s="1"/>
  <c r="BA55" i="4"/>
  <c r="AY56" i="4"/>
  <c r="AZ56" i="4" s="1"/>
  <c r="AO56" i="4" l="1"/>
  <c r="BE56" i="4" s="1"/>
  <c r="BF56" i="4" s="1"/>
  <c r="BB55" i="4"/>
  <c r="BC55" i="4" s="1"/>
  <c r="BD55" i="4" s="1"/>
  <c r="D74" i="4" s="1"/>
  <c r="BF55" i="4"/>
  <c r="AH58" i="4"/>
  <c r="AL57" i="4"/>
  <c r="AN57" i="4" s="1"/>
  <c r="BA57" i="4" s="1"/>
  <c r="AI69" i="4"/>
  <c r="AP68" i="4"/>
  <c r="AR68" i="4" s="1"/>
  <c r="AS68" i="4"/>
  <c r="AJ80" i="4"/>
  <c r="AK92" i="4" s="1"/>
  <c r="AV57" i="4"/>
  <c r="AX57" i="4" s="1"/>
  <c r="BC56" i="4" l="1"/>
  <c r="BD56" i="4" s="1"/>
  <c r="D75" i="4" s="1"/>
  <c r="AO57" i="4"/>
  <c r="BE57" i="4" s="1"/>
  <c r="BF57" i="4" s="1"/>
  <c r="BG55" i="4"/>
  <c r="E74" i="4" s="1"/>
  <c r="AS69" i="4"/>
  <c r="AP69" i="4"/>
  <c r="AR69" i="4" s="1"/>
  <c r="AJ81" i="4"/>
  <c r="AK93" i="4" s="1"/>
  <c r="AL58" i="4"/>
  <c r="AN58" i="4" s="1"/>
  <c r="AO58" i="4" s="1"/>
  <c r="BE58" i="4" s="1"/>
  <c r="AI70" i="4"/>
  <c r="AH59" i="4"/>
  <c r="BG56" i="4"/>
  <c r="E75" i="4" s="1"/>
  <c r="BB57" i="4"/>
  <c r="BC57" i="4" s="1"/>
  <c r="AY57" i="4"/>
  <c r="AZ57" i="4" s="1"/>
  <c r="BG57" i="4" l="1"/>
  <c r="E76" i="4" s="1"/>
  <c r="AJ82" i="4"/>
  <c r="AK94" i="4" s="1"/>
  <c r="AS70" i="4"/>
  <c r="AP70" i="4"/>
  <c r="AR70" i="4" s="1"/>
  <c r="AH60" i="4"/>
  <c r="AL59" i="4"/>
  <c r="AN59" i="4" s="1"/>
  <c r="AO59" i="4" s="1"/>
  <c r="BE59" i="4" s="1"/>
  <c r="AI71" i="4"/>
  <c r="AV58" i="4"/>
  <c r="AX58" i="4" s="1"/>
  <c r="BA58" i="4"/>
  <c r="BD57" i="4"/>
  <c r="D76" i="4" s="1"/>
  <c r="AL60" i="4" l="1"/>
  <c r="AN60" i="4" s="1"/>
  <c r="AO60" i="4" s="1"/>
  <c r="BE60" i="4" s="1"/>
  <c r="AI72" i="4"/>
  <c r="AH61" i="4"/>
  <c r="AS71" i="4"/>
  <c r="AP71" i="4"/>
  <c r="AR71" i="4" s="1"/>
  <c r="AJ83" i="4"/>
  <c r="AK95" i="4" s="1"/>
  <c r="BB58" i="4"/>
  <c r="BC58" i="4" s="1"/>
  <c r="BF58" i="4"/>
  <c r="AY58" i="4"/>
  <c r="AZ58" i="4" s="1"/>
  <c r="BG58" i="4" l="1"/>
  <c r="E77" i="4" s="1"/>
  <c r="BD58" i="4"/>
  <c r="D77" i="4" s="1"/>
  <c r="AP72" i="4"/>
  <c r="AR72" i="4" s="1"/>
  <c r="AJ84" i="4"/>
  <c r="AK96" i="4" s="1"/>
  <c r="AS72" i="4"/>
  <c r="AH62" i="4"/>
  <c r="AL61" i="4"/>
  <c r="AN61" i="4" s="1"/>
  <c r="AO61" i="4" s="1"/>
  <c r="BE61" i="4" s="1"/>
  <c r="AI73" i="4"/>
  <c r="AV59" i="4"/>
  <c r="AX59" i="4" s="1"/>
  <c r="BA59" i="4"/>
  <c r="AJ85" i="4" l="1"/>
  <c r="AK97" i="4" s="1"/>
  <c r="AS73" i="4"/>
  <c r="AP73" i="4"/>
  <c r="AR73" i="4" s="1"/>
  <c r="AI74" i="4"/>
  <c r="AL62" i="4"/>
  <c r="AN62" i="4" s="1"/>
  <c r="AO62" i="4" s="1"/>
  <c r="BE62" i="4" s="1"/>
  <c r="AH63" i="4"/>
  <c r="BB59" i="4"/>
  <c r="BC59" i="4" s="1"/>
  <c r="BD59" i="4" s="1"/>
  <c r="D78" i="4" s="1"/>
  <c r="BF59" i="4"/>
  <c r="AY59" i="4"/>
  <c r="AZ59" i="4" s="1"/>
  <c r="BG59" i="4" l="1"/>
  <c r="E78" i="4" s="1"/>
  <c r="AJ86" i="4"/>
  <c r="AK98" i="4" s="1"/>
  <c r="AP74" i="4"/>
  <c r="AR74" i="4" s="1"/>
  <c r="AS74" i="4"/>
  <c r="AI75" i="4"/>
  <c r="AH64" i="4"/>
  <c r="AL63" i="4"/>
  <c r="AN63" i="4" s="1"/>
  <c r="AO63" i="4" s="1"/>
  <c r="BE63" i="4" s="1"/>
  <c r="AV60" i="4"/>
  <c r="AX60" i="4" s="1"/>
  <c r="BA60" i="4"/>
  <c r="AH65" i="4" l="1"/>
  <c r="AL64" i="4"/>
  <c r="AN64" i="4" s="1"/>
  <c r="AO64" i="4" s="1"/>
  <c r="BE64" i="4" s="1"/>
  <c r="AI76" i="4"/>
  <c r="AP75" i="4"/>
  <c r="AR75" i="4" s="1"/>
  <c r="AJ87" i="4"/>
  <c r="AK99" i="4" s="1"/>
  <c r="AS75" i="4"/>
  <c r="BB60" i="4"/>
  <c r="BC60" i="4" s="1"/>
  <c r="BF60" i="4"/>
  <c r="AY60" i="4"/>
  <c r="AZ60" i="4" s="1"/>
  <c r="AJ88" i="4" l="1"/>
  <c r="AK100" i="4" s="1"/>
  <c r="AS76" i="4"/>
  <c r="AP76" i="4"/>
  <c r="AR76" i="4" s="1"/>
  <c r="BG60" i="4"/>
  <c r="E79" i="4" s="1"/>
  <c r="AH66" i="4"/>
  <c r="AI77" i="4"/>
  <c r="AL65" i="4"/>
  <c r="AN65" i="4" s="1"/>
  <c r="AO65" i="4" s="1"/>
  <c r="BE65" i="4" s="1"/>
  <c r="BD60" i="4"/>
  <c r="D79" i="4" s="1"/>
  <c r="AV61" i="4"/>
  <c r="AX61" i="4" s="1"/>
  <c r="BA61" i="4"/>
  <c r="AI78" i="4" l="1"/>
  <c r="AL66" i="4"/>
  <c r="AN66" i="4" s="1"/>
  <c r="AH67" i="4"/>
  <c r="AJ89" i="4"/>
  <c r="AK101" i="4" s="1"/>
  <c r="AP77" i="4"/>
  <c r="AR77" i="4" s="1"/>
  <c r="AS77" i="4"/>
  <c r="BF61" i="4"/>
  <c r="BB61" i="4"/>
  <c r="BC61" i="4" s="1"/>
  <c r="BD61" i="4" s="1"/>
  <c r="D80" i="4" s="1"/>
  <c r="AY61" i="4"/>
  <c r="AZ61" i="4" s="1"/>
  <c r="AO66" i="4" l="1"/>
  <c r="BE66" i="4" s="1"/>
  <c r="AU66" i="4"/>
  <c r="AL67" i="4"/>
  <c r="AN67" i="4" s="1"/>
  <c r="AO67" i="4" s="1"/>
  <c r="BE67" i="4" s="1"/>
  <c r="AH68" i="4"/>
  <c r="AI79" i="4"/>
  <c r="AS78" i="4"/>
  <c r="AP78" i="4"/>
  <c r="AR78" i="4" s="1"/>
  <c r="AJ90" i="4"/>
  <c r="AK102" i="4" s="1"/>
  <c r="BA62" i="4"/>
  <c r="AV62" i="4"/>
  <c r="AX62" i="4" s="1"/>
  <c r="BG61" i="4"/>
  <c r="E80" i="4" s="1"/>
  <c r="AI80" i="4" l="1"/>
  <c r="AH69" i="4"/>
  <c r="AL68" i="4"/>
  <c r="AN68" i="4" s="1"/>
  <c r="AO68" i="4" s="1"/>
  <c r="BE68" i="4" s="1"/>
  <c r="AS79" i="4"/>
  <c r="AP79" i="4"/>
  <c r="AR79" i="4" s="1"/>
  <c r="AJ91" i="4"/>
  <c r="AY62" i="4"/>
  <c r="AZ62" i="4" s="1"/>
  <c r="BB62" i="4"/>
  <c r="BC62" i="4" s="1"/>
  <c r="BD62" i="4" s="1"/>
  <c r="D81" i="4" s="1"/>
  <c r="BF62" i="4"/>
  <c r="AI81" i="4" l="1"/>
  <c r="AL69" i="4"/>
  <c r="AN69" i="4" s="1"/>
  <c r="AO69" i="4" s="1"/>
  <c r="BE69" i="4" s="1"/>
  <c r="AH70" i="4"/>
  <c r="AS80" i="4"/>
  <c r="AP80" i="4"/>
  <c r="AR80" i="4" s="1"/>
  <c r="AJ92" i="4"/>
  <c r="AK104" i="4" s="1"/>
  <c r="BG62" i="4"/>
  <c r="E81" i="4" s="1"/>
  <c r="BA63" i="4"/>
  <c r="AV63" i="4"/>
  <c r="AX63" i="4" s="1"/>
  <c r="AI82" i="4" l="1"/>
  <c r="AL70" i="4"/>
  <c r="AN70" i="4" s="1"/>
  <c r="AO70" i="4" s="1"/>
  <c r="BE70" i="4" s="1"/>
  <c r="AH71" i="4"/>
  <c r="AS81" i="4"/>
  <c r="AP81" i="4"/>
  <c r="AR81" i="4" s="1"/>
  <c r="AJ93" i="4"/>
  <c r="AK105" i="4" s="1"/>
  <c r="AY63" i="4"/>
  <c r="AZ63" i="4" s="1"/>
  <c r="BB63" i="4"/>
  <c r="BC63" i="4" s="1"/>
  <c r="BF63" i="4"/>
  <c r="BG63" i="4" l="1"/>
  <c r="E82" i="4" s="1"/>
  <c r="AL71" i="4"/>
  <c r="AN71" i="4" s="1"/>
  <c r="AO71" i="4" s="1"/>
  <c r="BE71" i="4" s="1"/>
  <c r="AH72" i="4"/>
  <c r="AI83" i="4"/>
  <c r="AS82" i="4"/>
  <c r="AP82" i="4"/>
  <c r="AR82" i="4" s="1"/>
  <c r="AJ94" i="4"/>
  <c r="AK106" i="4" s="1"/>
  <c r="BD63" i="4"/>
  <c r="D82" i="4" s="1"/>
  <c r="BA64" i="4"/>
  <c r="AV64" i="4"/>
  <c r="AX64" i="4" s="1"/>
  <c r="AH73" i="4" l="1"/>
  <c r="AL72" i="4"/>
  <c r="AN72" i="4" s="1"/>
  <c r="AO72" i="4" s="1"/>
  <c r="BE72" i="4" s="1"/>
  <c r="AI84" i="4"/>
  <c r="AJ95" i="4"/>
  <c r="AK107" i="4" s="1"/>
  <c r="AP83" i="4"/>
  <c r="AR83" i="4" s="1"/>
  <c r="AS83" i="4"/>
  <c r="AY64" i="4"/>
  <c r="AZ64" i="4" s="1"/>
  <c r="BB64" i="4"/>
  <c r="BC64" i="4" s="1"/>
  <c r="BF64" i="4"/>
  <c r="BG64" i="4" l="1"/>
  <c r="E83" i="4" s="1"/>
  <c r="AJ96" i="4"/>
  <c r="AK108" i="4" s="1"/>
  <c r="AS84" i="4"/>
  <c r="AP84" i="4"/>
  <c r="AR84" i="4" s="1"/>
  <c r="AI85" i="4"/>
  <c r="AL73" i="4"/>
  <c r="AN73" i="4" s="1"/>
  <c r="AO73" i="4" s="1"/>
  <c r="BE73" i="4" s="1"/>
  <c r="AH74" i="4"/>
  <c r="BA65" i="4"/>
  <c r="AV65" i="4"/>
  <c r="AX65" i="4" s="1"/>
  <c r="BD64" i="4"/>
  <c r="D83" i="4" s="1"/>
  <c r="AI86" i="4" l="1"/>
  <c r="AH75" i="4"/>
  <c r="AL74" i="4"/>
  <c r="AN74" i="4" s="1"/>
  <c r="AO74" i="4" s="1"/>
  <c r="BE74" i="4" s="1"/>
  <c r="AJ97" i="4"/>
  <c r="AK109" i="4" s="1"/>
  <c r="AP85" i="4"/>
  <c r="AR85" i="4" s="1"/>
  <c r="AS85" i="4"/>
  <c r="AY65" i="4"/>
  <c r="AZ65" i="4" s="1"/>
  <c r="BB65" i="4"/>
  <c r="BC65" i="4" s="1"/>
  <c r="BF65" i="4"/>
  <c r="BG65" i="4" l="1"/>
  <c r="E84" i="4" s="1"/>
  <c r="BD65" i="4"/>
  <c r="D84" i="4" s="1"/>
  <c r="AL75" i="4"/>
  <c r="AN75" i="4" s="1"/>
  <c r="AO75" i="4" s="1"/>
  <c r="BE75" i="4" s="1"/>
  <c r="AH76" i="4"/>
  <c r="AI87" i="4"/>
  <c r="AS86" i="4"/>
  <c r="AJ98" i="4"/>
  <c r="AK110" i="4" s="1"/>
  <c r="AP86" i="4"/>
  <c r="AR86" i="4" s="1"/>
  <c r="AV66" i="4"/>
  <c r="AX66" i="4" s="1"/>
  <c r="BA66" i="4"/>
  <c r="AL76" i="4" l="1"/>
  <c r="AN76" i="4" s="1"/>
  <c r="AO76" i="4" s="1"/>
  <c r="BE76" i="4" s="1"/>
  <c r="AI88" i="4"/>
  <c r="AH77" i="4"/>
  <c r="AS87" i="4"/>
  <c r="AP87" i="4"/>
  <c r="AR87" i="4" s="1"/>
  <c r="AJ99" i="4"/>
  <c r="AK111" i="4" s="1"/>
  <c r="BF66" i="4"/>
  <c r="BB66" i="4"/>
  <c r="BC66" i="4" s="1"/>
  <c r="AY66" i="4"/>
  <c r="AZ66" i="4" s="1"/>
  <c r="BG66" i="4" l="1"/>
  <c r="E85" i="4" s="1"/>
  <c r="AS88" i="4"/>
  <c r="AJ100" i="4"/>
  <c r="AK112" i="4" s="1"/>
  <c r="AP88" i="4"/>
  <c r="AR88" i="4" s="1"/>
  <c r="AL77" i="4"/>
  <c r="AN77" i="4" s="1"/>
  <c r="AO77" i="4" s="1"/>
  <c r="BE77" i="4" s="1"/>
  <c r="AH78" i="4"/>
  <c r="AI89" i="4"/>
  <c r="E25" i="4"/>
  <c r="O25" i="4" s="1"/>
  <c r="BA67" i="4"/>
  <c r="AV67" i="4"/>
  <c r="AX67" i="4" s="1"/>
  <c r="BD66" i="4"/>
  <c r="AP89" i="4" l="1"/>
  <c r="AR89" i="4" s="1"/>
  <c r="AS89" i="4"/>
  <c r="AJ101" i="4"/>
  <c r="AK113" i="4" s="1"/>
  <c r="AL78" i="4"/>
  <c r="AN78" i="4" s="1"/>
  <c r="AI90" i="4"/>
  <c r="AH79" i="4"/>
  <c r="D85" i="4"/>
  <c r="D25" i="4"/>
  <c r="N25" i="4" s="1"/>
  <c r="AY67" i="4"/>
  <c r="AZ67" i="4" s="1"/>
  <c r="BB67" i="4"/>
  <c r="BC67" i="4" s="1"/>
  <c r="BF67" i="4"/>
  <c r="BG67" i="4" l="1"/>
  <c r="E86" i="4" s="1"/>
  <c r="AO78" i="4"/>
  <c r="BE78" i="4" s="1"/>
  <c r="AU78" i="4"/>
  <c r="AL79" i="4"/>
  <c r="AN79" i="4" s="1"/>
  <c r="AO79" i="4" s="1"/>
  <c r="BE79" i="4" s="1"/>
  <c r="AH80" i="4"/>
  <c r="AH81" i="4" s="1"/>
  <c r="AI91" i="4"/>
  <c r="AP90" i="4"/>
  <c r="AR90" i="4" s="1"/>
  <c r="AJ102" i="4"/>
  <c r="AK114" i="4" s="1"/>
  <c r="AS90" i="4"/>
  <c r="BD67" i="4"/>
  <c r="D86" i="4" s="1"/>
  <c r="AV68" i="4"/>
  <c r="AX68" i="4" s="1"/>
  <c r="BA68" i="4"/>
  <c r="AL81" i="4" l="1"/>
  <c r="AN81" i="4" s="1"/>
  <c r="AO81" i="4" s="1"/>
  <c r="BE81" i="4" s="1"/>
  <c r="AH82" i="4"/>
  <c r="AI93" i="4"/>
  <c r="AL80" i="4"/>
  <c r="AN80" i="4" s="1"/>
  <c r="AO80" i="4" s="1"/>
  <c r="BE80" i="4" s="1"/>
  <c r="AI92" i="4"/>
  <c r="AS91" i="4"/>
  <c r="AP91" i="4"/>
  <c r="AR91" i="4" s="1"/>
  <c r="AJ103" i="4"/>
  <c r="BF68" i="4"/>
  <c r="BB68" i="4"/>
  <c r="BC68" i="4" s="1"/>
  <c r="BD68" i="4" s="1"/>
  <c r="D87" i="4" s="1"/>
  <c r="AY68" i="4"/>
  <c r="AZ68" i="4" s="1"/>
  <c r="AJ105" i="4" l="1"/>
  <c r="AK117" i="4" s="1"/>
  <c r="AP93" i="4"/>
  <c r="AR93" i="4" s="1"/>
  <c r="AS93" i="4"/>
  <c r="AI94" i="4"/>
  <c r="AH83" i="4"/>
  <c r="AL82" i="4"/>
  <c r="AN82" i="4" s="1"/>
  <c r="AO82" i="4" s="1"/>
  <c r="BE82" i="4" s="1"/>
  <c r="AS92" i="4"/>
  <c r="AP92" i="4"/>
  <c r="AR92" i="4" s="1"/>
  <c r="AJ104" i="4"/>
  <c r="AK116" i="4" s="1"/>
  <c r="AV69" i="4"/>
  <c r="AX69" i="4" s="1"/>
  <c r="BA69" i="4"/>
  <c r="BG68" i="4"/>
  <c r="E87" i="4" s="1"/>
  <c r="AH84" i="4" l="1"/>
  <c r="AL83" i="4"/>
  <c r="AN83" i="4" s="1"/>
  <c r="AO83" i="4" s="1"/>
  <c r="BE83" i="4" s="1"/>
  <c r="AI95" i="4"/>
  <c r="AJ106" i="4"/>
  <c r="AK118" i="4" s="1"/>
  <c r="AP94" i="4"/>
  <c r="AR94" i="4" s="1"/>
  <c r="AS94" i="4"/>
  <c r="BF69" i="4"/>
  <c r="BB69" i="4"/>
  <c r="BC69" i="4" s="1"/>
  <c r="AY69" i="4"/>
  <c r="AZ69" i="4" s="1"/>
  <c r="BG69" i="4" l="1"/>
  <c r="E88" i="4" s="1"/>
  <c r="AP95" i="4"/>
  <c r="AR95" i="4" s="1"/>
  <c r="AS95" i="4"/>
  <c r="AJ107" i="4"/>
  <c r="AK119" i="4" s="1"/>
  <c r="AI96" i="4"/>
  <c r="AL84" i="4"/>
  <c r="AN84" i="4" s="1"/>
  <c r="AO84" i="4" s="1"/>
  <c r="BE84" i="4" s="1"/>
  <c r="AH85" i="4"/>
  <c r="BA70" i="4"/>
  <c r="AV70" i="4"/>
  <c r="AX70" i="4" s="1"/>
  <c r="BD69" i="4"/>
  <c r="D88" i="4" s="1"/>
  <c r="AJ108" i="4" l="1"/>
  <c r="AK120" i="4" s="1"/>
  <c r="AS96" i="4"/>
  <c r="AP96" i="4"/>
  <c r="AR96" i="4" s="1"/>
  <c r="AI97" i="4"/>
  <c r="AL85" i="4"/>
  <c r="AN85" i="4" s="1"/>
  <c r="AO85" i="4" s="1"/>
  <c r="BE85" i="4" s="1"/>
  <c r="AH86" i="4"/>
  <c r="AY70" i="4"/>
  <c r="AZ70" i="4" s="1"/>
  <c r="BF70" i="4"/>
  <c r="BB70" i="4"/>
  <c r="BC70" i="4" s="1"/>
  <c r="BD70" i="4" s="1"/>
  <c r="D89" i="4" s="1"/>
  <c r="AJ109" i="4" l="1"/>
  <c r="AP97" i="4"/>
  <c r="AR97" i="4" s="1"/>
  <c r="AS97" i="4"/>
  <c r="AL86" i="4"/>
  <c r="AN86" i="4" s="1"/>
  <c r="AO86" i="4" s="1"/>
  <c r="BE86" i="4" s="1"/>
  <c r="AI98" i="4"/>
  <c r="AH87" i="4"/>
  <c r="BG70" i="4"/>
  <c r="E89" i="4" s="1"/>
  <c r="BA71" i="4"/>
  <c r="AV71" i="4"/>
  <c r="AX71" i="4" s="1"/>
  <c r="AJ110" i="4" l="1"/>
  <c r="AK122" i="4" s="1"/>
  <c r="AP98" i="4"/>
  <c r="AR98" i="4" s="1"/>
  <c r="AS98" i="4"/>
  <c r="AH88" i="4"/>
  <c r="AI99" i="4"/>
  <c r="AL87" i="4"/>
  <c r="AN87" i="4" s="1"/>
  <c r="AO87" i="4" s="1"/>
  <c r="BE87" i="4" s="1"/>
  <c r="AY71" i="4"/>
  <c r="AZ71" i="4" s="1"/>
  <c r="BB71" i="4"/>
  <c r="BC71" i="4" s="1"/>
  <c r="BD71" i="4" s="1"/>
  <c r="D90" i="4" s="1"/>
  <c r="BF71" i="4"/>
  <c r="AP99" i="4" l="1"/>
  <c r="AR99" i="4" s="1"/>
  <c r="AS99" i="4"/>
  <c r="AJ111" i="4"/>
  <c r="AK123" i="4" s="1"/>
  <c r="AL88" i="4"/>
  <c r="AN88" i="4" s="1"/>
  <c r="AO88" i="4" s="1"/>
  <c r="BE88" i="4" s="1"/>
  <c r="AH89" i="4"/>
  <c r="AI100" i="4"/>
  <c r="BG71" i="4"/>
  <c r="E90" i="4" s="1"/>
  <c r="BA72" i="4"/>
  <c r="AV72" i="4"/>
  <c r="AX72" i="4" s="1"/>
  <c r="AP100" i="4" l="1"/>
  <c r="AR100" i="4" s="1"/>
  <c r="AJ112" i="4"/>
  <c r="AK124" i="4" s="1"/>
  <c r="AS100" i="4"/>
  <c r="AH90" i="4"/>
  <c r="AI101" i="4"/>
  <c r="AL89" i="4"/>
  <c r="AN89" i="4" s="1"/>
  <c r="AO89" i="4" s="1"/>
  <c r="BE89" i="4" s="1"/>
  <c r="AY72" i="4"/>
  <c r="AZ72" i="4" s="1"/>
  <c r="BF72" i="4"/>
  <c r="BB72" i="4"/>
  <c r="BC72" i="4" s="1"/>
  <c r="AJ113" i="4" l="1"/>
  <c r="AK125" i="4" s="1"/>
  <c r="AP101" i="4"/>
  <c r="AR101" i="4" s="1"/>
  <c r="AS101" i="4"/>
  <c r="AL90" i="4"/>
  <c r="AN90" i="4" s="1"/>
  <c r="AI102" i="4"/>
  <c r="BG72" i="4"/>
  <c r="E91" i="4" s="1"/>
  <c r="BD72" i="4"/>
  <c r="D91" i="4" s="1"/>
  <c r="AV73" i="4"/>
  <c r="AX73" i="4" s="1"/>
  <c r="BA73" i="4"/>
  <c r="AS102" i="4" l="1"/>
  <c r="AP102" i="4"/>
  <c r="AR102" i="4" s="1"/>
  <c r="AJ114" i="4"/>
  <c r="AK126" i="4" s="1"/>
  <c r="AO90" i="4"/>
  <c r="BE90" i="4" s="1"/>
  <c r="AU90" i="4"/>
  <c r="BB73" i="4"/>
  <c r="BC73" i="4" s="1"/>
  <c r="BD73" i="4" s="1"/>
  <c r="D92" i="4" s="1"/>
  <c r="BF73" i="4"/>
  <c r="AY73" i="4"/>
  <c r="AZ73" i="4" s="1"/>
  <c r="BG73" i="4" l="1"/>
  <c r="E92" i="4" s="1"/>
  <c r="AV74" i="4"/>
  <c r="AX74" i="4" s="1"/>
  <c r="BA74" i="4"/>
  <c r="BB74" i="4" l="1"/>
  <c r="BC74" i="4" s="1"/>
  <c r="BD74" i="4" s="1"/>
  <c r="D93" i="4" s="1"/>
  <c r="BF74" i="4"/>
  <c r="AY74" i="4"/>
  <c r="AZ74" i="4" s="1"/>
  <c r="BA75" i="4" l="1"/>
  <c r="AV75" i="4"/>
  <c r="AX75" i="4" s="1"/>
  <c r="BG74" i="4"/>
  <c r="E93" i="4" s="1"/>
  <c r="AY75" i="4" l="1"/>
  <c r="AZ75" i="4" s="1"/>
  <c r="BB75" i="4"/>
  <c r="BC75" i="4" s="1"/>
  <c r="BD75" i="4" s="1"/>
  <c r="D94" i="4" s="1"/>
  <c r="BF75" i="4"/>
  <c r="BG75" i="4" l="1"/>
  <c r="E94" i="4" s="1"/>
  <c r="AV76" i="4"/>
  <c r="AX76" i="4" s="1"/>
  <c r="BA76" i="4"/>
  <c r="BF76" i="4" l="1"/>
  <c r="BB76" i="4"/>
  <c r="BC76" i="4" s="1"/>
  <c r="BD76" i="4" s="1"/>
  <c r="D95" i="4" s="1"/>
  <c r="AY76" i="4"/>
  <c r="AZ76" i="4" s="1"/>
  <c r="AV77" i="4" l="1"/>
  <c r="AX77" i="4" s="1"/>
  <c r="BA77" i="4"/>
  <c r="BG76" i="4"/>
  <c r="E95" i="4" s="1"/>
  <c r="BB77" i="4" l="1"/>
  <c r="BC77" i="4" s="1"/>
  <c r="BD77" i="4" s="1"/>
  <c r="D96" i="4" s="1"/>
  <c r="BF77" i="4"/>
  <c r="AY77" i="4"/>
  <c r="AZ77" i="4" s="1"/>
  <c r="BA78" i="4" l="1"/>
  <c r="AV78" i="4"/>
  <c r="AX78" i="4" s="1"/>
  <c r="BG77" i="4"/>
  <c r="E96" i="4" s="1"/>
  <c r="AY78" i="4" l="1"/>
  <c r="AZ78" i="4" s="1"/>
  <c r="BB78" i="4"/>
  <c r="BC78" i="4" s="1"/>
  <c r="BD78" i="4" s="1"/>
  <c r="BF78" i="4"/>
  <c r="D26" i="4" l="1"/>
  <c r="N26" i="4" s="1"/>
  <c r="D97" i="4"/>
  <c r="BG78" i="4"/>
  <c r="BA79" i="4"/>
  <c r="AV79" i="4"/>
  <c r="AX79" i="4" s="1"/>
  <c r="AY79" i="4" l="1"/>
  <c r="AZ79" i="4" s="1"/>
  <c r="BF79" i="4"/>
  <c r="BB79" i="4"/>
  <c r="BC79" i="4" s="1"/>
  <c r="E26" i="4"/>
  <c r="O26" i="4" s="1"/>
  <c r="E97" i="4"/>
  <c r="BG79" i="4" l="1"/>
  <c r="E98" i="4" s="1"/>
  <c r="BD79" i="4"/>
  <c r="D98" i="4" s="1"/>
  <c r="AV80" i="4"/>
  <c r="AX80" i="4" s="1"/>
  <c r="BA80" i="4"/>
  <c r="BB80" i="4" l="1"/>
  <c r="BC80" i="4" s="1"/>
  <c r="BF80" i="4"/>
  <c r="AY80" i="4"/>
  <c r="AZ80" i="4" s="1"/>
  <c r="BG80" i="4" l="1"/>
  <c r="E99" i="4" s="1"/>
  <c r="BA81" i="4"/>
  <c r="AV81" i="4"/>
  <c r="AX81" i="4" s="1"/>
  <c r="BD80" i="4"/>
  <c r="D99" i="4" s="1"/>
  <c r="AY81" i="4" l="1"/>
  <c r="AZ81" i="4" s="1"/>
  <c r="BB81" i="4"/>
  <c r="BC81" i="4" s="1"/>
  <c r="BD81" i="4" s="1"/>
  <c r="D100" i="4" s="1"/>
  <c r="BF81" i="4"/>
  <c r="BG81" i="4" l="1"/>
  <c r="E100" i="4" s="1"/>
  <c r="BA82" i="4"/>
  <c r="AV82" i="4"/>
  <c r="AX82" i="4" s="1"/>
  <c r="AY82" i="4" l="1"/>
  <c r="AZ82" i="4" s="1"/>
  <c r="BB82" i="4"/>
  <c r="BC82" i="4" s="1"/>
  <c r="BF82" i="4"/>
  <c r="BG82" i="4" l="1"/>
  <c r="E101" i="4" s="1"/>
  <c r="BD82" i="4"/>
  <c r="D101" i="4" s="1"/>
  <c r="BA83" i="4"/>
  <c r="AV83" i="4"/>
  <c r="AX83" i="4" s="1"/>
  <c r="AY83" i="4" l="1"/>
  <c r="AZ83" i="4" s="1"/>
  <c r="BF83" i="4"/>
  <c r="BB83" i="4"/>
  <c r="BC83" i="4" s="1"/>
  <c r="BD83" i="4" s="1"/>
  <c r="D102" i="4" s="1"/>
  <c r="BG83" i="4" l="1"/>
  <c r="E102" i="4" s="1"/>
  <c r="AV84" i="4"/>
  <c r="AX84" i="4" s="1"/>
  <c r="BA84" i="4"/>
  <c r="BF84" i="4" l="1"/>
  <c r="BB84" i="4"/>
  <c r="BC84" i="4" s="1"/>
  <c r="BD84" i="4" s="1"/>
  <c r="D103" i="4" s="1"/>
  <c r="AY84" i="4"/>
  <c r="AZ84" i="4" s="1"/>
  <c r="BA85" i="4" l="1"/>
  <c r="AV85" i="4"/>
  <c r="AX85" i="4" s="1"/>
  <c r="BG84" i="4"/>
  <c r="E103" i="4" s="1"/>
  <c r="AY85" i="4" l="1"/>
  <c r="AZ85" i="4" s="1"/>
  <c r="BB85" i="4"/>
  <c r="BC85" i="4" s="1"/>
  <c r="BD85" i="4" s="1"/>
  <c r="D104" i="4" s="1"/>
  <c r="BF85" i="4"/>
  <c r="BG85" i="4" l="1"/>
  <c r="E104" i="4" s="1"/>
  <c r="AV86" i="4"/>
  <c r="AX86" i="4" s="1"/>
  <c r="BA86" i="4"/>
  <c r="BF86" i="4" l="1"/>
  <c r="BB86" i="4"/>
  <c r="BC86" i="4" s="1"/>
  <c r="BD86" i="4" s="1"/>
  <c r="D105" i="4" s="1"/>
  <c r="AY86" i="4"/>
  <c r="AZ86" i="4" s="1"/>
  <c r="BA87" i="4" l="1"/>
  <c r="AV87" i="4"/>
  <c r="AX87" i="4" s="1"/>
  <c r="BG86" i="4"/>
  <c r="E105" i="4" s="1"/>
  <c r="AY87" i="4" l="1"/>
  <c r="AZ87" i="4" s="1"/>
  <c r="BB87" i="4"/>
  <c r="BC87" i="4" s="1"/>
  <c r="BF87" i="4"/>
  <c r="BG87" i="4" l="1"/>
  <c r="E106" i="4" s="1"/>
  <c r="BD87" i="4"/>
  <c r="D106" i="4" s="1"/>
  <c r="BA88" i="4"/>
  <c r="AV88" i="4"/>
  <c r="AX88" i="4" s="1"/>
  <c r="AY88" i="4" l="1"/>
  <c r="AZ88" i="4" s="1"/>
  <c r="BB88" i="4"/>
  <c r="BC88" i="4" s="1"/>
  <c r="BD88" i="4" s="1"/>
  <c r="D107" i="4" s="1"/>
  <c r="BF88" i="4"/>
  <c r="BG88" i="4" l="1"/>
  <c r="E107" i="4" s="1"/>
  <c r="BA89" i="4"/>
  <c r="AV89" i="4"/>
  <c r="AX89" i="4" s="1"/>
  <c r="AY89" i="4" l="1"/>
  <c r="AZ89" i="4" s="1"/>
  <c r="BB89" i="4"/>
  <c r="BC89" i="4" s="1"/>
  <c r="BD89" i="4" s="1"/>
  <c r="D108" i="4" s="1"/>
  <c r="BF89" i="4"/>
  <c r="BG89" i="4" l="1"/>
  <c r="E108" i="4" s="1"/>
  <c r="AV90" i="4"/>
  <c r="BA90" i="4"/>
  <c r="AW90" i="4" l="1"/>
  <c r="BB90" i="4"/>
  <c r="BC90" i="4" s="1"/>
  <c r="BD90" i="4" s="1"/>
  <c r="BF90" i="4"/>
  <c r="AX90" i="4" l="1"/>
  <c r="D27" i="4"/>
  <c r="N27" i="4" s="1"/>
  <c r="D109" i="4"/>
  <c r="BG90" i="4"/>
  <c r="AY90" i="4" l="1"/>
  <c r="AH91" i="4" s="1"/>
  <c r="E109" i="4"/>
  <c r="E27" i="4"/>
  <c r="O27" i="4" s="1"/>
  <c r="AZ90" i="4" l="1"/>
  <c r="AV91" i="4" s="1"/>
  <c r="AX91" i="4" s="1"/>
  <c r="AY91" i="4" s="1"/>
  <c r="AH92" i="4"/>
  <c r="AL91" i="4"/>
  <c r="AN91" i="4" s="1"/>
  <c r="AI103" i="4"/>
  <c r="AZ91" i="4" l="1"/>
  <c r="AV92" i="4" s="1"/>
  <c r="AX92" i="4" s="1"/>
  <c r="AY92" i="4" s="1"/>
  <c r="AZ92" i="4" s="1"/>
  <c r="AJ115" i="4"/>
  <c r="AP103" i="4"/>
  <c r="AR103" i="4" s="1"/>
  <c r="AS103" i="4"/>
  <c r="AO91" i="4"/>
  <c r="BE91" i="4" s="1"/>
  <c r="BA91" i="4"/>
  <c r="AH93" i="4"/>
  <c r="AI104" i="4"/>
  <c r="AL92" i="4"/>
  <c r="AN92" i="4" s="1"/>
  <c r="BA92" i="4" s="1"/>
  <c r="BB92" i="4" s="1"/>
  <c r="AO92" i="4" l="1"/>
  <c r="BE92" i="4" s="1"/>
  <c r="BF92" i="4" s="1"/>
  <c r="AS104" i="4"/>
  <c r="AP104" i="4"/>
  <c r="AR104" i="4" s="1"/>
  <c r="AJ116" i="4"/>
  <c r="AK128" i="4" s="1"/>
  <c r="AH94" i="4"/>
  <c r="AL93" i="4"/>
  <c r="AN93" i="4" s="1"/>
  <c r="BA93" i="4" s="1"/>
  <c r="AI105" i="4"/>
  <c r="BB91" i="4"/>
  <c r="BC91" i="4" s="1"/>
  <c r="BF91" i="4"/>
  <c r="AV93" i="4"/>
  <c r="AX93" i="4" s="1"/>
  <c r="BG91" i="4" l="1"/>
  <c r="E110" i="4" s="1"/>
  <c r="AO93" i="4"/>
  <c r="BE93" i="4" s="1"/>
  <c r="BF93" i="4" s="1"/>
  <c r="BD91" i="4"/>
  <c r="D110" i="4" s="1"/>
  <c r="AJ117" i="4"/>
  <c r="AK129" i="4" s="1"/>
  <c r="AS105" i="4"/>
  <c r="AP105" i="4"/>
  <c r="AR105" i="4" s="1"/>
  <c r="AI106" i="4"/>
  <c r="AL94" i="4"/>
  <c r="AN94" i="4" s="1"/>
  <c r="AO94" i="4" s="1"/>
  <c r="BE94" i="4" s="1"/>
  <c r="AH95" i="4"/>
  <c r="BC92" i="4"/>
  <c r="AY93" i="4"/>
  <c r="AZ93" i="4" s="1"/>
  <c r="BB93" i="4"/>
  <c r="BC93" i="4" l="1"/>
  <c r="BD93" i="4" s="1"/>
  <c r="D112" i="4" s="1"/>
  <c r="BD92" i="4"/>
  <c r="D111" i="4" s="1"/>
  <c r="BG92" i="4"/>
  <c r="E111" i="4" s="1"/>
  <c r="AJ118" i="4"/>
  <c r="AK130" i="4" s="1"/>
  <c r="AS106" i="4"/>
  <c r="AP106" i="4"/>
  <c r="AR106" i="4" s="1"/>
  <c r="AL95" i="4"/>
  <c r="AN95" i="4" s="1"/>
  <c r="AO95" i="4" s="1"/>
  <c r="BE95" i="4" s="1"/>
  <c r="AI107" i="4"/>
  <c r="AH96" i="4"/>
  <c r="BG93" i="4"/>
  <c r="E112" i="4" s="1"/>
  <c r="BA94" i="4"/>
  <c r="AV94" i="4"/>
  <c r="AX94" i="4" s="1"/>
  <c r="AH97" i="4" l="1"/>
  <c r="AL96" i="4"/>
  <c r="AN96" i="4" s="1"/>
  <c r="AO96" i="4" s="1"/>
  <c r="BE96" i="4" s="1"/>
  <c r="AI108" i="4"/>
  <c r="AJ119" i="4"/>
  <c r="AK131" i="4" s="1"/>
  <c r="AP107" i="4"/>
  <c r="AR107" i="4" s="1"/>
  <c r="AS107" i="4"/>
  <c r="AY94" i="4"/>
  <c r="AZ94" i="4" s="1"/>
  <c r="BF94" i="4"/>
  <c r="BB94" i="4"/>
  <c r="BC94" i="4" s="1"/>
  <c r="BG94" i="4" l="1"/>
  <c r="E113" i="4" s="1"/>
  <c r="AJ120" i="4"/>
  <c r="AK132" i="4" s="1"/>
  <c r="AS108" i="4"/>
  <c r="AP108" i="4"/>
  <c r="AR108" i="4" s="1"/>
  <c r="AL97" i="4"/>
  <c r="AN97" i="4" s="1"/>
  <c r="AO97" i="4" s="1"/>
  <c r="BE97" i="4" s="1"/>
  <c r="AI109" i="4"/>
  <c r="AH98" i="4"/>
  <c r="BD94" i="4"/>
  <c r="D113" i="4" s="1"/>
  <c r="BA95" i="4"/>
  <c r="AV95" i="4"/>
  <c r="AX95" i="4" s="1"/>
  <c r="AH99" i="4" l="1"/>
  <c r="AI110" i="4"/>
  <c r="AL98" i="4"/>
  <c r="AN98" i="4" s="1"/>
  <c r="AO98" i="4" s="1"/>
  <c r="BE98" i="4" s="1"/>
  <c r="AJ121" i="4"/>
  <c r="AK133" i="4" s="1"/>
  <c r="AP109" i="4"/>
  <c r="AR109" i="4" s="1"/>
  <c r="AS109" i="4"/>
  <c r="AY95" i="4"/>
  <c r="AZ95" i="4" s="1"/>
  <c r="BB95" i="4"/>
  <c r="BC95" i="4" s="1"/>
  <c r="BD95" i="4" s="1"/>
  <c r="D114" i="4" s="1"/>
  <c r="BF95" i="4"/>
  <c r="AJ122" i="4" l="1"/>
  <c r="AK134" i="4" s="1"/>
  <c r="AP110" i="4"/>
  <c r="AR110" i="4" s="1"/>
  <c r="AS110" i="4"/>
  <c r="AL99" i="4"/>
  <c r="AN99" i="4" s="1"/>
  <c r="AO99" i="4" s="1"/>
  <c r="BE99" i="4" s="1"/>
  <c r="AI111" i="4"/>
  <c r="AH100" i="4"/>
  <c r="BG95" i="4"/>
  <c r="E114" i="4" s="1"/>
  <c r="AV96" i="4"/>
  <c r="AX96" i="4" s="1"/>
  <c r="BA96" i="4"/>
  <c r="AS111" i="4" l="1"/>
  <c r="AP111" i="4"/>
  <c r="AR111" i="4" s="1"/>
  <c r="AJ123" i="4"/>
  <c r="AK135" i="4" s="1"/>
  <c r="AH101" i="4"/>
  <c r="AL100" i="4"/>
  <c r="AN100" i="4" s="1"/>
  <c r="AO100" i="4" s="1"/>
  <c r="BE100" i="4" s="1"/>
  <c r="AI112" i="4"/>
  <c r="BB96" i="4"/>
  <c r="BC96" i="4" s="1"/>
  <c r="BF96" i="4"/>
  <c r="AY96" i="4"/>
  <c r="AZ96" i="4" s="1"/>
  <c r="AS112" i="4" l="1"/>
  <c r="AP112" i="4"/>
  <c r="AR112" i="4" s="1"/>
  <c r="AJ124" i="4"/>
  <c r="AK136" i="4" s="1"/>
  <c r="AI113" i="4"/>
  <c r="AH102" i="4"/>
  <c r="AL101" i="4"/>
  <c r="AN101" i="4" s="1"/>
  <c r="AO101" i="4" s="1"/>
  <c r="BE101" i="4" s="1"/>
  <c r="BG96" i="4"/>
  <c r="E115" i="4" s="1"/>
  <c r="BA97" i="4"/>
  <c r="AV97" i="4"/>
  <c r="AX97" i="4" s="1"/>
  <c r="BD96" i="4"/>
  <c r="D115" i="4" s="1"/>
  <c r="AL102" i="4" l="1"/>
  <c r="AN102" i="4" s="1"/>
  <c r="AU102" i="4" s="1"/>
  <c r="AI114" i="4"/>
  <c r="AH103" i="4"/>
  <c r="AP113" i="4"/>
  <c r="AR113" i="4" s="1"/>
  <c r="AJ125" i="4"/>
  <c r="AK137" i="4" s="1"/>
  <c r="AS113" i="4"/>
  <c r="AY97" i="4"/>
  <c r="AZ97" i="4" s="1"/>
  <c r="BB97" i="4"/>
  <c r="BC97" i="4" s="1"/>
  <c r="BD97" i="4" s="1"/>
  <c r="D116" i="4" s="1"/>
  <c r="BF97" i="4"/>
  <c r="AO102" i="4" l="1"/>
  <c r="BE102" i="4" s="1"/>
  <c r="AL103" i="4"/>
  <c r="AN103" i="4" s="1"/>
  <c r="AO103" i="4" s="1"/>
  <c r="BE103" i="4" s="1"/>
  <c r="AH104" i="4"/>
  <c r="AI115" i="4"/>
  <c r="AJ126" i="4"/>
  <c r="AK138" i="4" s="1"/>
  <c r="AS114" i="4"/>
  <c r="AP114" i="4"/>
  <c r="AR114" i="4" s="1"/>
  <c r="BG97" i="4"/>
  <c r="E116" i="4" s="1"/>
  <c r="BA98" i="4"/>
  <c r="AV98" i="4"/>
  <c r="AX98" i="4" s="1"/>
  <c r="AL104" i="4" l="1"/>
  <c r="AN104" i="4" s="1"/>
  <c r="AO104" i="4" s="1"/>
  <c r="BE104" i="4" s="1"/>
  <c r="AH105" i="4"/>
  <c r="AI116" i="4"/>
  <c r="AP115" i="4"/>
  <c r="AR115" i="4" s="1"/>
  <c r="AS115" i="4"/>
  <c r="AJ127" i="4"/>
  <c r="AY98" i="4"/>
  <c r="AZ98" i="4" s="1"/>
  <c r="BB98" i="4"/>
  <c r="BC98" i="4" s="1"/>
  <c r="BF98" i="4"/>
  <c r="AL105" i="4" l="1"/>
  <c r="AN105" i="4" s="1"/>
  <c r="AO105" i="4" s="1"/>
  <c r="BE105" i="4" s="1"/>
  <c r="AH106" i="4"/>
  <c r="AI117" i="4"/>
  <c r="AP116" i="4"/>
  <c r="AR116" i="4" s="1"/>
  <c r="AS116" i="4"/>
  <c r="AJ128" i="4"/>
  <c r="AK140" i="4" s="1"/>
  <c r="BG98" i="4"/>
  <c r="E117" i="4" s="1"/>
  <c r="BD98" i="4"/>
  <c r="D117" i="4" s="1"/>
  <c r="BA99" i="4"/>
  <c r="AV99" i="4"/>
  <c r="AX99" i="4" s="1"/>
  <c r="AI118" i="4" l="1"/>
  <c r="AL106" i="4"/>
  <c r="AN106" i="4" s="1"/>
  <c r="AO106" i="4" s="1"/>
  <c r="BE106" i="4" s="1"/>
  <c r="AH107" i="4"/>
  <c r="AJ129" i="4"/>
  <c r="AK141" i="4" s="1"/>
  <c r="AP117" i="4"/>
  <c r="AR117" i="4" s="1"/>
  <c r="AS117" i="4"/>
  <c r="AY99" i="4"/>
  <c r="AZ99" i="4" s="1"/>
  <c r="BB99" i="4"/>
  <c r="BC99" i="4" s="1"/>
  <c r="BD99" i="4" s="1"/>
  <c r="D118" i="4" s="1"/>
  <c r="BF99" i="4"/>
  <c r="AL107" i="4" l="1"/>
  <c r="AN107" i="4" s="1"/>
  <c r="AO107" i="4" s="1"/>
  <c r="BE107" i="4" s="1"/>
  <c r="AI119" i="4"/>
  <c r="AH108" i="4"/>
  <c r="AS118" i="4"/>
  <c r="AJ130" i="4"/>
  <c r="AK142" i="4" s="1"/>
  <c r="AP118" i="4"/>
  <c r="AR118" i="4" s="1"/>
  <c r="BG99" i="4"/>
  <c r="E118" i="4" s="1"/>
  <c r="BA100" i="4"/>
  <c r="AV100" i="4"/>
  <c r="AX100" i="4" s="1"/>
  <c r="AP119" i="4" l="1"/>
  <c r="AR119" i="4" s="1"/>
  <c r="AS119" i="4"/>
  <c r="AJ131" i="4"/>
  <c r="AK143" i="4" s="1"/>
  <c r="AH109" i="4"/>
  <c r="AI120" i="4"/>
  <c r="AL108" i="4"/>
  <c r="AN108" i="4" s="1"/>
  <c r="AO108" i="4" s="1"/>
  <c r="BE108" i="4" s="1"/>
  <c r="AY100" i="4"/>
  <c r="AZ100" i="4" s="1"/>
  <c r="BB100" i="4"/>
  <c r="BC100" i="4" s="1"/>
  <c r="BF100" i="4"/>
  <c r="AL109" i="4" l="1"/>
  <c r="AN109" i="4" s="1"/>
  <c r="AO109" i="4" s="1"/>
  <c r="BE109" i="4" s="1"/>
  <c r="AH110" i="4"/>
  <c r="AI121" i="4"/>
  <c r="AJ132" i="4"/>
  <c r="AK144" i="4" s="1"/>
  <c r="AP120" i="4"/>
  <c r="AR120" i="4" s="1"/>
  <c r="AS120" i="4"/>
  <c r="BG100" i="4"/>
  <c r="E119" i="4" s="1"/>
  <c r="BD100" i="4"/>
  <c r="D119" i="4" s="1"/>
  <c r="BA101" i="4"/>
  <c r="AV101" i="4"/>
  <c r="AX101" i="4" s="1"/>
  <c r="AL110" i="4" l="1"/>
  <c r="AN110" i="4" s="1"/>
  <c r="AO110" i="4" s="1"/>
  <c r="BE110" i="4" s="1"/>
  <c r="AH111" i="4"/>
  <c r="AI122" i="4"/>
  <c r="AJ133" i="4"/>
  <c r="AK145" i="4" s="1"/>
  <c r="AS121" i="4"/>
  <c r="AP121" i="4"/>
  <c r="AR121" i="4" s="1"/>
  <c r="BF101" i="4"/>
  <c r="BB101" i="4"/>
  <c r="BC101" i="4" s="1"/>
  <c r="AY101" i="4"/>
  <c r="AZ101" i="4" s="1"/>
  <c r="BG101" i="4" l="1"/>
  <c r="E120" i="4" s="1"/>
  <c r="AL111" i="4"/>
  <c r="AN111" i="4" s="1"/>
  <c r="AO111" i="4" s="1"/>
  <c r="BE111" i="4" s="1"/>
  <c r="AH112" i="4"/>
  <c r="AI123" i="4"/>
  <c r="AS122" i="4"/>
  <c r="AP122" i="4"/>
  <c r="AR122" i="4" s="1"/>
  <c r="AJ134" i="4"/>
  <c r="AK146" i="4" s="1"/>
  <c r="BA102" i="4"/>
  <c r="AV102" i="4"/>
  <c r="AX102" i="4" s="1"/>
  <c r="BD101" i="4"/>
  <c r="D120" i="4" s="1"/>
  <c r="AH113" i="4" l="1"/>
  <c r="AI124" i="4"/>
  <c r="AL112" i="4"/>
  <c r="AN112" i="4" s="1"/>
  <c r="AO112" i="4" s="1"/>
  <c r="BE112" i="4" s="1"/>
  <c r="AJ135" i="4"/>
  <c r="AK147" i="4" s="1"/>
  <c r="AP123" i="4"/>
  <c r="AR123" i="4" s="1"/>
  <c r="AS123" i="4"/>
  <c r="AY102" i="4"/>
  <c r="AZ102" i="4" s="1"/>
  <c r="BF102" i="4"/>
  <c r="BB102" i="4"/>
  <c r="BC102" i="4" s="1"/>
  <c r="BD102" i="4" s="1"/>
  <c r="AJ136" i="4" l="1"/>
  <c r="AK148" i="4" s="1"/>
  <c r="AS124" i="4"/>
  <c r="AP124" i="4"/>
  <c r="AR124" i="4" s="1"/>
  <c r="AH114" i="4"/>
  <c r="AL113" i="4"/>
  <c r="AN113" i="4" s="1"/>
  <c r="AO113" i="4" s="1"/>
  <c r="BE113" i="4" s="1"/>
  <c r="AI125" i="4"/>
  <c r="D121" i="4"/>
  <c r="D28" i="4"/>
  <c r="N28" i="4" s="1"/>
  <c r="BG102" i="4"/>
  <c r="BA103" i="4"/>
  <c r="AV103" i="4"/>
  <c r="AX103" i="4" s="1"/>
  <c r="AJ137" i="4" l="1"/>
  <c r="AK149" i="4" s="1"/>
  <c r="AP125" i="4"/>
  <c r="AR125" i="4" s="1"/>
  <c r="AS125" i="4"/>
  <c r="AI126" i="4"/>
  <c r="AL114" i="4"/>
  <c r="AN114" i="4" s="1"/>
  <c r="AU114" i="4" s="1"/>
  <c r="AH115" i="4"/>
  <c r="AY103" i="4"/>
  <c r="AZ103" i="4" s="1"/>
  <c r="BF103" i="4"/>
  <c r="BB103" i="4"/>
  <c r="BC103" i="4" s="1"/>
  <c r="E28" i="4"/>
  <c r="O28" i="4" s="1"/>
  <c r="E121" i="4"/>
  <c r="BG103" i="4" l="1"/>
  <c r="E122" i="4" s="1"/>
  <c r="AL115" i="4"/>
  <c r="AN115" i="4" s="1"/>
  <c r="AO115" i="4" s="1"/>
  <c r="BE115" i="4" s="1"/>
  <c r="AH116" i="4"/>
  <c r="AI127" i="4"/>
  <c r="AO114" i="4"/>
  <c r="BE114" i="4" s="1"/>
  <c r="AJ138" i="4"/>
  <c r="AK150" i="4" s="1"/>
  <c r="AS126" i="4"/>
  <c r="AP126" i="4"/>
  <c r="AR126" i="4" s="1"/>
  <c r="BD103" i="4"/>
  <c r="D122" i="4" s="1"/>
  <c r="BA104" i="4"/>
  <c r="AV104" i="4"/>
  <c r="AX104" i="4" s="1"/>
  <c r="AJ139" i="4" l="1"/>
  <c r="AP127" i="4"/>
  <c r="AR127" i="4" s="1"/>
  <c r="AS127" i="4"/>
  <c r="AL116" i="4"/>
  <c r="AN116" i="4" s="1"/>
  <c r="AO116" i="4" s="1"/>
  <c r="BE116" i="4" s="1"/>
  <c r="AH117" i="4"/>
  <c r="AI128" i="4"/>
  <c r="AY104" i="4"/>
  <c r="AZ104" i="4" s="1"/>
  <c r="BF104" i="4"/>
  <c r="BB104" i="4"/>
  <c r="BC104" i="4" s="1"/>
  <c r="BD104" i="4" s="1"/>
  <c r="D123" i="4" s="1"/>
  <c r="AJ140" i="4" l="1"/>
  <c r="AK152" i="4" s="1"/>
  <c r="AP128" i="4"/>
  <c r="AR128" i="4" s="1"/>
  <c r="AS128" i="4"/>
  <c r="AI129" i="4"/>
  <c r="AL117" i="4"/>
  <c r="AN117" i="4" s="1"/>
  <c r="AO117" i="4" s="1"/>
  <c r="BE117" i="4" s="1"/>
  <c r="AH118" i="4"/>
  <c r="BG104" i="4"/>
  <c r="E123" i="4" s="1"/>
  <c r="BA105" i="4"/>
  <c r="AV105" i="4"/>
  <c r="AX105" i="4" s="1"/>
  <c r="AL118" i="4" l="1"/>
  <c r="AN118" i="4" s="1"/>
  <c r="AO118" i="4" s="1"/>
  <c r="BE118" i="4" s="1"/>
  <c r="AI130" i="4"/>
  <c r="AH119" i="4"/>
  <c r="AS129" i="4"/>
  <c r="AJ141" i="4"/>
  <c r="AK153" i="4" s="1"/>
  <c r="AP129" i="4"/>
  <c r="AR129" i="4" s="1"/>
  <c r="AY105" i="4"/>
  <c r="AZ105" i="4" s="1"/>
  <c r="BB105" i="4"/>
  <c r="BC105" i="4" s="1"/>
  <c r="BD105" i="4" s="1"/>
  <c r="D124" i="4" s="1"/>
  <c r="BF105" i="4"/>
  <c r="AI131" i="4" l="1"/>
  <c r="AL119" i="4"/>
  <c r="AN119" i="4" s="1"/>
  <c r="AO119" i="4" s="1"/>
  <c r="BE119" i="4" s="1"/>
  <c r="AH120" i="4"/>
  <c r="AP130" i="4"/>
  <c r="AR130" i="4" s="1"/>
  <c r="AJ142" i="4"/>
  <c r="AK154" i="4" s="1"/>
  <c r="AS130" i="4"/>
  <c r="BG105" i="4"/>
  <c r="E124" i="4" s="1"/>
  <c r="BA106" i="4"/>
  <c r="AV106" i="4"/>
  <c r="AX106" i="4" s="1"/>
  <c r="AH121" i="4" l="1"/>
  <c r="AI132" i="4"/>
  <c r="AL120" i="4"/>
  <c r="AN120" i="4" s="1"/>
  <c r="AO120" i="4" s="1"/>
  <c r="BE120" i="4" s="1"/>
  <c r="AS131" i="4"/>
  <c r="AP131" i="4"/>
  <c r="AR131" i="4" s="1"/>
  <c r="AJ143" i="4"/>
  <c r="AK155" i="4" s="1"/>
  <c r="AY106" i="4"/>
  <c r="AZ106" i="4" s="1"/>
  <c r="BB106" i="4"/>
  <c r="BC106" i="4" s="1"/>
  <c r="BF106" i="4"/>
  <c r="AS132" i="4" l="1"/>
  <c r="AJ144" i="4"/>
  <c r="AK156" i="4" s="1"/>
  <c r="AP132" i="4"/>
  <c r="AR132" i="4" s="1"/>
  <c r="AL121" i="4"/>
  <c r="AN121" i="4" s="1"/>
  <c r="AO121" i="4" s="1"/>
  <c r="BE121" i="4" s="1"/>
  <c r="AI133" i="4"/>
  <c r="AH122" i="4"/>
  <c r="BG106" i="4"/>
  <c r="E125" i="4" s="1"/>
  <c r="BD106" i="4"/>
  <c r="D125" i="4" s="1"/>
  <c r="BA107" i="4"/>
  <c r="AV107" i="4"/>
  <c r="AX107" i="4" s="1"/>
  <c r="AL122" i="4" l="1"/>
  <c r="AN122" i="4" s="1"/>
  <c r="AO122" i="4" s="1"/>
  <c r="BE122" i="4" s="1"/>
  <c r="AI134" i="4"/>
  <c r="AH123" i="4"/>
  <c r="AS133" i="4"/>
  <c r="AJ145" i="4"/>
  <c r="AK157" i="4" s="1"/>
  <c r="AP133" i="4"/>
  <c r="AR133" i="4" s="1"/>
  <c r="AY107" i="4"/>
  <c r="AZ107" i="4" s="1"/>
  <c r="BF107" i="4"/>
  <c r="BB107" i="4"/>
  <c r="BC107" i="4" s="1"/>
  <c r="BD107" i="4" s="1"/>
  <c r="D126" i="4" s="1"/>
  <c r="AS134" i="4" l="1"/>
  <c r="AJ146" i="4"/>
  <c r="AK158" i="4" s="1"/>
  <c r="AP134" i="4"/>
  <c r="AR134" i="4" s="1"/>
  <c r="AL123" i="4"/>
  <c r="AN123" i="4" s="1"/>
  <c r="AO123" i="4" s="1"/>
  <c r="BE123" i="4" s="1"/>
  <c r="AI135" i="4"/>
  <c r="AH124" i="4"/>
  <c r="BG107" i="4"/>
  <c r="E126" i="4" s="1"/>
  <c r="AV108" i="4"/>
  <c r="AX108" i="4" s="1"/>
  <c r="BA108" i="4"/>
  <c r="AJ147" i="4" l="1"/>
  <c r="AK159" i="4" s="1"/>
  <c r="AS135" i="4"/>
  <c r="AP135" i="4"/>
  <c r="AR135" i="4" s="1"/>
  <c r="AI136" i="4"/>
  <c r="AL124" i="4"/>
  <c r="AN124" i="4" s="1"/>
  <c r="AO124" i="4" s="1"/>
  <c r="BE124" i="4" s="1"/>
  <c r="AH125" i="4"/>
  <c r="BB108" i="4"/>
  <c r="BC108" i="4" s="1"/>
  <c r="BD108" i="4" s="1"/>
  <c r="D127" i="4" s="1"/>
  <c r="BF108" i="4"/>
  <c r="AY108" i="4"/>
  <c r="AZ108" i="4" s="1"/>
  <c r="BG108" i="4" l="1"/>
  <c r="E127" i="4" s="1"/>
  <c r="AP136" i="4"/>
  <c r="AR136" i="4" s="1"/>
  <c r="AS136" i="4"/>
  <c r="AJ148" i="4"/>
  <c r="AK160" i="4" s="1"/>
  <c r="AH126" i="4"/>
  <c r="AI137" i="4"/>
  <c r="AL125" i="4"/>
  <c r="AN125" i="4" s="1"/>
  <c r="AO125" i="4" s="1"/>
  <c r="BE125" i="4" s="1"/>
  <c r="BA109" i="4"/>
  <c r="AV109" i="4"/>
  <c r="AX109" i="4" s="1"/>
  <c r="AP137" i="4" l="1"/>
  <c r="AR137" i="4" s="1"/>
  <c r="AJ149" i="4"/>
  <c r="AK161" i="4" s="1"/>
  <c r="AS137" i="4"/>
  <c r="AI138" i="4"/>
  <c r="AL126" i="4"/>
  <c r="AN126" i="4" s="1"/>
  <c r="AU126" i="4" s="1"/>
  <c r="AY109" i="4"/>
  <c r="AZ109" i="4" s="1"/>
  <c r="BB109" i="4"/>
  <c r="BC109" i="4" s="1"/>
  <c r="BF109" i="4"/>
  <c r="AO126" i="4" l="1"/>
  <c r="BE126" i="4" s="1"/>
  <c r="AJ150" i="4"/>
  <c r="AK162" i="4" s="1"/>
  <c r="AS138" i="4"/>
  <c r="AP138" i="4"/>
  <c r="AR138" i="4" s="1"/>
  <c r="BG109" i="4"/>
  <c r="E128" i="4" s="1"/>
  <c r="BD109" i="4"/>
  <c r="D128" i="4" s="1"/>
  <c r="BA110" i="4"/>
  <c r="AV110" i="4"/>
  <c r="AX110" i="4" s="1"/>
  <c r="AY110" i="4" l="1"/>
  <c r="AZ110" i="4" s="1"/>
  <c r="BF110" i="4"/>
  <c r="BB110" i="4"/>
  <c r="BC110" i="4" s="1"/>
  <c r="BD110" i="4" s="1"/>
  <c r="D129" i="4" s="1"/>
  <c r="BG110" i="4" l="1"/>
  <c r="E129" i="4" s="1"/>
  <c r="BA111" i="4"/>
  <c r="AV111" i="4"/>
  <c r="AX111" i="4" s="1"/>
  <c r="AY111" i="4" l="1"/>
  <c r="AZ111" i="4" s="1"/>
  <c r="BF111" i="4"/>
  <c r="BB111" i="4"/>
  <c r="BC111" i="4" s="1"/>
  <c r="BG111" i="4" l="1"/>
  <c r="E130" i="4" s="1"/>
  <c r="BD111" i="4"/>
  <c r="D130" i="4" s="1"/>
  <c r="BA112" i="4"/>
  <c r="AV112" i="4"/>
  <c r="AX112" i="4" s="1"/>
  <c r="AY112" i="4" l="1"/>
  <c r="AZ112" i="4" s="1"/>
  <c r="BF112" i="4"/>
  <c r="BB112" i="4"/>
  <c r="BC112" i="4" s="1"/>
  <c r="BD112" i="4" s="1"/>
  <c r="D131" i="4" s="1"/>
  <c r="BG112" i="4" l="1"/>
  <c r="E131" i="4" s="1"/>
  <c r="BA113" i="4"/>
  <c r="AV113" i="4"/>
  <c r="AX113" i="4" s="1"/>
  <c r="AY113" i="4" l="1"/>
  <c r="AZ113" i="4" s="1"/>
  <c r="BF113" i="4"/>
  <c r="BB113" i="4"/>
  <c r="BC113" i="4" s="1"/>
  <c r="BG113" i="4" l="1"/>
  <c r="E132" i="4" s="1"/>
  <c r="BD113" i="4"/>
  <c r="D132" i="4" s="1"/>
  <c r="BA114" i="4"/>
  <c r="AV114" i="4"/>
  <c r="AX114" i="4" s="1"/>
  <c r="AY114" i="4" l="1"/>
  <c r="AZ114" i="4" s="1"/>
  <c r="BB114" i="4"/>
  <c r="BC114" i="4" s="1"/>
  <c r="BD114" i="4" s="1"/>
  <c r="BF114" i="4"/>
  <c r="D29" i="4" l="1"/>
  <c r="N29" i="4" s="1"/>
  <c r="D133" i="4"/>
  <c r="BG114" i="4"/>
  <c r="BA115" i="4"/>
  <c r="AV115" i="4"/>
  <c r="AX115" i="4" s="1"/>
  <c r="AY115" i="4" l="1"/>
  <c r="AZ115" i="4" s="1"/>
  <c r="BF115" i="4"/>
  <c r="BB115" i="4"/>
  <c r="BC115" i="4" s="1"/>
  <c r="BD115" i="4" s="1"/>
  <c r="D134" i="4" s="1"/>
  <c r="E133" i="4"/>
  <c r="E29" i="4"/>
  <c r="O29" i="4" s="1"/>
  <c r="BA116" i="4" l="1"/>
  <c r="AV116" i="4"/>
  <c r="AX116" i="4" s="1"/>
  <c r="BG115" i="4"/>
  <c r="E134" i="4" s="1"/>
  <c r="AY116" i="4" l="1"/>
  <c r="AZ116" i="4" s="1"/>
  <c r="BF116" i="4"/>
  <c r="BB116" i="4"/>
  <c r="BC116" i="4" s="1"/>
  <c r="BG116" i="4" l="1"/>
  <c r="E135" i="4" s="1"/>
  <c r="BD116" i="4"/>
  <c r="D135" i="4" s="1"/>
  <c r="BA117" i="4"/>
  <c r="AV117" i="4"/>
  <c r="AX117" i="4" s="1"/>
  <c r="AY117" i="4" l="1"/>
  <c r="AZ117" i="4" s="1"/>
  <c r="BF117" i="4"/>
  <c r="BB117" i="4"/>
  <c r="BC117" i="4" s="1"/>
  <c r="BG117" i="4" l="1"/>
  <c r="E136" i="4" s="1"/>
  <c r="BD117" i="4"/>
  <c r="D136" i="4" s="1"/>
  <c r="BA118" i="4"/>
  <c r="AV118" i="4"/>
  <c r="AX118" i="4" s="1"/>
  <c r="AY118" i="4" l="1"/>
  <c r="AZ118" i="4" s="1"/>
  <c r="BB118" i="4"/>
  <c r="BC118" i="4" s="1"/>
  <c r="BD118" i="4" s="1"/>
  <c r="D137" i="4" s="1"/>
  <c r="BF118" i="4"/>
  <c r="BG118" i="4" l="1"/>
  <c r="E137" i="4" s="1"/>
  <c r="BA119" i="4"/>
  <c r="AV119" i="4"/>
  <c r="AX119" i="4" s="1"/>
  <c r="AY119" i="4" l="1"/>
  <c r="AZ119" i="4" s="1"/>
  <c r="BB119" i="4"/>
  <c r="BC119" i="4" s="1"/>
  <c r="BD119" i="4" s="1"/>
  <c r="D138" i="4" s="1"/>
  <c r="BF119" i="4"/>
  <c r="BG119" i="4" l="1"/>
  <c r="E138" i="4" s="1"/>
  <c r="AV120" i="4"/>
  <c r="AX120" i="4" s="1"/>
  <c r="BA120" i="4"/>
  <c r="BB120" i="4" l="1"/>
  <c r="BC120" i="4" s="1"/>
  <c r="BD120" i="4" s="1"/>
  <c r="D139" i="4" s="1"/>
  <c r="BF120" i="4"/>
  <c r="AY120" i="4"/>
  <c r="AZ120" i="4" s="1"/>
  <c r="BA121" i="4" l="1"/>
  <c r="AV121" i="4"/>
  <c r="AX121" i="4" s="1"/>
  <c r="BG120" i="4"/>
  <c r="E139" i="4" s="1"/>
  <c r="AY121" i="4" l="1"/>
  <c r="AZ121" i="4" s="1"/>
  <c r="BB121" i="4"/>
  <c r="BC121" i="4" s="1"/>
  <c r="BF121" i="4"/>
  <c r="BG121" i="4" l="1"/>
  <c r="E140" i="4" s="1"/>
  <c r="BD121" i="4"/>
  <c r="D140" i="4" s="1"/>
  <c r="BA122" i="4"/>
  <c r="AV122" i="4"/>
  <c r="AX122" i="4" s="1"/>
  <c r="AY122" i="4" l="1"/>
  <c r="AZ122" i="4" s="1"/>
  <c r="BB122" i="4"/>
  <c r="BC122" i="4" s="1"/>
  <c r="BD122" i="4" s="1"/>
  <c r="D141" i="4" s="1"/>
  <c r="BF122" i="4"/>
  <c r="BG122" i="4" l="1"/>
  <c r="E141" i="4" s="1"/>
  <c r="BA123" i="4"/>
  <c r="AV123" i="4"/>
  <c r="AX123" i="4" s="1"/>
  <c r="AY123" i="4" l="1"/>
  <c r="AZ123" i="4" s="1"/>
  <c r="BB123" i="4"/>
  <c r="BC123" i="4" s="1"/>
  <c r="BD123" i="4" s="1"/>
  <c r="D142" i="4" s="1"/>
  <c r="BF123" i="4"/>
  <c r="BG123" i="4" l="1"/>
  <c r="E142" i="4" s="1"/>
  <c r="AV124" i="4"/>
  <c r="AX124" i="4" s="1"/>
  <c r="BA124" i="4"/>
  <c r="BB124" i="4" l="1"/>
  <c r="BC124" i="4" s="1"/>
  <c r="BD124" i="4" s="1"/>
  <c r="D143" i="4" s="1"/>
  <c r="BF124" i="4"/>
  <c r="AY124" i="4"/>
  <c r="AZ124" i="4" s="1"/>
  <c r="BG124" i="4" l="1"/>
  <c r="E143" i="4" s="1"/>
  <c r="BA125" i="4"/>
  <c r="AV125" i="4"/>
  <c r="AX125" i="4" s="1"/>
  <c r="AY125" i="4" l="1"/>
  <c r="AZ125" i="4" s="1"/>
  <c r="BF125" i="4"/>
  <c r="BB125" i="4"/>
  <c r="BC125" i="4" s="1"/>
  <c r="BG125" i="4" l="1"/>
  <c r="E144" i="4" s="1"/>
  <c r="BD125" i="4"/>
  <c r="D144" i="4" s="1"/>
  <c r="BA126" i="4"/>
  <c r="AV126" i="4"/>
  <c r="AW126" i="4" l="1"/>
  <c r="BF126" i="4"/>
  <c r="BB126" i="4"/>
  <c r="BC126" i="4" s="1"/>
  <c r="BD126" i="4" s="1"/>
  <c r="AX126" i="4" l="1"/>
  <c r="D145" i="4"/>
  <c r="D30" i="4"/>
  <c r="N30" i="4" s="1"/>
  <c r="BG126" i="4"/>
  <c r="AY126" i="4" l="1"/>
  <c r="AH127" i="4" s="1"/>
  <c r="E30" i="4"/>
  <c r="O30" i="4" s="1"/>
  <c r="E145" i="4"/>
  <c r="AZ126" i="4" l="1"/>
  <c r="AV127" i="4" s="1"/>
  <c r="AX127" i="4" s="1"/>
  <c r="AY127" i="4" s="1"/>
  <c r="AL127" i="4"/>
  <c r="AN127" i="4" s="1"/>
  <c r="AH128" i="4"/>
  <c r="AI139" i="4"/>
  <c r="BA127" i="4" l="1"/>
  <c r="BB127" i="4" s="1"/>
  <c r="BC127" i="4" s="1"/>
  <c r="AO127" i="4"/>
  <c r="BE127" i="4" s="1"/>
  <c r="AZ127" i="4"/>
  <c r="AV128" i="4" s="1"/>
  <c r="AX128" i="4" s="1"/>
  <c r="AY128" i="4" s="1"/>
  <c r="AZ128" i="4" s="1"/>
  <c r="AI140" i="4"/>
  <c r="AL128" i="4"/>
  <c r="AN128" i="4" s="1"/>
  <c r="AH129" i="4"/>
  <c r="AS139" i="4"/>
  <c r="AP139" i="4"/>
  <c r="AR139" i="4" s="1"/>
  <c r="AJ151" i="4"/>
  <c r="BF127" i="4" l="1"/>
  <c r="BA128" i="4"/>
  <c r="BB128" i="4" s="1"/>
  <c r="BC128" i="4" s="1"/>
  <c r="BD128" i="4" s="1"/>
  <c r="D147" i="4" s="1"/>
  <c r="BD127" i="4"/>
  <c r="D146" i="4" s="1"/>
  <c r="BG127" i="4"/>
  <c r="E146" i="4" s="1"/>
  <c r="AO128" i="4"/>
  <c r="BE128" i="4" s="1"/>
  <c r="BF128" i="4" s="1"/>
  <c r="AI141" i="4"/>
  <c r="AL129" i="4"/>
  <c r="AN129" i="4" s="1"/>
  <c r="BA129" i="4" s="1"/>
  <c r="AH130" i="4"/>
  <c r="AJ152" i="4"/>
  <c r="AP140" i="4"/>
  <c r="AR140" i="4" s="1"/>
  <c r="AS140" i="4"/>
  <c r="AV129" i="4"/>
  <c r="AX129" i="4" s="1"/>
  <c r="BG128" i="4" l="1"/>
  <c r="E147" i="4" s="1"/>
  <c r="AO129" i="4"/>
  <c r="BE129" i="4" s="1"/>
  <c r="BF129" i="4" s="1"/>
  <c r="AI142" i="4"/>
  <c r="AL130" i="4"/>
  <c r="AN130" i="4" s="1"/>
  <c r="AO130" i="4" s="1"/>
  <c r="BE130" i="4" s="1"/>
  <c r="AH131" i="4"/>
  <c r="AS141" i="4"/>
  <c r="AJ153" i="4"/>
  <c r="AP141" i="4"/>
  <c r="AR141" i="4" s="1"/>
  <c r="AY129" i="4"/>
  <c r="AZ129" i="4" s="1"/>
  <c r="BB129" i="4"/>
  <c r="BC129" i="4" s="1"/>
  <c r="BG129" i="4" l="1"/>
  <c r="E148" i="4" s="1"/>
  <c r="AI143" i="4"/>
  <c r="AL131" i="4"/>
  <c r="AN131" i="4" s="1"/>
  <c r="AO131" i="4" s="1"/>
  <c r="BE131" i="4" s="1"/>
  <c r="AH132" i="4"/>
  <c r="AJ154" i="4"/>
  <c r="AP142" i="4"/>
  <c r="AR142" i="4" s="1"/>
  <c r="AS142" i="4"/>
  <c r="BD129" i="4"/>
  <c r="D148" i="4" s="1"/>
  <c r="AV130" i="4"/>
  <c r="AX130" i="4" s="1"/>
  <c r="BA130" i="4"/>
  <c r="AI144" i="4" l="1"/>
  <c r="AL132" i="4"/>
  <c r="AN132" i="4" s="1"/>
  <c r="AO132" i="4" s="1"/>
  <c r="BE132" i="4" s="1"/>
  <c r="AH133" i="4"/>
  <c r="AS143" i="4"/>
  <c r="AP143" i="4"/>
  <c r="AR143" i="4" s="1"/>
  <c r="AJ155" i="4"/>
  <c r="BB130" i="4"/>
  <c r="BC130" i="4" s="1"/>
  <c r="BF130" i="4"/>
  <c r="AY130" i="4"/>
  <c r="AZ130" i="4" s="1"/>
  <c r="AH134" i="4" l="1"/>
  <c r="AL133" i="4"/>
  <c r="AN133" i="4" s="1"/>
  <c r="AO133" i="4" s="1"/>
  <c r="BE133" i="4" s="1"/>
  <c r="AI145" i="4"/>
  <c r="AJ156" i="4"/>
  <c r="AP144" i="4"/>
  <c r="AR144" i="4" s="1"/>
  <c r="AS144" i="4"/>
  <c r="BG130" i="4"/>
  <c r="E149" i="4" s="1"/>
  <c r="BA131" i="4"/>
  <c r="AV131" i="4"/>
  <c r="AX131" i="4" s="1"/>
  <c r="BD130" i="4"/>
  <c r="D149" i="4" s="1"/>
  <c r="AS145" i="4" l="1"/>
  <c r="AJ157" i="4"/>
  <c r="AP145" i="4"/>
  <c r="AR145" i="4" s="1"/>
  <c r="AI146" i="4"/>
  <c r="AL134" i="4"/>
  <c r="AN134" i="4" s="1"/>
  <c r="AO134" i="4" s="1"/>
  <c r="BE134" i="4" s="1"/>
  <c r="AH135" i="4"/>
  <c r="AY131" i="4"/>
  <c r="AZ131" i="4" s="1"/>
  <c r="BB131" i="4"/>
  <c r="BC131" i="4" s="1"/>
  <c r="BF131" i="4"/>
  <c r="AI147" i="4" l="1"/>
  <c r="AH136" i="4"/>
  <c r="AL135" i="4"/>
  <c r="AN135" i="4" s="1"/>
  <c r="AO135" i="4" s="1"/>
  <c r="BE135" i="4" s="1"/>
  <c r="AJ158" i="4"/>
  <c r="AP146" i="4"/>
  <c r="AR146" i="4" s="1"/>
  <c r="AS146" i="4"/>
  <c r="BG131" i="4"/>
  <c r="E150" i="4" s="1"/>
  <c r="BD131" i="4"/>
  <c r="D150" i="4" s="1"/>
  <c r="BA132" i="4"/>
  <c r="AV132" i="4"/>
  <c r="AX132" i="4" s="1"/>
  <c r="AI148" i="4" l="1"/>
  <c r="AL136" i="4"/>
  <c r="AN136" i="4" s="1"/>
  <c r="AO136" i="4" s="1"/>
  <c r="BE136" i="4" s="1"/>
  <c r="AH137" i="4"/>
  <c r="AJ159" i="4"/>
  <c r="AS147" i="4"/>
  <c r="AP147" i="4"/>
  <c r="AR147" i="4" s="1"/>
  <c r="AY132" i="4"/>
  <c r="AZ132" i="4" s="1"/>
  <c r="BB132" i="4"/>
  <c r="BC132" i="4" s="1"/>
  <c r="BF132" i="4"/>
  <c r="AI149" i="4" l="1"/>
  <c r="AL137" i="4"/>
  <c r="AN137" i="4" s="1"/>
  <c r="AO137" i="4" s="1"/>
  <c r="BE137" i="4" s="1"/>
  <c r="AH138" i="4"/>
  <c r="AP148" i="4"/>
  <c r="AR148" i="4" s="1"/>
  <c r="AJ160" i="4"/>
  <c r="AS148" i="4"/>
  <c r="BG132" i="4"/>
  <c r="E151" i="4" s="1"/>
  <c r="BD132" i="4"/>
  <c r="D151" i="4" s="1"/>
  <c r="BA133" i="4"/>
  <c r="AV133" i="4"/>
  <c r="AX133" i="4" s="1"/>
  <c r="AI150" i="4" l="1"/>
  <c r="AL138" i="4"/>
  <c r="AN138" i="4" s="1"/>
  <c r="AU138" i="4" s="1"/>
  <c r="AH139" i="4"/>
  <c r="AJ161" i="4"/>
  <c r="AS149" i="4"/>
  <c r="AP149" i="4"/>
  <c r="AR149" i="4" s="1"/>
  <c r="AY133" i="4"/>
  <c r="AZ133" i="4" s="1"/>
  <c r="BB133" i="4"/>
  <c r="BC133" i="4" s="1"/>
  <c r="BD133" i="4" s="1"/>
  <c r="D152" i="4" s="1"/>
  <c r="BF133" i="4"/>
  <c r="AH140" i="4" l="1"/>
  <c r="AI151" i="4"/>
  <c r="AL139" i="4"/>
  <c r="AN139" i="4" s="1"/>
  <c r="AO139" i="4" s="1"/>
  <c r="BE139" i="4" s="1"/>
  <c r="AO138" i="4"/>
  <c r="BE138" i="4" s="1"/>
  <c r="AP150" i="4"/>
  <c r="AR150" i="4" s="1"/>
  <c r="AJ162" i="4"/>
  <c r="AS150" i="4"/>
  <c r="BG133" i="4"/>
  <c r="E152" i="4" s="1"/>
  <c r="BA134" i="4"/>
  <c r="AV134" i="4"/>
  <c r="AX134" i="4" s="1"/>
  <c r="AP151" i="4" l="1"/>
  <c r="AR151" i="4" s="1"/>
  <c r="AS151" i="4"/>
  <c r="AH141" i="4"/>
  <c r="AI152" i="4"/>
  <c r="AL140" i="4"/>
  <c r="AN140" i="4" s="1"/>
  <c r="AO140" i="4" s="1"/>
  <c r="BE140" i="4" s="1"/>
  <c r="AY134" i="4"/>
  <c r="AZ134" i="4" s="1"/>
  <c r="BB134" i="4"/>
  <c r="BC134" i="4" s="1"/>
  <c r="BF134" i="4"/>
  <c r="AS152" i="4" l="1"/>
  <c r="AP152" i="4"/>
  <c r="AR152" i="4" s="1"/>
  <c r="AI153" i="4"/>
  <c r="AL141" i="4"/>
  <c r="AN141" i="4" s="1"/>
  <c r="AO141" i="4" s="1"/>
  <c r="BE141" i="4" s="1"/>
  <c r="AH142" i="4"/>
  <c r="BG134" i="4"/>
  <c r="E153" i="4" s="1"/>
  <c r="BA135" i="4"/>
  <c r="AV135" i="4"/>
  <c r="AX135" i="4" s="1"/>
  <c r="BD134" i="4"/>
  <c r="D153" i="4" s="1"/>
  <c r="AP153" i="4" l="1"/>
  <c r="AR153" i="4" s="1"/>
  <c r="AS153" i="4"/>
  <c r="AI154" i="4"/>
  <c r="AL142" i="4"/>
  <c r="AN142" i="4" s="1"/>
  <c r="AO142" i="4" s="1"/>
  <c r="BE142" i="4" s="1"/>
  <c r="AH143" i="4"/>
  <c r="AY135" i="4"/>
  <c r="AZ135" i="4" s="1"/>
  <c r="BF135" i="4"/>
  <c r="BB135" i="4"/>
  <c r="BC135" i="4" s="1"/>
  <c r="BD135" i="4" s="1"/>
  <c r="D154" i="4" s="1"/>
  <c r="AL143" i="4" l="1"/>
  <c r="AN143" i="4" s="1"/>
  <c r="AO143" i="4" s="1"/>
  <c r="BE143" i="4" s="1"/>
  <c r="AH144" i="4"/>
  <c r="AI155" i="4"/>
  <c r="AS154" i="4"/>
  <c r="AP154" i="4"/>
  <c r="AR154" i="4" s="1"/>
  <c r="BG135" i="4"/>
  <c r="E154" i="4" s="1"/>
  <c r="BA136" i="4"/>
  <c r="AV136" i="4"/>
  <c r="AX136" i="4" s="1"/>
  <c r="AH145" i="4" l="1"/>
  <c r="AI156" i="4"/>
  <c r="AL144" i="4"/>
  <c r="AN144" i="4" s="1"/>
  <c r="AO144" i="4" s="1"/>
  <c r="BE144" i="4" s="1"/>
  <c r="AP155" i="4"/>
  <c r="AR155" i="4" s="1"/>
  <c r="AS155" i="4"/>
  <c r="AY136" i="4"/>
  <c r="AZ136" i="4" s="1"/>
  <c r="BB136" i="4"/>
  <c r="BC136" i="4" s="1"/>
  <c r="BD136" i="4" s="1"/>
  <c r="D155" i="4" s="1"/>
  <c r="BF136" i="4"/>
  <c r="AP156" i="4" l="1"/>
  <c r="AR156" i="4" s="1"/>
  <c r="AS156" i="4"/>
  <c r="AI157" i="4"/>
  <c r="AL145" i="4"/>
  <c r="AN145" i="4" s="1"/>
  <c r="AO145" i="4" s="1"/>
  <c r="BE145" i="4" s="1"/>
  <c r="AH146" i="4"/>
  <c r="BG136" i="4"/>
  <c r="E155" i="4" s="1"/>
  <c r="BA137" i="4"/>
  <c r="AV137" i="4"/>
  <c r="AX137" i="4" s="1"/>
  <c r="AI158" i="4" l="1"/>
  <c r="AL146" i="4"/>
  <c r="AN146" i="4" s="1"/>
  <c r="AO146" i="4" s="1"/>
  <c r="BE146" i="4" s="1"/>
  <c r="AH147" i="4"/>
  <c r="AS157" i="4"/>
  <c r="AP157" i="4"/>
  <c r="AR157" i="4" s="1"/>
  <c r="AY137" i="4"/>
  <c r="AZ137" i="4" s="1"/>
  <c r="BF137" i="4"/>
  <c r="BB137" i="4"/>
  <c r="BC137" i="4" s="1"/>
  <c r="BD137" i="4" s="1"/>
  <c r="D156" i="4" s="1"/>
  <c r="AI159" i="4" l="1"/>
  <c r="AH148" i="4"/>
  <c r="AL147" i="4"/>
  <c r="AN147" i="4" s="1"/>
  <c r="AO147" i="4" s="1"/>
  <c r="BE147" i="4" s="1"/>
  <c r="AP158" i="4"/>
  <c r="AR158" i="4" s="1"/>
  <c r="AS158" i="4"/>
  <c r="AV138" i="4"/>
  <c r="AX138" i="4" s="1"/>
  <c r="BA138" i="4"/>
  <c r="BG137" i="4"/>
  <c r="E156" i="4" s="1"/>
  <c r="AL148" i="4" l="1"/>
  <c r="AN148" i="4" s="1"/>
  <c r="AO148" i="4" s="1"/>
  <c r="BE148" i="4" s="1"/>
  <c r="AH149" i="4"/>
  <c r="AI160" i="4"/>
  <c r="AP159" i="4"/>
  <c r="AR159" i="4" s="1"/>
  <c r="AS159" i="4"/>
  <c r="BB138" i="4"/>
  <c r="BC138" i="4" s="1"/>
  <c r="BF138" i="4"/>
  <c r="AY138" i="4"/>
  <c r="AZ138" i="4" s="1"/>
  <c r="BG138" i="4" l="1"/>
  <c r="E157" i="4" s="1"/>
  <c r="AI161" i="4"/>
  <c r="AL149" i="4"/>
  <c r="AN149" i="4" s="1"/>
  <c r="AO149" i="4" s="1"/>
  <c r="BE149" i="4" s="1"/>
  <c r="AH150" i="4"/>
  <c r="AP160" i="4"/>
  <c r="AR160" i="4" s="1"/>
  <c r="AS160" i="4"/>
  <c r="E17" i="4"/>
  <c r="O34" i="4" s="1"/>
  <c r="E31" i="4"/>
  <c r="O31" i="4" s="1"/>
  <c r="BD138" i="4"/>
  <c r="BA139" i="4"/>
  <c r="AV139" i="4"/>
  <c r="AX139" i="4" s="1"/>
  <c r="AL150" i="4" l="1"/>
  <c r="AN150" i="4" s="1"/>
  <c r="AI162" i="4"/>
  <c r="AH151" i="4"/>
  <c r="AP161" i="4"/>
  <c r="AR161" i="4" s="1"/>
  <c r="AS161" i="4"/>
  <c r="BF139" i="4"/>
  <c r="BB139" i="4"/>
  <c r="BC139" i="4" s="1"/>
  <c r="AY139" i="4"/>
  <c r="AZ139" i="4" s="1"/>
  <c r="D17" i="4"/>
  <c r="N34" i="4" s="1"/>
  <c r="D31" i="4"/>
  <c r="N31" i="4" s="1"/>
  <c r="D157" i="4"/>
  <c r="BG139" i="4" l="1"/>
  <c r="E158" i="4" s="1"/>
  <c r="AS162" i="4"/>
  <c r="AP162" i="4"/>
  <c r="AR162" i="4" s="1"/>
  <c r="AH152" i="4"/>
  <c r="AL151" i="4"/>
  <c r="AN151" i="4" s="1"/>
  <c r="AO151" i="4" s="1"/>
  <c r="BE151" i="4" s="1"/>
  <c r="AO150" i="4"/>
  <c r="BE150" i="4" s="1"/>
  <c r="AU150" i="4"/>
  <c r="BA140" i="4"/>
  <c r="AV140" i="4"/>
  <c r="AX140" i="4" s="1"/>
  <c r="BD139" i="4"/>
  <c r="D158" i="4" s="1"/>
  <c r="AL152" i="4" l="1"/>
  <c r="AN152" i="4" s="1"/>
  <c r="AO152" i="4" s="1"/>
  <c r="BE152" i="4" s="1"/>
  <c r="AH153" i="4"/>
  <c r="AY140" i="4"/>
  <c r="AZ140" i="4" s="1"/>
  <c r="BF140" i="4"/>
  <c r="BB140" i="4"/>
  <c r="BC140" i="4" s="1"/>
  <c r="BD140" i="4" s="1"/>
  <c r="D159" i="4" s="1"/>
  <c r="AH154" i="4" l="1"/>
  <c r="AL153" i="4"/>
  <c r="AN153" i="4" s="1"/>
  <c r="AO153" i="4" s="1"/>
  <c r="BE153" i="4" s="1"/>
  <c r="BG140" i="4"/>
  <c r="E159" i="4" s="1"/>
  <c r="BA141" i="4"/>
  <c r="AV141" i="4"/>
  <c r="AX141" i="4" s="1"/>
  <c r="AL154" i="4" l="1"/>
  <c r="AN154" i="4" s="1"/>
  <c r="AO154" i="4" s="1"/>
  <c r="BE154" i="4" s="1"/>
  <c r="AH155" i="4"/>
  <c r="AY141" i="4"/>
  <c r="AZ141" i="4" s="1"/>
  <c r="BB141" i="4"/>
  <c r="BC141" i="4" s="1"/>
  <c r="BF141" i="4"/>
  <c r="AL155" i="4" l="1"/>
  <c r="AN155" i="4" s="1"/>
  <c r="AO155" i="4" s="1"/>
  <c r="BE155" i="4" s="1"/>
  <c r="AH156" i="4"/>
  <c r="BG141" i="4"/>
  <c r="E160" i="4" s="1"/>
  <c r="BA142" i="4"/>
  <c r="AV142" i="4"/>
  <c r="AX142" i="4" s="1"/>
  <c r="BD141" i="4"/>
  <c r="D160" i="4" s="1"/>
  <c r="AH157" i="4" l="1"/>
  <c r="AL156" i="4"/>
  <c r="AN156" i="4" s="1"/>
  <c r="AO156" i="4" s="1"/>
  <c r="BE156" i="4" s="1"/>
  <c r="AY142" i="4"/>
  <c r="AZ142" i="4" s="1"/>
  <c r="BF142" i="4"/>
  <c r="BB142" i="4"/>
  <c r="BC142" i="4" s="1"/>
  <c r="BD142" i="4" s="1"/>
  <c r="D161" i="4" s="1"/>
  <c r="AL157" i="4" l="1"/>
  <c r="AN157" i="4" s="1"/>
  <c r="AO157" i="4" s="1"/>
  <c r="BE157" i="4" s="1"/>
  <c r="AH158" i="4"/>
  <c r="AV143" i="4"/>
  <c r="AX143" i="4" s="1"/>
  <c r="BA143" i="4"/>
  <c r="BG142" i="4"/>
  <c r="E161" i="4" s="1"/>
  <c r="AH159" i="4" l="1"/>
  <c r="AL158" i="4"/>
  <c r="AN158" i="4" s="1"/>
  <c r="AO158" i="4" s="1"/>
  <c r="BE158" i="4" s="1"/>
  <c r="BB143" i="4"/>
  <c r="BC143" i="4" s="1"/>
  <c r="BD143" i="4" s="1"/>
  <c r="D162" i="4" s="1"/>
  <c r="BF143" i="4"/>
  <c r="AY143" i="4"/>
  <c r="AZ143" i="4" s="1"/>
  <c r="BG143" i="4" l="1"/>
  <c r="E162" i="4" s="1"/>
  <c r="AL159" i="4"/>
  <c r="AN159" i="4" s="1"/>
  <c r="AO159" i="4" s="1"/>
  <c r="BE159" i="4" s="1"/>
  <c r="AH160" i="4"/>
  <c r="BA144" i="4"/>
  <c r="AV144" i="4"/>
  <c r="AX144" i="4" s="1"/>
  <c r="AL160" i="4" l="1"/>
  <c r="AN160" i="4" s="1"/>
  <c r="AO160" i="4" s="1"/>
  <c r="BE160" i="4" s="1"/>
  <c r="AH161" i="4"/>
  <c r="AY144" i="4"/>
  <c r="AZ144" i="4" s="1"/>
  <c r="BF144" i="4"/>
  <c r="BB144" i="4"/>
  <c r="BC144" i="4" s="1"/>
  <c r="BG144" i="4" l="1"/>
  <c r="E163" i="4" s="1"/>
  <c r="AL161" i="4"/>
  <c r="AN161" i="4" s="1"/>
  <c r="AO161" i="4" s="1"/>
  <c r="BE161" i="4" s="1"/>
  <c r="AH162" i="4"/>
  <c r="BD144" i="4"/>
  <c r="D163" i="4" s="1"/>
  <c r="BA145" i="4"/>
  <c r="AV145" i="4"/>
  <c r="AX145" i="4" s="1"/>
  <c r="AL162" i="4" l="1"/>
  <c r="AN162" i="4" s="1"/>
  <c r="AO162" i="4" s="1"/>
  <c r="BE162" i="4" s="1"/>
  <c r="AY145" i="4"/>
  <c r="AZ145" i="4" s="1"/>
  <c r="BB145" i="4"/>
  <c r="BC145" i="4" s="1"/>
  <c r="BD145" i="4" s="1"/>
  <c r="D164" i="4" s="1"/>
  <c r="BF145" i="4"/>
  <c r="BG145" i="4" l="1"/>
  <c r="E164" i="4" s="1"/>
  <c r="AV146" i="4"/>
  <c r="AX146" i="4" s="1"/>
  <c r="BA146" i="4"/>
  <c r="BB146" i="4" l="1"/>
  <c r="BC146" i="4" s="1"/>
  <c r="BD146" i="4" s="1"/>
  <c r="D165" i="4" s="1"/>
  <c r="BF146" i="4"/>
  <c r="AY146" i="4"/>
  <c r="AZ146" i="4" s="1"/>
  <c r="BG146" i="4" l="1"/>
  <c r="E165" i="4" s="1"/>
  <c r="BA147" i="4"/>
  <c r="AV147" i="4"/>
  <c r="AX147" i="4" s="1"/>
  <c r="AY147" i="4" l="1"/>
  <c r="AZ147" i="4" s="1"/>
  <c r="BF147" i="4"/>
  <c r="BB147" i="4"/>
  <c r="BC147" i="4" s="1"/>
  <c r="BG147" i="4" l="1"/>
  <c r="E166" i="4" s="1"/>
  <c r="BD147" i="4"/>
  <c r="D166" i="4" s="1"/>
  <c r="BA148" i="4"/>
  <c r="AV148" i="4"/>
  <c r="AX148" i="4" s="1"/>
  <c r="AY148" i="4" l="1"/>
  <c r="AZ148" i="4" s="1"/>
  <c r="BF148" i="4"/>
  <c r="BB148" i="4"/>
  <c r="BC148" i="4" s="1"/>
  <c r="BG148" i="4" l="1"/>
  <c r="E167" i="4" s="1"/>
  <c r="BD148" i="4"/>
  <c r="D167" i="4" s="1"/>
  <c r="BA149" i="4"/>
  <c r="AV149" i="4"/>
  <c r="AX149" i="4" s="1"/>
  <c r="AY149" i="4" l="1"/>
  <c r="AZ149" i="4" s="1"/>
  <c r="BB149" i="4"/>
  <c r="BC149" i="4" s="1"/>
  <c r="BD149" i="4" s="1"/>
  <c r="D168" i="4" s="1"/>
  <c r="BF149" i="4"/>
  <c r="BG149" i="4" l="1"/>
  <c r="E168" i="4" s="1"/>
  <c r="AV150" i="4"/>
  <c r="AX150" i="4" s="1"/>
  <c r="BA150" i="4"/>
  <c r="BF150" i="4" l="1"/>
  <c r="BB150" i="4"/>
  <c r="BC150" i="4" s="1"/>
  <c r="BD150" i="4" s="1"/>
  <c r="AY150" i="4"/>
  <c r="AZ150" i="4" s="1"/>
  <c r="D169" i="4" l="1"/>
  <c r="D32" i="4"/>
  <c r="N32" i="4" s="1"/>
  <c r="AV151" i="4"/>
  <c r="AX151" i="4" s="1"/>
  <c r="BA151" i="4"/>
  <c r="BG150" i="4"/>
  <c r="E169" i="4" l="1"/>
  <c r="E32" i="4"/>
  <c r="O32" i="4" s="1"/>
  <c r="BB151" i="4"/>
  <c r="BC151" i="4" s="1"/>
  <c r="BF151" i="4"/>
  <c r="AY151" i="4"/>
  <c r="AZ151" i="4" s="1"/>
  <c r="BG151" i="4" l="1"/>
  <c r="E170" i="4" s="1"/>
  <c r="BA152" i="4"/>
  <c r="AV152" i="4"/>
  <c r="AX152" i="4" s="1"/>
  <c r="BD151" i="4"/>
  <c r="D170" i="4" s="1"/>
  <c r="AY152" i="4" l="1"/>
  <c r="AZ152" i="4" s="1"/>
  <c r="BB152" i="4"/>
  <c r="BC152" i="4" s="1"/>
  <c r="BD152" i="4" s="1"/>
  <c r="D171" i="4" s="1"/>
  <c r="BF152" i="4"/>
  <c r="BG152" i="4" l="1"/>
  <c r="E171" i="4" s="1"/>
  <c r="BA153" i="4"/>
  <c r="AV153" i="4"/>
  <c r="AX153" i="4" s="1"/>
  <c r="AY153" i="4" l="1"/>
  <c r="AZ153" i="4" s="1"/>
  <c r="BB153" i="4"/>
  <c r="BC153" i="4" s="1"/>
  <c r="BF153" i="4"/>
  <c r="BG153" i="4" l="1"/>
  <c r="E172" i="4" s="1"/>
  <c r="BD153" i="4"/>
  <c r="D172" i="4" s="1"/>
  <c r="BA154" i="4"/>
  <c r="AV154" i="4"/>
  <c r="AX154" i="4" s="1"/>
  <c r="AY154" i="4" l="1"/>
  <c r="AZ154" i="4" s="1"/>
  <c r="BF154" i="4"/>
  <c r="BB154" i="4"/>
  <c r="BC154" i="4" s="1"/>
  <c r="BD154" i="4" s="1"/>
  <c r="D173" i="4" s="1"/>
  <c r="BG154" i="4" l="1"/>
  <c r="E173" i="4" s="1"/>
  <c r="BA155" i="4"/>
  <c r="AV155" i="4"/>
  <c r="AX155" i="4" s="1"/>
  <c r="AY155" i="4" l="1"/>
  <c r="AZ155" i="4" s="1"/>
  <c r="BB155" i="4"/>
  <c r="BC155" i="4" s="1"/>
  <c r="BD155" i="4" s="1"/>
  <c r="D174" i="4" s="1"/>
  <c r="BF155" i="4"/>
  <c r="BG155" i="4" l="1"/>
  <c r="E174" i="4" s="1"/>
  <c r="BA156" i="4"/>
  <c r="AV156" i="4"/>
  <c r="AX156" i="4" s="1"/>
  <c r="AY156" i="4" l="1"/>
  <c r="AZ156" i="4" s="1"/>
  <c r="BB156" i="4"/>
  <c r="BC156" i="4" s="1"/>
  <c r="BD156" i="4" s="1"/>
  <c r="D175" i="4" s="1"/>
  <c r="BF156" i="4"/>
  <c r="BG156" i="4" l="1"/>
  <c r="E175" i="4" s="1"/>
  <c r="BA157" i="4"/>
  <c r="AV157" i="4"/>
  <c r="AX157" i="4" s="1"/>
  <c r="AY157" i="4" l="1"/>
  <c r="AZ157" i="4" s="1"/>
  <c r="BF157" i="4"/>
  <c r="BB157" i="4"/>
  <c r="BC157" i="4" s="1"/>
  <c r="BG157" i="4" l="1"/>
  <c r="E176" i="4" s="1"/>
  <c r="BD157" i="4"/>
  <c r="D176" i="4" s="1"/>
  <c r="BA158" i="4"/>
  <c r="AV158" i="4"/>
  <c r="AX158" i="4" s="1"/>
  <c r="AY158" i="4" l="1"/>
  <c r="AZ158" i="4" s="1"/>
  <c r="BB158" i="4"/>
  <c r="BC158" i="4" s="1"/>
  <c r="BF158" i="4"/>
  <c r="BG158" i="4" l="1"/>
  <c r="E177" i="4" s="1"/>
  <c r="BD158" i="4"/>
  <c r="D177" i="4" s="1"/>
  <c r="BA159" i="4"/>
  <c r="AV159" i="4"/>
  <c r="AX159" i="4" s="1"/>
  <c r="AY159" i="4" l="1"/>
  <c r="AZ159" i="4" s="1"/>
  <c r="BF159" i="4"/>
  <c r="BB159" i="4"/>
  <c r="BC159" i="4" s="1"/>
  <c r="BD159" i="4" s="1"/>
  <c r="D178" i="4" s="1"/>
  <c r="BG159" i="4" l="1"/>
  <c r="E178" i="4" s="1"/>
  <c r="BA160" i="4"/>
  <c r="AV160" i="4"/>
  <c r="AX160" i="4" s="1"/>
  <c r="AY160" i="4" l="1"/>
  <c r="AZ160" i="4" s="1"/>
  <c r="BB160" i="4"/>
  <c r="BC160" i="4" s="1"/>
  <c r="BD160" i="4" s="1"/>
  <c r="D179" i="4" s="1"/>
  <c r="BF160" i="4"/>
  <c r="BG160" i="4" l="1"/>
  <c r="E179" i="4" s="1"/>
  <c r="BA161" i="4"/>
  <c r="AV161" i="4"/>
  <c r="AX161" i="4" s="1"/>
  <c r="AY161" i="4" l="1"/>
  <c r="AZ161" i="4" s="1"/>
  <c r="BA162" i="4" s="1"/>
  <c r="BB161" i="4"/>
  <c r="BC161" i="4" s="1"/>
  <c r="BF161" i="4"/>
  <c r="BG161" i="4" l="1"/>
  <c r="E180" i="4" s="1"/>
  <c r="BD161" i="4"/>
  <c r="D180" i="4" s="1"/>
  <c r="BB162" i="4"/>
  <c r="BC162" i="4" s="1"/>
  <c r="BD162" i="4" s="1"/>
  <c r="BF162" i="4"/>
  <c r="D181" i="4" l="1"/>
  <c r="D33" i="4"/>
  <c r="N33" i="4" s="1"/>
  <c r="BG162" i="4"/>
  <c r="E33" i="4" l="1"/>
  <c r="O33" i="4" s="1"/>
  <c r="E181" i="4"/>
  <c r="AL53" i="5"/>
  <c r="AM53" i="5" s="1"/>
  <c r="AQ53" i="5" s="1"/>
  <c r="C54" i="5" s="1"/>
  <c r="O54" i="5" s="1"/>
  <c r="AL51" i="5"/>
  <c r="AM51" i="5" s="1"/>
  <c r="AQ51" i="5" s="1"/>
  <c r="C52" i="5" s="1"/>
  <c r="O52" i="5" s="1"/>
  <c r="AL52" i="5"/>
  <c r="AM52" i="5" s="1"/>
  <c r="AQ52" i="5" s="1"/>
  <c r="C53" i="5" s="1"/>
  <c r="O53" i="5" s="1"/>
  <c r="AL45" i="5"/>
  <c r="AM45" i="5" s="1"/>
  <c r="AQ45" i="5" s="1"/>
  <c r="C46" i="5" s="1"/>
  <c r="O46" i="5" s="1"/>
  <c r="AL47" i="5"/>
  <c r="AM47" i="5" s="1"/>
  <c r="AQ47" i="5" s="1"/>
  <c r="C48" i="5" s="1"/>
  <c r="O48" i="5" s="1"/>
  <c r="AL48" i="5"/>
  <c r="AM48" i="5" s="1"/>
  <c r="AQ48" i="5" s="1"/>
  <c r="C49" i="5" s="1"/>
  <c r="O49" i="5" s="1"/>
  <c r="AL50" i="5"/>
  <c r="AM50" i="5" s="1"/>
  <c r="AQ50" i="5" s="1"/>
  <c r="C51" i="5" s="1"/>
  <c r="O51" i="5" s="1"/>
  <c r="AL46" i="5"/>
  <c r="AM46" i="5" s="1"/>
  <c r="AQ46" i="5" s="1"/>
  <c r="C47" i="5" s="1"/>
  <c r="O47" i="5" s="1"/>
  <c r="AL54" i="5"/>
  <c r="AM54" i="5" s="1"/>
  <c r="AQ54" i="5" s="1"/>
  <c r="C55" i="5" s="1"/>
  <c r="O55" i="5" s="1"/>
  <c r="AL49" i="5"/>
  <c r="AM49" i="5" s="1"/>
  <c r="AQ49" i="5" s="1"/>
  <c r="C50" i="5" s="1"/>
  <c r="O50" i="5" s="1"/>
  <c r="AE56" i="5" l="1"/>
  <c r="AF56" i="5"/>
  <c r="AF57" i="5" s="1"/>
  <c r="AF58" i="5" s="1"/>
  <c r="AF59" i="5" s="1"/>
  <c r="AF60" i="5" s="1"/>
  <c r="AF61" i="5" s="1"/>
  <c r="AF62" i="5" s="1"/>
  <c r="AF63" i="5" s="1"/>
  <c r="AF64" i="5" s="1"/>
  <c r="AF65" i="5" s="1"/>
  <c r="AF66" i="5" s="1"/>
  <c r="AF67" i="5" s="1"/>
  <c r="AE57" i="5" l="1"/>
  <c r="AG56" i="5"/>
  <c r="AH56" i="5" l="1"/>
  <c r="AJ56" i="5" s="1"/>
  <c r="AG57" i="5"/>
  <c r="AE58" i="5"/>
  <c r="AL57" i="5"/>
  <c r="AE59" i="5" l="1"/>
  <c r="AL58" i="5"/>
  <c r="AH57" i="5"/>
  <c r="AJ57" i="5" s="1"/>
  <c r="AG58" i="5"/>
  <c r="AN56" i="5"/>
  <c r="AP56" i="5" s="1"/>
  <c r="AL56" i="5"/>
  <c r="AM56" i="5" s="1"/>
  <c r="AQ56" i="5" s="1"/>
  <c r="C57" i="5" s="1"/>
  <c r="O57" i="5" s="1"/>
  <c r="AG59" i="5" l="1"/>
  <c r="AH58" i="5"/>
  <c r="AJ58" i="5" s="1"/>
  <c r="AN57" i="5"/>
  <c r="AP57" i="5" s="1"/>
  <c r="AM57" i="5"/>
  <c r="AQ57" i="5" s="1"/>
  <c r="C58" i="5" s="1"/>
  <c r="O58" i="5" s="1"/>
  <c r="AE60" i="5"/>
  <c r="AL59" i="5"/>
  <c r="AN58" i="5" l="1"/>
  <c r="AP58" i="5" s="1"/>
  <c r="AM58" i="5"/>
  <c r="AQ58" i="5" s="1"/>
  <c r="C59" i="5" s="1"/>
  <c r="O59" i="5" s="1"/>
  <c r="AE61" i="5"/>
  <c r="AL60" i="5"/>
  <c r="AH59" i="5"/>
  <c r="AJ59" i="5" s="1"/>
  <c r="AG60" i="5"/>
  <c r="AN59" i="5" l="1"/>
  <c r="AP59" i="5" s="1"/>
  <c r="AM59" i="5"/>
  <c r="AQ59" i="5" s="1"/>
  <c r="C60" i="5" s="1"/>
  <c r="O60" i="5" s="1"/>
  <c r="AG61" i="5"/>
  <c r="AH60" i="5"/>
  <c r="AJ60" i="5" s="1"/>
  <c r="AE62" i="5"/>
  <c r="AL61" i="5"/>
  <c r="AN60" i="5" l="1"/>
  <c r="AP60" i="5" s="1"/>
  <c r="AM60" i="5"/>
  <c r="AQ60" i="5" s="1"/>
  <c r="C61" i="5" s="1"/>
  <c r="O61" i="5" s="1"/>
  <c r="AG62" i="5"/>
  <c r="AH61" i="5"/>
  <c r="AJ61" i="5" s="1"/>
  <c r="AE63" i="5"/>
  <c r="AL62" i="5"/>
  <c r="AE64" i="5" l="1"/>
  <c r="AL63" i="5"/>
  <c r="AN61" i="5"/>
  <c r="AP61" i="5" s="1"/>
  <c r="AM61" i="5"/>
  <c r="AQ61" i="5" s="1"/>
  <c r="C62" i="5" s="1"/>
  <c r="O62" i="5" s="1"/>
  <c r="AG63" i="5"/>
  <c r="AH62" i="5"/>
  <c r="AJ62" i="5" s="1"/>
  <c r="AG64" i="5" l="1"/>
  <c r="AH63" i="5"/>
  <c r="AJ63" i="5" s="1"/>
  <c r="AE65" i="5"/>
  <c r="AL64" i="5"/>
  <c r="AN62" i="5"/>
  <c r="AP62" i="5" s="1"/>
  <c r="AM62" i="5"/>
  <c r="AQ62" i="5" s="1"/>
  <c r="C63" i="5" s="1"/>
  <c r="O63" i="5" s="1"/>
  <c r="AE66" i="5" l="1"/>
  <c r="AL65" i="5"/>
  <c r="AN63" i="5"/>
  <c r="AP63" i="5" s="1"/>
  <c r="AM63" i="5"/>
  <c r="AQ63" i="5" s="1"/>
  <c r="C64" i="5" s="1"/>
  <c r="O64" i="5" s="1"/>
  <c r="AG65" i="5"/>
  <c r="AH64" i="5"/>
  <c r="AJ64" i="5" s="1"/>
  <c r="AN64" i="5" l="1"/>
  <c r="AP64" i="5" s="1"/>
  <c r="AM64" i="5"/>
  <c r="AQ64" i="5" s="1"/>
  <c r="C65" i="5" s="1"/>
  <c r="O65" i="5" s="1"/>
  <c r="AG66" i="5"/>
  <c r="AH65" i="5"/>
  <c r="AJ65" i="5" s="1"/>
  <c r="AE67" i="5"/>
  <c r="AL66" i="5"/>
  <c r="AN65" i="5" l="1"/>
  <c r="AP65" i="5" s="1"/>
  <c r="AM65" i="5"/>
  <c r="AQ65" i="5" s="1"/>
  <c r="C66" i="5" s="1"/>
  <c r="O66" i="5" s="1"/>
  <c r="AG67" i="5"/>
  <c r="AH67" i="5" s="1"/>
  <c r="AJ67" i="5" s="1"/>
  <c r="AH66" i="5"/>
  <c r="AJ66" i="5" s="1"/>
  <c r="AN67" i="5" l="1"/>
  <c r="AM67" i="5"/>
  <c r="AN66" i="5"/>
  <c r="AP66" i="5" s="1"/>
  <c r="AM66" i="5"/>
  <c r="AQ66" i="5" s="1"/>
  <c r="C67" i="5" s="1"/>
  <c r="O67" i="5" s="1"/>
  <c r="AP67" i="5" l="1"/>
  <c r="AQ67" i="5"/>
  <c r="C68" i="5" s="1"/>
  <c r="O68" i="5" s="1"/>
  <c r="C10" i="5" l="1"/>
  <c r="C26" i="5" s="1"/>
  <c r="AE68" i="5"/>
  <c r="AE69" i="5" s="1"/>
  <c r="AE70" i="5" s="1"/>
  <c r="AE71" i="5" s="1"/>
  <c r="AE72" i="5" s="1"/>
  <c r="AE73" i="5" s="1"/>
  <c r="AE74" i="5" s="1"/>
  <c r="AE75" i="5" s="1"/>
  <c r="AE76" i="5" s="1"/>
  <c r="AE77" i="5" s="1"/>
  <c r="AE78" i="5" s="1"/>
  <c r="AE79" i="5" s="1"/>
  <c r="AF68" i="5"/>
  <c r="AF69" i="5" s="1"/>
  <c r="AF70" i="5" s="1"/>
  <c r="AF71" i="5" s="1"/>
  <c r="AF72" i="5" s="1"/>
  <c r="AF73" i="5" s="1"/>
  <c r="AF74" i="5" s="1"/>
  <c r="AF75" i="5" s="1"/>
  <c r="AF76" i="5" s="1"/>
  <c r="AF77" i="5" s="1"/>
  <c r="AF78" i="5" s="1"/>
  <c r="AF79" i="5" s="1"/>
  <c r="AL70" i="5" l="1"/>
  <c r="AL69" i="5"/>
  <c r="AG68" i="5"/>
  <c r="AG69" i="5" s="1"/>
  <c r="AG70" i="5" s="1"/>
  <c r="AH70" i="5" s="1"/>
  <c r="AJ70" i="5" s="1"/>
  <c r="AN70" i="5" s="1"/>
  <c r="AL71" i="5"/>
  <c r="AG71" i="5" l="1"/>
  <c r="AH68" i="5"/>
  <c r="AJ68" i="5" s="1"/>
  <c r="AN68" i="5" s="1"/>
  <c r="AP68" i="5" s="1"/>
  <c r="AH69" i="5"/>
  <c r="AJ69" i="5" s="1"/>
  <c r="AN69" i="5" s="1"/>
  <c r="AL72" i="5"/>
  <c r="AM70" i="5"/>
  <c r="AG72" i="5"/>
  <c r="AH71" i="5"/>
  <c r="AJ71" i="5" s="1"/>
  <c r="AN71" i="5" s="1"/>
  <c r="AL68" i="5" l="1"/>
  <c r="AM68" i="5" s="1"/>
  <c r="AQ68" i="5" s="1"/>
  <c r="C69" i="5" s="1"/>
  <c r="O69" i="5" s="1"/>
  <c r="AP69" i="5"/>
  <c r="AP70" i="5" s="1"/>
  <c r="AP71" i="5" s="1"/>
  <c r="AM69" i="5"/>
  <c r="AQ69" i="5" s="1"/>
  <c r="C70" i="5" s="1"/>
  <c r="O70" i="5" s="1"/>
  <c r="AG73" i="5"/>
  <c r="AH72" i="5"/>
  <c r="AJ72" i="5" s="1"/>
  <c r="AN72" i="5" s="1"/>
  <c r="AM71" i="5"/>
  <c r="AL73" i="5"/>
  <c r="AQ71" i="5" l="1"/>
  <c r="C72" i="5" s="1"/>
  <c r="O72" i="5" s="1"/>
  <c r="AQ70" i="5"/>
  <c r="C71" i="5" s="1"/>
  <c r="O71" i="5" s="1"/>
  <c r="AP72" i="5"/>
  <c r="AL74" i="5"/>
  <c r="AM72" i="5"/>
  <c r="AQ72" i="5" s="1"/>
  <c r="C73" i="5" s="1"/>
  <c r="O73" i="5" s="1"/>
  <c r="AH73" i="5"/>
  <c r="AJ73" i="5" s="1"/>
  <c r="AN73" i="5" s="1"/>
  <c r="AG74" i="5"/>
  <c r="AP73" i="5" l="1"/>
  <c r="AH74" i="5"/>
  <c r="AJ74" i="5" s="1"/>
  <c r="AN74" i="5" s="1"/>
  <c r="AG75" i="5"/>
  <c r="AM73" i="5"/>
  <c r="AQ73" i="5" s="1"/>
  <c r="C74" i="5" s="1"/>
  <c r="O74" i="5" s="1"/>
  <c r="AL75" i="5"/>
  <c r="AP74" i="5" l="1"/>
  <c r="AL76" i="5"/>
  <c r="AG76" i="5"/>
  <c r="AH75" i="5"/>
  <c r="AJ75" i="5" s="1"/>
  <c r="AN75" i="5" s="1"/>
  <c r="AM74" i="5"/>
  <c r="AQ74" i="5" s="1"/>
  <c r="C75" i="5" s="1"/>
  <c r="O75" i="5" s="1"/>
  <c r="AP75" i="5" l="1"/>
  <c r="AG77" i="5"/>
  <c r="AH76" i="5"/>
  <c r="AJ76" i="5" s="1"/>
  <c r="AN76" i="5" s="1"/>
  <c r="AM75" i="5"/>
  <c r="AQ75" i="5" s="1"/>
  <c r="C76" i="5" s="1"/>
  <c r="O76" i="5" s="1"/>
  <c r="AL77" i="5"/>
  <c r="AP76" i="5" l="1"/>
  <c r="AL78" i="5"/>
  <c r="AM76" i="5"/>
  <c r="AQ76" i="5" s="1"/>
  <c r="C77" i="5" s="1"/>
  <c r="O77" i="5" s="1"/>
  <c r="AG78" i="5"/>
  <c r="AH77" i="5"/>
  <c r="AJ77" i="5" s="1"/>
  <c r="AN77" i="5" s="1"/>
  <c r="AP77" i="5" l="1"/>
  <c r="AM77" i="5"/>
  <c r="AQ77" i="5" s="1"/>
  <c r="C78" i="5" s="1"/>
  <c r="O78" i="5" s="1"/>
  <c r="AH78" i="5"/>
  <c r="AJ78" i="5" s="1"/>
  <c r="AN78" i="5" s="1"/>
  <c r="AG79" i="5"/>
  <c r="AH79" i="5" s="1"/>
  <c r="AJ79" i="5" s="1"/>
  <c r="AN79" i="5" s="1"/>
  <c r="AP78" i="5" l="1"/>
  <c r="AP79" i="5" s="1"/>
  <c r="AM79" i="5"/>
  <c r="AM78" i="5"/>
  <c r="AQ78" i="5" s="1"/>
  <c r="C79" i="5" s="1"/>
  <c r="O79" i="5" s="1"/>
  <c r="AQ79" i="5" l="1"/>
  <c r="C11" i="5" l="1"/>
  <c r="C27" i="5" s="1"/>
  <c r="C80" i="5"/>
  <c r="O80" i="5" s="1"/>
  <c r="AE80" i="5" l="1"/>
  <c r="AF80" i="5"/>
  <c r="AF81" i="5" s="1"/>
  <c r="AF82" i="5" s="1"/>
  <c r="AF83" i="5" s="1"/>
  <c r="AF84" i="5" s="1"/>
  <c r="AF85" i="5" s="1"/>
  <c r="AF86" i="5" s="1"/>
  <c r="AF87" i="5" s="1"/>
  <c r="AF88" i="5" s="1"/>
  <c r="AF89" i="5" s="1"/>
  <c r="AF90" i="5" s="1"/>
  <c r="AF91" i="5" s="1"/>
  <c r="AE81" i="5" l="1"/>
  <c r="AG80" i="5"/>
  <c r="AH80" i="5" l="1"/>
  <c r="AJ80" i="5" s="1"/>
  <c r="AG81" i="5"/>
  <c r="AE82" i="5"/>
  <c r="AL81" i="5"/>
  <c r="AE83" i="5" l="1"/>
  <c r="AL82" i="5"/>
  <c r="AG82" i="5"/>
  <c r="AH81" i="5"/>
  <c r="AJ81" i="5" s="1"/>
  <c r="AN80" i="5"/>
  <c r="AP80" i="5" s="1"/>
  <c r="AL80" i="5"/>
  <c r="AM80" i="5" s="1"/>
  <c r="AQ80" i="5" s="1"/>
  <c r="C81" i="5" s="1"/>
  <c r="O81" i="5" s="1"/>
  <c r="AN81" i="5" l="1"/>
  <c r="AP81" i="5" s="1"/>
  <c r="AM81" i="5"/>
  <c r="AQ81" i="5" s="1"/>
  <c r="C82" i="5" s="1"/>
  <c r="O82" i="5" s="1"/>
  <c r="AG83" i="5"/>
  <c r="AH82" i="5"/>
  <c r="AJ82" i="5" s="1"/>
  <c r="AE84" i="5"/>
  <c r="AL83" i="5"/>
  <c r="AN82" i="5" l="1"/>
  <c r="AP82" i="5" s="1"/>
  <c r="AM82" i="5"/>
  <c r="AQ82" i="5" s="1"/>
  <c r="C83" i="5" s="1"/>
  <c r="O83" i="5" s="1"/>
  <c r="AE85" i="5"/>
  <c r="AL84" i="5"/>
  <c r="AG84" i="5"/>
  <c r="AH83" i="5"/>
  <c r="AJ83" i="5" s="1"/>
  <c r="AN83" i="5" l="1"/>
  <c r="AP83" i="5" s="1"/>
  <c r="AM83" i="5"/>
  <c r="AQ83" i="5" s="1"/>
  <c r="C84" i="5" s="1"/>
  <c r="O84" i="5" s="1"/>
  <c r="AE86" i="5"/>
  <c r="AL85" i="5"/>
  <c r="AH84" i="5"/>
  <c r="AJ84" i="5" s="1"/>
  <c r="AG85" i="5"/>
  <c r="AH85" i="5" l="1"/>
  <c r="AJ85" i="5" s="1"/>
  <c r="AG86" i="5"/>
  <c r="AN84" i="5"/>
  <c r="AP84" i="5" s="1"/>
  <c r="AM84" i="5"/>
  <c r="AQ84" i="5" s="1"/>
  <c r="C85" i="5" s="1"/>
  <c r="O85" i="5" s="1"/>
  <c r="AE87" i="5"/>
  <c r="AL86" i="5"/>
  <c r="AN85" i="5" l="1"/>
  <c r="AP85" i="5" s="1"/>
  <c r="AM85" i="5"/>
  <c r="AQ85" i="5" s="1"/>
  <c r="C86" i="5" s="1"/>
  <c r="O86" i="5" s="1"/>
  <c r="AE88" i="5"/>
  <c r="AL87" i="5"/>
  <c r="AH86" i="5"/>
  <c r="AJ86" i="5" s="1"/>
  <c r="AG87" i="5"/>
  <c r="AN86" i="5" l="1"/>
  <c r="AP86" i="5" s="1"/>
  <c r="AM86" i="5"/>
  <c r="AQ86" i="5" s="1"/>
  <c r="C87" i="5" s="1"/>
  <c r="O87" i="5" s="1"/>
  <c r="AG88" i="5"/>
  <c r="AH87" i="5"/>
  <c r="AJ87" i="5" s="1"/>
  <c r="AE89" i="5"/>
  <c r="AL88" i="5"/>
  <c r="AN87" i="5" l="1"/>
  <c r="AP87" i="5" s="1"/>
  <c r="AM87" i="5"/>
  <c r="AQ87" i="5" s="1"/>
  <c r="C88" i="5" s="1"/>
  <c r="O88" i="5" s="1"/>
  <c r="AG89" i="5"/>
  <c r="AH88" i="5"/>
  <c r="AJ88" i="5" s="1"/>
  <c r="AE90" i="5"/>
  <c r="AL89" i="5"/>
  <c r="AN88" i="5" l="1"/>
  <c r="AP88" i="5" s="1"/>
  <c r="AM88" i="5"/>
  <c r="AQ88" i="5" s="1"/>
  <c r="C89" i="5" s="1"/>
  <c r="O89" i="5" s="1"/>
  <c r="AG90" i="5"/>
  <c r="AH89" i="5"/>
  <c r="AJ89" i="5" s="1"/>
  <c r="AE91" i="5"/>
  <c r="AL90" i="5"/>
  <c r="AN89" i="5" l="1"/>
  <c r="AP89" i="5" s="1"/>
  <c r="AM89" i="5"/>
  <c r="AQ89" i="5" s="1"/>
  <c r="C90" i="5" s="1"/>
  <c r="O90" i="5" s="1"/>
  <c r="AG91" i="5"/>
  <c r="AH91" i="5" s="1"/>
  <c r="AJ91" i="5" s="1"/>
  <c r="AH90" i="5"/>
  <c r="AJ90" i="5" s="1"/>
  <c r="AN91" i="5" l="1"/>
  <c r="AM91" i="5"/>
  <c r="AN90" i="5"/>
  <c r="AP90" i="5" s="1"/>
  <c r="AM90" i="5"/>
  <c r="AQ90" i="5" s="1"/>
  <c r="C91" i="5" s="1"/>
  <c r="O91" i="5" s="1"/>
  <c r="AP91" i="5" l="1"/>
  <c r="AF92" i="5" s="1"/>
  <c r="AF93" i="5" s="1"/>
  <c r="AF94" i="5" s="1"/>
  <c r="AF95" i="5" s="1"/>
  <c r="AF96" i="5" s="1"/>
  <c r="AF97" i="5" s="1"/>
  <c r="AF98" i="5" s="1"/>
  <c r="AF99" i="5" s="1"/>
  <c r="AF100" i="5" s="1"/>
  <c r="AF101" i="5" s="1"/>
  <c r="AF102" i="5" s="1"/>
  <c r="AF103" i="5" s="1"/>
  <c r="AQ91" i="5"/>
  <c r="AE92" i="5" l="1"/>
  <c r="AE93" i="5" s="1"/>
  <c r="C92" i="5"/>
  <c r="O92" i="5" s="1"/>
  <c r="C12" i="5"/>
  <c r="C28" i="5" s="1"/>
  <c r="AG92" i="5" l="1"/>
  <c r="AG93" i="5" s="1"/>
  <c r="AE94" i="5"/>
  <c r="AL93" i="5"/>
  <c r="AH92" i="5" l="1"/>
  <c r="AJ92" i="5" s="1"/>
  <c r="AN92" i="5" s="1"/>
  <c r="AP92" i="5" s="1"/>
  <c r="AE95" i="5"/>
  <c r="AL94" i="5"/>
  <c r="AL92" i="5"/>
  <c r="AM92" i="5" s="1"/>
  <c r="AQ92" i="5" s="1"/>
  <c r="C93" i="5" s="1"/>
  <c r="O93" i="5" s="1"/>
  <c r="AH93" i="5"/>
  <c r="AJ93" i="5" s="1"/>
  <c r="AG94" i="5"/>
  <c r="AN93" i="5" l="1"/>
  <c r="AP93" i="5" s="1"/>
  <c r="AM93" i="5"/>
  <c r="AQ93" i="5" s="1"/>
  <c r="AH94" i="5"/>
  <c r="AJ94" i="5" s="1"/>
  <c r="AG95" i="5"/>
  <c r="AE96" i="5"/>
  <c r="AL95" i="5"/>
  <c r="AN94" i="5" l="1"/>
  <c r="AP94" i="5" s="1"/>
  <c r="AM94" i="5"/>
  <c r="AQ94" i="5" s="1"/>
  <c r="C95" i="5" s="1"/>
  <c r="O95" i="5" s="1"/>
  <c r="AE97" i="5"/>
  <c r="AL96" i="5"/>
  <c r="AG96" i="5"/>
  <c r="AH95" i="5"/>
  <c r="AJ95" i="5" s="1"/>
  <c r="C4" i="5"/>
  <c r="C94" i="5"/>
  <c r="O94" i="5" s="1"/>
  <c r="AG97" i="5" l="1"/>
  <c r="AH96" i="5"/>
  <c r="AJ96" i="5" s="1"/>
  <c r="AE98" i="5"/>
  <c r="AL97" i="5"/>
  <c r="AN95" i="5"/>
  <c r="AP95" i="5" s="1"/>
  <c r="AM95" i="5"/>
  <c r="AQ95" i="5" s="1"/>
  <c r="C96" i="5" s="1"/>
  <c r="O96" i="5" s="1"/>
  <c r="AN96" i="5" l="1"/>
  <c r="AP96" i="5" s="1"/>
  <c r="AM96" i="5"/>
  <c r="AQ96" i="5" s="1"/>
  <c r="C97" i="5" s="1"/>
  <c r="O97" i="5" s="1"/>
  <c r="AE99" i="5"/>
  <c r="AL98" i="5"/>
  <c r="AG98" i="5"/>
  <c r="AH97" i="5"/>
  <c r="AJ97" i="5" s="1"/>
  <c r="AG99" i="5" l="1"/>
  <c r="AH98" i="5"/>
  <c r="AJ98" i="5" s="1"/>
  <c r="AE100" i="5"/>
  <c r="AL99" i="5"/>
  <c r="AN97" i="5"/>
  <c r="AP97" i="5" s="1"/>
  <c r="AM97" i="5"/>
  <c r="AQ97" i="5" s="1"/>
  <c r="C98" i="5" s="1"/>
  <c r="O98" i="5" s="1"/>
  <c r="AE101" i="5" l="1"/>
  <c r="AL100" i="5"/>
  <c r="AG100" i="5"/>
  <c r="AH99" i="5"/>
  <c r="AJ99" i="5" s="1"/>
  <c r="AN98" i="5"/>
  <c r="AP98" i="5" s="1"/>
  <c r="AM98" i="5"/>
  <c r="AQ98" i="5" s="1"/>
  <c r="C99" i="5" s="1"/>
  <c r="O99" i="5" s="1"/>
  <c r="AN99" i="5" l="1"/>
  <c r="AP99" i="5" s="1"/>
  <c r="AM99" i="5"/>
  <c r="AQ99" i="5" s="1"/>
  <c r="C100" i="5" s="1"/>
  <c r="O100" i="5" s="1"/>
  <c r="AG101" i="5"/>
  <c r="AH100" i="5"/>
  <c r="AJ100" i="5" s="1"/>
  <c r="AE102" i="5"/>
  <c r="AL101" i="5"/>
  <c r="AN100" i="5" l="1"/>
  <c r="AP100" i="5" s="1"/>
  <c r="AM100" i="5"/>
  <c r="AQ100" i="5" s="1"/>
  <c r="C101" i="5" s="1"/>
  <c r="O101" i="5" s="1"/>
  <c r="AG102" i="5"/>
  <c r="AH101" i="5"/>
  <c r="AJ101" i="5" s="1"/>
  <c r="AE103" i="5"/>
  <c r="AL102" i="5"/>
  <c r="AG103" i="5" l="1"/>
  <c r="AH103" i="5" s="1"/>
  <c r="AJ103" i="5" s="1"/>
  <c r="AH102" i="5"/>
  <c r="AJ102" i="5" s="1"/>
  <c r="AN101" i="5"/>
  <c r="AP101" i="5" s="1"/>
  <c r="AM101" i="5"/>
  <c r="AQ101" i="5" s="1"/>
  <c r="C102" i="5" s="1"/>
  <c r="O102" i="5" s="1"/>
  <c r="AN102" i="5" l="1"/>
  <c r="AP102" i="5" s="1"/>
  <c r="AM102" i="5"/>
  <c r="AQ102" i="5" s="1"/>
  <c r="C103" i="5" s="1"/>
  <c r="O103" i="5" s="1"/>
  <c r="AN103" i="5"/>
  <c r="AM103" i="5"/>
  <c r="AP103" i="5" l="1"/>
  <c r="AE104" i="5" s="1"/>
  <c r="AQ103" i="5"/>
  <c r="AF104" i="5" l="1"/>
  <c r="AF105" i="5" s="1"/>
  <c r="AF106" i="5" s="1"/>
  <c r="AF107" i="5" s="1"/>
  <c r="AF108" i="5" s="1"/>
  <c r="AF109" i="5" s="1"/>
  <c r="AF110" i="5" s="1"/>
  <c r="AF111" i="5" s="1"/>
  <c r="AF112" i="5" s="1"/>
  <c r="AF113" i="5" s="1"/>
  <c r="AF114" i="5" s="1"/>
  <c r="AF115" i="5" s="1"/>
  <c r="AE105" i="5"/>
  <c r="AG104" i="5"/>
  <c r="C104" i="5"/>
  <c r="O104" i="5" s="1"/>
  <c r="C13" i="5"/>
  <c r="C29" i="5" s="1"/>
  <c r="AH104" i="5" l="1"/>
  <c r="AJ104" i="5" s="1"/>
  <c r="AG105" i="5"/>
  <c r="AE106" i="5"/>
  <c r="AL105" i="5"/>
  <c r="AE107" i="5" l="1"/>
  <c r="AL106" i="5"/>
  <c r="AG106" i="5"/>
  <c r="AH105" i="5"/>
  <c r="AJ105" i="5" s="1"/>
  <c r="AN104" i="5"/>
  <c r="AP104" i="5" s="1"/>
  <c r="AL104" i="5"/>
  <c r="AM104" i="5" s="1"/>
  <c r="AQ104" i="5" s="1"/>
  <c r="C105" i="5" s="1"/>
  <c r="O105" i="5" s="1"/>
  <c r="AN105" i="5" l="1"/>
  <c r="AP105" i="5" s="1"/>
  <c r="AM105" i="5"/>
  <c r="AQ105" i="5" s="1"/>
  <c r="C106" i="5" s="1"/>
  <c r="O106" i="5" s="1"/>
  <c r="AG107" i="5"/>
  <c r="AH106" i="5"/>
  <c r="AJ106" i="5" s="1"/>
  <c r="AE108" i="5"/>
  <c r="AL107" i="5"/>
  <c r="AE109" i="5" l="1"/>
  <c r="AL108" i="5"/>
  <c r="AN106" i="5"/>
  <c r="AP106" i="5" s="1"/>
  <c r="AM106" i="5"/>
  <c r="AQ106" i="5" s="1"/>
  <c r="C107" i="5" s="1"/>
  <c r="O107" i="5" s="1"/>
  <c r="AG108" i="5"/>
  <c r="AH107" i="5"/>
  <c r="AJ107" i="5" s="1"/>
  <c r="AN107" i="5" l="1"/>
  <c r="AP107" i="5" s="1"/>
  <c r="AM107" i="5"/>
  <c r="AQ107" i="5" s="1"/>
  <c r="C108" i="5" s="1"/>
  <c r="O108" i="5" s="1"/>
  <c r="AH108" i="5"/>
  <c r="AJ108" i="5" s="1"/>
  <c r="AG109" i="5"/>
  <c r="AE110" i="5"/>
  <c r="AL109" i="5"/>
  <c r="AG110" i="5" l="1"/>
  <c r="AH109" i="5"/>
  <c r="AJ109" i="5" s="1"/>
  <c r="AE111" i="5"/>
  <c r="AL110" i="5"/>
  <c r="AN108" i="5"/>
  <c r="AP108" i="5" s="1"/>
  <c r="AM108" i="5"/>
  <c r="AQ108" i="5" s="1"/>
  <c r="C109" i="5" s="1"/>
  <c r="O109" i="5" s="1"/>
  <c r="AE112" i="5" l="1"/>
  <c r="AL111" i="5"/>
  <c r="AG111" i="5"/>
  <c r="AH110" i="5"/>
  <c r="AJ110" i="5" s="1"/>
  <c r="AN109" i="5"/>
  <c r="AP109" i="5" s="1"/>
  <c r="AM109" i="5"/>
  <c r="AQ109" i="5" s="1"/>
  <c r="C110" i="5" s="1"/>
  <c r="O110" i="5" s="1"/>
  <c r="AN110" i="5" l="1"/>
  <c r="AP110" i="5" s="1"/>
  <c r="AM110" i="5"/>
  <c r="AQ110" i="5" s="1"/>
  <c r="C111" i="5" s="1"/>
  <c r="O111" i="5" s="1"/>
  <c r="AH111" i="5"/>
  <c r="AJ111" i="5" s="1"/>
  <c r="AG112" i="5"/>
  <c r="AE113" i="5"/>
  <c r="AL112" i="5"/>
  <c r="AE114" i="5" l="1"/>
  <c r="AL113" i="5"/>
  <c r="AN111" i="5"/>
  <c r="AP111" i="5" s="1"/>
  <c r="AM111" i="5"/>
  <c r="AQ111" i="5" s="1"/>
  <c r="C112" i="5" s="1"/>
  <c r="O112" i="5" s="1"/>
  <c r="AG113" i="5"/>
  <c r="AH112" i="5"/>
  <c r="AJ112" i="5" s="1"/>
  <c r="AN112" i="5" l="1"/>
  <c r="AP112" i="5" s="1"/>
  <c r="AM112" i="5"/>
  <c r="AQ112" i="5" s="1"/>
  <c r="C113" i="5" s="1"/>
  <c r="O113" i="5" s="1"/>
  <c r="AE115" i="5"/>
  <c r="AL114" i="5"/>
  <c r="AG114" i="5"/>
  <c r="AH113" i="5"/>
  <c r="AJ113" i="5" s="1"/>
  <c r="AN113" i="5" l="1"/>
  <c r="AP113" i="5" s="1"/>
  <c r="AM113" i="5"/>
  <c r="AQ113" i="5" s="1"/>
  <c r="C114" i="5" s="1"/>
  <c r="O114" i="5" s="1"/>
  <c r="AG115" i="5"/>
  <c r="AH115" i="5" s="1"/>
  <c r="AJ115" i="5" s="1"/>
  <c r="AH114" i="5"/>
  <c r="AJ114" i="5" s="1"/>
  <c r="AN114" i="5" l="1"/>
  <c r="AP114" i="5" s="1"/>
  <c r="AM114" i="5"/>
  <c r="AQ114" i="5" s="1"/>
  <c r="C115" i="5" s="1"/>
  <c r="O115" i="5" s="1"/>
  <c r="AN115" i="5"/>
  <c r="AM115" i="5"/>
  <c r="AP115" i="5" l="1"/>
  <c r="AF116" i="5" s="1"/>
  <c r="AF117" i="5" s="1"/>
  <c r="AF118" i="5" s="1"/>
  <c r="AF119" i="5" s="1"/>
  <c r="AF120" i="5" s="1"/>
  <c r="AF121" i="5" s="1"/>
  <c r="AF122" i="5" s="1"/>
  <c r="AF123" i="5" s="1"/>
  <c r="AF124" i="5" s="1"/>
  <c r="AF125" i="5" s="1"/>
  <c r="AF126" i="5" s="1"/>
  <c r="AF127" i="5" s="1"/>
  <c r="AQ115" i="5"/>
  <c r="AE116" i="5" l="1"/>
  <c r="AE117" i="5" s="1"/>
  <c r="C14" i="5"/>
  <c r="C30" i="5" s="1"/>
  <c r="C116" i="5"/>
  <c r="O116" i="5" s="1"/>
  <c r="AG116" i="5" l="1"/>
  <c r="AH116" i="5" s="1"/>
  <c r="AJ116" i="5" s="1"/>
  <c r="AE118" i="5"/>
  <c r="AL117" i="5"/>
  <c r="AG117" i="5" l="1"/>
  <c r="AE119" i="5"/>
  <c r="AL118" i="5"/>
  <c r="AH117" i="5"/>
  <c r="AJ117" i="5" s="1"/>
  <c r="AG118" i="5"/>
  <c r="AN116" i="5"/>
  <c r="AP116" i="5" s="1"/>
  <c r="AL116" i="5"/>
  <c r="AM116" i="5" s="1"/>
  <c r="AQ116" i="5" s="1"/>
  <c r="C117" i="5" s="1"/>
  <c r="O117" i="5" s="1"/>
  <c r="AH118" i="5" l="1"/>
  <c r="AJ118" i="5" s="1"/>
  <c r="AG119" i="5"/>
  <c r="AN117" i="5"/>
  <c r="AP117" i="5" s="1"/>
  <c r="AM117" i="5"/>
  <c r="AQ117" i="5" s="1"/>
  <c r="C118" i="5" s="1"/>
  <c r="O118" i="5" s="1"/>
  <c r="AE120" i="5"/>
  <c r="AL119" i="5"/>
  <c r="AH119" i="5" l="1"/>
  <c r="AJ119" i="5" s="1"/>
  <c r="AG120" i="5"/>
  <c r="AN118" i="5"/>
  <c r="AP118" i="5" s="1"/>
  <c r="AM118" i="5"/>
  <c r="AQ118" i="5" s="1"/>
  <c r="C119" i="5" s="1"/>
  <c r="O119" i="5" s="1"/>
  <c r="AE121" i="5"/>
  <c r="AL120" i="5"/>
  <c r="AG121" i="5" l="1"/>
  <c r="AH120" i="5"/>
  <c r="AJ120" i="5" s="1"/>
  <c r="AE122" i="5"/>
  <c r="AL121" i="5"/>
  <c r="AN119" i="5"/>
  <c r="AP119" i="5" s="1"/>
  <c r="AM119" i="5"/>
  <c r="AQ119" i="5" s="1"/>
  <c r="C120" i="5" s="1"/>
  <c r="O120" i="5" s="1"/>
  <c r="AN120" i="5" l="1"/>
  <c r="AP120" i="5" s="1"/>
  <c r="AM120" i="5"/>
  <c r="AQ120" i="5" s="1"/>
  <c r="C121" i="5" s="1"/>
  <c r="O121" i="5" s="1"/>
  <c r="AH121" i="5"/>
  <c r="AJ121" i="5" s="1"/>
  <c r="AG122" i="5"/>
  <c r="AE123" i="5"/>
  <c r="AL122" i="5"/>
  <c r="AE124" i="5" l="1"/>
  <c r="AL123" i="5"/>
  <c r="AN121" i="5"/>
  <c r="AP121" i="5" s="1"/>
  <c r="AM121" i="5"/>
  <c r="AQ121" i="5" s="1"/>
  <c r="C122" i="5" s="1"/>
  <c r="O122" i="5" s="1"/>
  <c r="AH122" i="5"/>
  <c r="AJ122" i="5" s="1"/>
  <c r="AG123" i="5"/>
  <c r="AG124" i="5" l="1"/>
  <c r="AH123" i="5"/>
  <c r="AJ123" i="5" s="1"/>
  <c r="AN122" i="5"/>
  <c r="AP122" i="5" s="1"/>
  <c r="AM122" i="5"/>
  <c r="AQ122" i="5" s="1"/>
  <c r="C123" i="5" s="1"/>
  <c r="O123" i="5" s="1"/>
  <c r="AE125" i="5"/>
  <c r="AL124" i="5"/>
  <c r="AN123" i="5" l="1"/>
  <c r="AP123" i="5" s="1"/>
  <c r="AM123" i="5"/>
  <c r="AQ123" i="5" s="1"/>
  <c r="C124" i="5" s="1"/>
  <c r="O124" i="5" s="1"/>
  <c r="AH124" i="5"/>
  <c r="AJ124" i="5" s="1"/>
  <c r="AG125" i="5"/>
  <c r="AE126" i="5"/>
  <c r="AL125" i="5"/>
  <c r="AE127" i="5" l="1"/>
  <c r="AL126" i="5"/>
  <c r="AG126" i="5"/>
  <c r="AH125" i="5"/>
  <c r="AJ125" i="5" s="1"/>
  <c r="AN124" i="5"/>
  <c r="AP124" i="5" s="1"/>
  <c r="AM124" i="5"/>
  <c r="AQ124" i="5" s="1"/>
  <c r="C125" i="5" s="1"/>
  <c r="O125" i="5" s="1"/>
  <c r="AN125" i="5" l="1"/>
  <c r="AP125" i="5" s="1"/>
  <c r="AM125" i="5"/>
  <c r="AQ125" i="5" s="1"/>
  <c r="C126" i="5" s="1"/>
  <c r="O126" i="5" s="1"/>
  <c r="AG127" i="5"/>
  <c r="AH127" i="5" s="1"/>
  <c r="AJ127" i="5" s="1"/>
  <c r="AH126" i="5"/>
  <c r="AJ126" i="5" s="1"/>
  <c r="AN126" i="5" l="1"/>
  <c r="AP126" i="5" s="1"/>
  <c r="AM126" i="5"/>
  <c r="AQ126" i="5" s="1"/>
  <c r="C127" i="5" s="1"/>
  <c r="O127" i="5" s="1"/>
  <c r="AN127" i="5"/>
  <c r="AM127" i="5"/>
  <c r="AP127" i="5" l="1"/>
  <c r="AF128" i="5" s="1"/>
  <c r="AF129" i="5" s="1"/>
  <c r="AF130" i="5" s="1"/>
  <c r="AF131" i="5" s="1"/>
  <c r="AF132" i="5" s="1"/>
  <c r="AF133" i="5" s="1"/>
  <c r="AF134" i="5" s="1"/>
  <c r="AF135" i="5" s="1"/>
  <c r="AF136" i="5" s="1"/>
  <c r="AF137" i="5" s="1"/>
  <c r="AF138" i="5" s="1"/>
  <c r="AF139" i="5" s="1"/>
  <c r="AQ127" i="5"/>
  <c r="AE128" i="5" l="1"/>
  <c r="AE129" i="5" s="1"/>
  <c r="C128" i="5"/>
  <c r="O128" i="5" s="1"/>
  <c r="C15" i="5"/>
  <c r="C31" i="5" s="1"/>
  <c r="AG128" i="5" l="1"/>
  <c r="AG129" i="5" s="1"/>
  <c r="AE130" i="5"/>
  <c r="AL129" i="5"/>
  <c r="AH128" i="5" l="1"/>
  <c r="AJ128" i="5" s="1"/>
  <c r="AN128" i="5" s="1"/>
  <c r="AP128" i="5" s="1"/>
  <c r="AE131" i="5"/>
  <c r="AL130" i="5"/>
  <c r="AG130" i="5"/>
  <c r="AH129" i="5"/>
  <c r="AJ129" i="5" s="1"/>
  <c r="AL128" i="5" l="1"/>
  <c r="AM128" i="5" s="1"/>
  <c r="AQ128" i="5" s="1"/>
  <c r="C129" i="5" s="1"/>
  <c r="O129" i="5" s="1"/>
  <c r="AN129" i="5"/>
  <c r="AP129" i="5" s="1"/>
  <c r="AM129" i="5"/>
  <c r="AQ129" i="5" s="1"/>
  <c r="C130" i="5" s="1"/>
  <c r="O130" i="5" s="1"/>
  <c r="AG131" i="5"/>
  <c r="AH130" i="5"/>
  <c r="AJ130" i="5" s="1"/>
  <c r="AE132" i="5"/>
  <c r="AL131" i="5"/>
  <c r="AE133" i="5" l="1"/>
  <c r="AL132" i="5"/>
  <c r="AN130" i="5"/>
  <c r="AP130" i="5" s="1"/>
  <c r="AM130" i="5"/>
  <c r="AQ130" i="5" s="1"/>
  <c r="C131" i="5" s="1"/>
  <c r="O131" i="5" s="1"/>
  <c r="AG132" i="5"/>
  <c r="AH131" i="5"/>
  <c r="AJ131" i="5" s="1"/>
  <c r="AN131" i="5" l="1"/>
  <c r="AP131" i="5" s="1"/>
  <c r="AM131" i="5"/>
  <c r="AQ131" i="5" s="1"/>
  <c r="C132" i="5" s="1"/>
  <c r="O132" i="5" s="1"/>
  <c r="AG133" i="5"/>
  <c r="AH132" i="5"/>
  <c r="AJ132" i="5" s="1"/>
  <c r="AE134" i="5"/>
  <c r="AL133" i="5"/>
  <c r="AE135" i="5" l="1"/>
  <c r="AL134" i="5"/>
  <c r="AN132" i="5"/>
  <c r="AP132" i="5" s="1"/>
  <c r="AM132" i="5"/>
  <c r="AQ132" i="5" s="1"/>
  <c r="C133" i="5" s="1"/>
  <c r="O133" i="5" s="1"/>
  <c r="AH133" i="5"/>
  <c r="AJ133" i="5" s="1"/>
  <c r="AG134" i="5"/>
  <c r="AG135" i="5" l="1"/>
  <c r="AH134" i="5"/>
  <c r="AJ134" i="5" s="1"/>
  <c r="AN133" i="5"/>
  <c r="AP133" i="5" s="1"/>
  <c r="AM133" i="5"/>
  <c r="AQ133" i="5" s="1"/>
  <c r="C134" i="5" s="1"/>
  <c r="O134" i="5" s="1"/>
  <c r="AE136" i="5"/>
  <c r="AL135" i="5"/>
  <c r="AN134" i="5" l="1"/>
  <c r="AP134" i="5" s="1"/>
  <c r="AM134" i="5"/>
  <c r="AQ134" i="5" s="1"/>
  <c r="C135" i="5" s="1"/>
  <c r="O135" i="5" s="1"/>
  <c r="AG136" i="5"/>
  <c r="AH135" i="5"/>
  <c r="AJ135" i="5" s="1"/>
  <c r="AE137" i="5"/>
  <c r="AL136" i="5"/>
  <c r="AN135" i="5" l="1"/>
  <c r="AP135" i="5" s="1"/>
  <c r="AM135" i="5"/>
  <c r="AQ135" i="5" s="1"/>
  <c r="C136" i="5" s="1"/>
  <c r="O136" i="5" s="1"/>
  <c r="AH136" i="5"/>
  <c r="AJ136" i="5" s="1"/>
  <c r="AG137" i="5"/>
  <c r="AE138" i="5"/>
  <c r="AL137" i="5"/>
  <c r="AG138" i="5" l="1"/>
  <c r="AH137" i="5"/>
  <c r="AJ137" i="5" s="1"/>
  <c r="AE139" i="5"/>
  <c r="AL138" i="5"/>
  <c r="AN136" i="5"/>
  <c r="AP136" i="5" s="1"/>
  <c r="AM136" i="5"/>
  <c r="AQ136" i="5" s="1"/>
  <c r="C137" i="5" s="1"/>
  <c r="O137" i="5" s="1"/>
  <c r="AG139" i="5" l="1"/>
  <c r="AH139" i="5" s="1"/>
  <c r="AJ139" i="5" s="1"/>
  <c r="AH138" i="5"/>
  <c r="AJ138" i="5" s="1"/>
  <c r="AN137" i="5"/>
  <c r="AP137" i="5" s="1"/>
  <c r="AM137" i="5"/>
  <c r="AQ137" i="5" s="1"/>
  <c r="C138" i="5" s="1"/>
  <c r="O138" i="5" s="1"/>
  <c r="AN139" i="5" l="1"/>
  <c r="AM139" i="5"/>
  <c r="AN138" i="5"/>
  <c r="AP138" i="5" s="1"/>
  <c r="AM138" i="5"/>
  <c r="AQ138" i="5" s="1"/>
  <c r="C139" i="5" s="1"/>
  <c r="O139" i="5" s="1"/>
  <c r="AP139" i="5" l="1"/>
  <c r="AF140" i="5" s="1"/>
  <c r="AF141" i="5" s="1"/>
  <c r="AF142" i="5" s="1"/>
  <c r="AF143" i="5" s="1"/>
  <c r="AF144" i="5" s="1"/>
  <c r="AF145" i="5" s="1"/>
  <c r="AF146" i="5" s="1"/>
  <c r="AF147" i="5" s="1"/>
  <c r="AF148" i="5" s="1"/>
  <c r="AF149" i="5" s="1"/>
  <c r="AF150" i="5" s="1"/>
  <c r="AF151" i="5" s="1"/>
  <c r="AQ139" i="5"/>
  <c r="AE140" i="5" l="1"/>
  <c r="AE141" i="5" s="1"/>
  <c r="C16" i="5"/>
  <c r="C32" i="5" s="1"/>
  <c r="C140" i="5"/>
  <c r="O140" i="5" s="1"/>
  <c r="AG140" i="5" l="1"/>
  <c r="AH140" i="5" s="1"/>
  <c r="AJ140" i="5" s="1"/>
  <c r="AE142" i="5"/>
  <c r="AL141" i="5"/>
  <c r="AG141" i="5" l="1"/>
  <c r="AH141" i="5" s="1"/>
  <c r="AJ141" i="5" s="1"/>
  <c r="AE143" i="5"/>
  <c r="AL142" i="5"/>
  <c r="AG142" i="5"/>
  <c r="AN140" i="5"/>
  <c r="AP140" i="5" s="1"/>
  <c r="AL140" i="5"/>
  <c r="AM140" i="5" s="1"/>
  <c r="AQ140" i="5" s="1"/>
  <c r="C141" i="5" s="1"/>
  <c r="O141" i="5" s="1"/>
  <c r="AH142" i="5" l="1"/>
  <c r="AJ142" i="5" s="1"/>
  <c r="AG143" i="5"/>
  <c r="AN141" i="5"/>
  <c r="AP141" i="5" s="1"/>
  <c r="AM141" i="5"/>
  <c r="AQ141" i="5" s="1"/>
  <c r="C142" i="5" s="1"/>
  <c r="O142" i="5" s="1"/>
  <c r="AE144" i="5"/>
  <c r="AL143" i="5"/>
  <c r="AE145" i="5" l="1"/>
  <c r="AL144" i="5"/>
  <c r="AN142" i="5"/>
  <c r="AP142" i="5" s="1"/>
  <c r="AM142" i="5"/>
  <c r="AQ142" i="5" s="1"/>
  <c r="C143" i="5" s="1"/>
  <c r="O143" i="5" s="1"/>
  <c r="AG144" i="5"/>
  <c r="AH143" i="5"/>
  <c r="AJ143" i="5" s="1"/>
  <c r="AN143" i="5" l="1"/>
  <c r="AP143" i="5" s="1"/>
  <c r="AM143" i="5"/>
  <c r="AQ143" i="5" s="1"/>
  <c r="C144" i="5" s="1"/>
  <c r="O144" i="5" s="1"/>
  <c r="AH144" i="5"/>
  <c r="AJ144" i="5" s="1"/>
  <c r="AG145" i="5"/>
  <c r="AE146" i="5"/>
  <c r="AL145" i="5"/>
  <c r="AH145" i="5" l="1"/>
  <c r="AJ145" i="5" s="1"/>
  <c r="AG146" i="5"/>
  <c r="AE147" i="5"/>
  <c r="AL146" i="5"/>
  <c r="AN144" i="5"/>
  <c r="AP144" i="5" s="1"/>
  <c r="AM144" i="5"/>
  <c r="AQ144" i="5" s="1"/>
  <c r="C145" i="5" s="1"/>
  <c r="O145" i="5" s="1"/>
  <c r="AE148" i="5" l="1"/>
  <c r="AL147" i="5"/>
  <c r="AG147" i="5"/>
  <c r="AH146" i="5"/>
  <c r="AJ146" i="5" s="1"/>
  <c r="AN145" i="5"/>
  <c r="AP145" i="5" s="1"/>
  <c r="AM145" i="5"/>
  <c r="AQ145" i="5" s="1"/>
  <c r="C146" i="5" s="1"/>
  <c r="O146" i="5" s="1"/>
  <c r="AN146" i="5" l="1"/>
  <c r="AP146" i="5" s="1"/>
  <c r="AM146" i="5"/>
  <c r="AQ146" i="5" s="1"/>
  <c r="C147" i="5" s="1"/>
  <c r="O147" i="5" s="1"/>
  <c r="AH147" i="5"/>
  <c r="AJ147" i="5" s="1"/>
  <c r="AG148" i="5"/>
  <c r="AE149" i="5"/>
  <c r="AL148" i="5"/>
  <c r="AE150" i="5" l="1"/>
  <c r="AL149" i="5"/>
  <c r="AG149" i="5"/>
  <c r="AH148" i="5"/>
  <c r="AJ148" i="5" s="1"/>
  <c r="AN147" i="5"/>
  <c r="AP147" i="5" s="1"/>
  <c r="AM147" i="5"/>
  <c r="AQ147" i="5" s="1"/>
  <c r="C148" i="5" s="1"/>
  <c r="O148" i="5" s="1"/>
  <c r="AE151" i="5" l="1"/>
  <c r="AL150" i="5"/>
  <c r="AN148" i="5"/>
  <c r="AP148" i="5" s="1"/>
  <c r="AM148" i="5"/>
  <c r="AQ148" i="5" s="1"/>
  <c r="C149" i="5" s="1"/>
  <c r="O149" i="5" s="1"/>
  <c r="AG150" i="5"/>
  <c r="AH149" i="5"/>
  <c r="AJ149" i="5" s="1"/>
  <c r="AN149" i="5" l="1"/>
  <c r="AP149" i="5" s="1"/>
  <c r="AM149" i="5"/>
  <c r="AQ149" i="5" s="1"/>
  <c r="C150" i="5" s="1"/>
  <c r="O150" i="5" s="1"/>
  <c r="AH150" i="5"/>
  <c r="AJ150" i="5" s="1"/>
  <c r="AG151" i="5"/>
  <c r="AH151" i="5" s="1"/>
  <c r="AJ151" i="5" s="1"/>
  <c r="AN151" i="5" l="1"/>
  <c r="AM151" i="5"/>
  <c r="AN150" i="5"/>
  <c r="AP150" i="5" s="1"/>
  <c r="AM150" i="5"/>
  <c r="AQ150" i="5" s="1"/>
  <c r="C151" i="5" s="1"/>
  <c r="O151" i="5" s="1"/>
  <c r="AP151" i="5" l="1"/>
  <c r="AF152" i="5" s="1"/>
  <c r="AF153" i="5" s="1"/>
  <c r="AF154" i="5" s="1"/>
  <c r="AF155" i="5" s="1"/>
  <c r="AF156" i="5" s="1"/>
  <c r="AF157" i="5" s="1"/>
  <c r="AF158" i="5" s="1"/>
  <c r="AF159" i="5" s="1"/>
  <c r="AF160" i="5" s="1"/>
  <c r="AF161" i="5" s="1"/>
  <c r="AF162" i="5" s="1"/>
  <c r="AF163" i="5" s="1"/>
  <c r="AQ151" i="5"/>
  <c r="AE152" i="5" l="1"/>
  <c r="AE153" i="5" s="1"/>
  <c r="C17" i="5"/>
  <c r="C33" i="5" s="1"/>
  <c r="C152" i="5"/>
  <c r="O152" i="5" s="1"/>
  <c r="AG152" i="5" l="1"/>
  <c r="AH152" i="5" s="1"/>
  <c r="AJ152" i="5" s="1"/>
  <c r="AE154" i="5"/>
  <c r="AL153" i="5"/>
  <c r="AG153" i="5" l="1"/>
  <c r="AE155" i="5"/>
  <c r="AL154" i="5"/>
  <c r="AG154" i="5"/>
  <c r="AH153" i="5"/>
  <c r="AJ153" i="5" s="1"/>
  <c r="AN152" i="5"/>
  <c r="AP152" i="5" s="1"/>
  <c r="AL152" i="5"/>
  <c r="AM152" i="5" s="1"/>
  <c r="AQ152" i="5" s="1"/>
  <c r="C153" i="5" s="1"/>
  <c r="O153" i="5" s="1"/>
  <c r="AN153" i="5" l="1"/>
  <c r="AP153" i="5" s="1"/>
  <c r="AM153" i="5"/>
  <c r="AQ153" i="5" s="1"/>
  <c r="C154" i="5" s="1"/>
  <c r="O154" i="5" s="1"/>
  <c r="AH154" i="5"/>
  <c r="AJ154" i="5" s="1"/>
  <c r="AG155" i="5"/>
  <c r="AE156" i="5"/>
  <c r="AL155" i="5"/>
  <c r="AE157" i="5" l="1"/>
  <c r="AL156" i="5"/>
  <c r="AN154" i="5"/>
  <c r="AP154" i="5" s="1"/>
  <c r="AM154" i="5"/>
  <c r="AQ154" i="5" s="1"/>
  <c r="C155" i="5" s="1"/>
  <c r="O155" i="5" s="1"/>
  <c r="AG156" i="5"/>
  <c r="AH155" i="5"/>
  <c r="AJ155" i="5" s="1"/>
  <c r="AG157" i="5" l="1"/>
  <c r="AH156" i="5"/>
  <c r="AJ156" i="5" s="1"/>
  <c r="AN155" i="5"/>
  <c r="AP155" i="5" s="1"/>
  <c r="AM155" i="5"/>
  <c r="AQ155" i="5" s="1"/>
  <c r="C156" i="5" s="1"/>
  <c r="O156" i="5" s="1"/>
  <c r="AE158" i="5"/>
  <c r="AL157" i="5"/>
  <c r="AE159" i="5" l="1"/>
  <c r="AL158" i="5"/>
  <c r="AN156" i="5"/>
  <c r="AP156" i="5" s="1"/>
  <c r="AM156" i="5"/>
  <c r="AQ156" i="5" s="1"/>
  <c r="C157" i="5" s="1"/>
  <c r="O157" i="5" s="1"/>
  <c r="AG158" i="5"/>
  <c r="AH157" i="5"/>
  <c r="AJ157" i="5" s="1"/>
  <c r="AG159" i="5" l="1"/>
  <c r="AH158" i="5"/>
  <c r="AJ158" i="5" s="1"/>
  <c r="AE160" i="5"/>
  <c r="AL159" i="5"/>
  <c r="AN157" i="5"/>
  <c r="AP157" i="5" s="1"/>
  <c r="AM157" i="5"/>
  <c r="AQ157" i="5" s="1"/>
  <c r="C158" i="5" s="1"/>
  <c r="O158" i="5" s="1"/>
  <c r="AH159" i="5" l="1"/>
  <c r="AJ159" i="5" s="1"/>
  <c r="AG160" i="5"/>
  <c r="AE161" i="5"/>
  <c r="AL160" i="5"/>
  <c r="AN158" i="5"/>
  <c r="AP158" i="5" s="1"/>
  <c r="AM158" i="5"/>
  <c r="AQ158" i="5" s="1"/>
  <c r="C159" i="5" s="1"/>
  <c r="O159" i="5" s="1"/>
  <c r="AN159" i="5" l="1"/>
  <c r="AP159" i="5" s="1"/>
  <c r="AM159" i="5"/>
  <c r="AQ159" i="5" s="1"/>
  <c r="C160" i="5" s="1"/>
  <c r="O160" i="5" s="1"/>
  <c r="AE162" i="5"/>
  <c r="AL161" i="5"/>
  <c r="AH160" i="5"/>
  <c r="AJ160" i="5" s="1"/>
  <c r="AG161" i="5"/>
  <c r="AG162" i="5" l="1"/>
  <c r="AH161" i="5"/>
  <c r="AJ161" i="5" s="1"/>
  <c r="AN160" i="5"/>
  <c r="AP160" i="5" s="1"/>
  <c r="AM160" i="5"/>
  <c r="AQ160" i="5" s="1"/>
  <c r="C161" i="5" s="1"/>
  <c r="O161" i="5" s="1"/>
  <c r="AE163" i="5"/>
  <c r="AL162" i="5"/>
  <c r="AG163" i="5" l="1"/>
  <c r="AH163" i="5" s="1"/>
  <c r="AJ163" i="5" s="1"/>
  <c r="AH162" i="5"/>
  <c r="AJ162" i="5" s="1"/>
  <c r="AN161" i="5"/>
  <c r="AP161" i="5" s="1"/>
  <c r="AM161" i="5"/>
  <c r="AQ161" i="5" s="1"/>
  <c r="C162" i="5" s="1"/>
  <c r="O162" i="5" s="1"/>
  <c r="AN163" i="5" l="1"/>
  <c r="AM163" i="5"/>
  <c r="AN162" i="5"/>
  <c r="AP162" i="5" s="1"/>
  <c r="AM162" i="5"/>
  <c r="AQ162" i="5" s="1"/>
  <c r="C163" i="5" s="1"/>
  <c r="O163" i="5" s="1"/>
  <c r="AP163" i="5" l="1"/>
  <c r="AE164" i="5" s="1"/>
  <c r="AQ163" i="5"/>
  <c r="AF164" i="5" l="1"/>
  <c r="AF165" i="5" s="1"/>
  <c r="AF166" i="5" s="1"/>
  <c r="AF167" i="5" s="1"/>
  <c r="AF168" i="5" s="1"/>
  <c r="AF169" i="5" s="1"/>
  <c r="AF170" i="5" s="1"/>
  <c r="AF171" i="5" s="1"/>
  <c r="AF172" i="5" s="1"/>
  <c r="AF173" i="5" s="1"/>
  <c r="AF174" i="5" s="1"/>
  <c r="AF175" i="5" s="1"/>
  <c r="AE165" i="5"/>
  <c r="AG164" i="5"/>
  <c r="C164" i="5"/>
  <c r="O164" i="5" s="1"/>
  <c r="C18" i="5"/>
  <c r="C34" i="5" s="1"/>
  <c r="AH164" i="5" l="1"/>
  <c r="AJ164" i="5" s="1"/>
  <c r="AG165" i="5"/>
  <c r="AE166" i="5"/>
  <c r="AL165" i="5"/>
  <c r="AH165" i="5" l="1"/>
  <c r="AJ165" i="5" s="1"/>
  <c r="AG166" i="5"/>
  <c r="AE167" i="5"/>
  <c r="AL166" i="5"/>
  <c r="AN164" i="5"/>
  <c r="AP164" i="5" s="1"/>
  <c r="AL164" i="5"/>
  <c r="AM164" i="5" s="1"/>
  <c r="AQ164" i="5" s="1"/>
  <c r="C165" i="5" s="1"/>
  <c r="O165" i="5" s="1"/>
  <c r="AG167" i="5" l="1"/>
  <c r="AH166" i="5"/>
  <c r="AJ166" i="5" s="1"/>
  <c r="AE168" i="5"/>
  <c r="AL167" i="5"/>
  <c r="AN165" i="5"/>
  <c r="AP165" i="5" s="1"/>
  <c r="AM165" i="5"/>
  <c r="AQ165" i="5" s="1"/>
  <c r="C166" i="5" s="1"/>
  <c r="O166" i="5" s="1"/>
  <c r="AE169" i="5" l="1"/>
  <c r="AL168" i="5"/>
  <c r="AN166" i="5"/>
  <c r="AP166" i="5" s="1"/>
  <c r="AM166" i="5"/>
  <c r="AQ166" i="5" s="1"/>
  <c r="C167" i="5" s="1"/>
  <c r="O167" i="5" s="1"/>
  <c r="AG168" i="5"/>
  <c r="AH167" i="5"/>
  <c r="AJ167" i="5" s="1"/>
  <c r="AN167" i="5" l="1"/>
  <c r="AP167" i="5" s="1"/>
  <c r="AM167" i="5"/>
  <c r="AQ167" i="5" s="1"/>
  <c r="C168" i="5" s="1"/>
  <c r="O168" i="5" s="1"/>
  <c r="AG169" i="5"/>
  <c r="AH168" i="5"/>
  <c r="AJ168" i="5" s="1"/>
  <c r="AE170" i="5"/>
  <c r="AL169" i="5"/>
  <c r="AN168" i="5" l="1"/>
  <c r="AP168" i="5" s="1"/>
  <c r="AM168" i="5"/>
  <c r="AQ168" i="5" s="1"/>
  <c r="C169" i="5" s="1"/>
  <c r="O169" i="5" s="1"/>
  <c r="AH169" i="5"/>
  <c r="AJ169" i="5" s="1"/>
  <c r="AG170" i="5"/>
  <c r="AE171" i="5"/>
  <c r="AL170" i="5"/>
  <c r="AE172" i="5" l="1"/>
  <c r="AL171" i="5"/>
  <c r="AG171" i="5"/>
  <c r="AH170" i="5"/>
  <c r="AJ170" i="5" s="1"/>
  <c r="AN169" i="5"/>
  <c r="AP169" i="5" s="1"/>
  <c r="AM169" i="5"/>
  <c r="AQ169" i="5" s="1"/>
  <c r="C170" i="5" s="1"/>
  <c r="O170" i="5" s="1"/>
  <c r="AN170" i="5" l="1"/>
  <c r="AP170" i="5" s="1"/>
  <c r="AM170" i="5"/>
  <c r="AQ170" i="5" s="1"/>
  <c r="C171" i="5" s="1"/>
  <c r="O171" i="5" s="1"/>
  <c r="AG172" i="5"/>
  <c r="AH171" i="5"/>
  <c r="AJ171" i="5" s="1"/>
  <c r="AE173" i="5"/>
  <c r="AL172" i="5"/>
  <c r="AE174" i="5" l="1"/>
  <c r="AL173" i="5"/>
  <c r="AG173" i="5"/>
  <c r="AH172" i="5"/>
  <c r="AJ172" i="5" s="1"/>
  <c r="AN171" i="5"/>
  <c r="AP171" i="5" s="1"/>
  <c r="AM171" i="5"/>
  <c r="AQ171" i="5" s="1"/>
  <c r="C172" i="5" s="1"/>
  <c r="O172" i="5" s="1"/>
  <c r="AG174" i="5" l="1"/>
  <c r="AH173" i="5"/>
  <c r="AJ173" i="5" s="1"/>
  <c r="AN172" i="5"/>
  <c r="AP172" i="5" s="1"/>
  <c r="AM172" i="5"/>
  <c r="AQ172" i="5" s="1"/>
  <c r="C173" i="5" s="1"/>
  <c r="O173" i="5" s="1"/>
  <c r="AE175" i="5"/>
  <c r="AL174" i="5"/>
  <c r="AN173" i="5" l="1"/>
  <c r="AP173" i="5" s="1"/>
  <c r="AM173" i="5"/>
  <c r="AQ173" i="5" s="1"/>
  <c r="C174" i="5" s="1"/>
  <c r="O174" i="5" s="1"/>
  <c r="AH174" i="5"/>
  <c r="AJ174" i="5" s="1"/>
  <c r="AG175" i="5"/>
  <c r="AH175" i="5" s="1"/>
  <c r="AJ175" i="5" s="1"/>
  <c r="AN175" i="5" l="1"/>
  <c r="AM175" i="5"/>
  <c r="AN174" i="5"/>
  <c r="AP174" i="5" s="1"/>
  <c r="AM174" i="5"/>
  <c r="AQ174" i="5" s="1"/>
  <c r="C175" i="5" s="1"/>
  <c r="O175" i="5" s="1"/>
  <c r="AP175" i="5" l="1"/>
  <c r="AF176" i="5" s="1"/>
  <c r="AF177" i="5" s="1"/>
  <c r="AF178" i="5" s="1"/>
  <c r="AF179" i="5" s="1"/>
  <c r="AF180" i="5" s="1"/>
  <c r="AF181" i="5" s="1"/>
  <c r="AF182" i="5" s="1"/>
  <c r="AF183" i="5" s="1"/>
  <c r="AF184" i="5" s="1"/>
  <c r="AF185" i="5" s="1"/>
  <c r="AF186" i="5" s="1"/>
  <c r="AF187" i="5" s="1"/>
  <c r="AQ175" i="5"/>
  <c r="AE176" i="5" l="1"/>
  <c r="AE177" i="5" s="1"/>
  <c r="C176" i="5"/>
  <c r="O176" i="5" s="1"/>
  <c r="C19" i="5"/>
  <c r="C35" i="5" s="1"/>
  <c r="AG176" i="5" l="1"/>
  <c r="AH176" i="5" s="1"/>
  <c r="AJ176" i="5" s="1"/>
  <c r="AE178" i="5"/>
  <c r="AL177" i="5"/>
  <c r="AG177" i="5" l="1"/>
  <c r="AN176" i="5"/>
  <c r="AP176" i="5" s="1"/>
  <c r="AL176" i="5"/>
  <c r="AM176" i="5" s="1"/>
  <c r="AQ176" i="5" s="1"/>
  <c r="C177" i="5" s="1"/>
  <c r="O177" i="5" s="1"/>
  <c r="AE179" i="5"/>
  <c r="AL178" i="5"/>
  <c r="AH177" i="5"/>
  <c r="AJ177" i="5" s="1"/>
  <c r="AG178" i="5"/>
  <c r="AN177" i="5" l="1"/>
  <c r="AP177" i="5" s="1"/>
  <c r="AM177" i="5"/>
  <c r="AQ177" i="5" s="1"/>
  <c r="C178" i="5" s="1"/>
  <c r="O178" i="5" s="1"/>
  <c r="AG179" i="5"/>
  <c r="AH178" i="5"/>
  <c r="AJ178" i="5" s="1"/>
  <c r="AE180" i="5"/>
  <c r="AL179" i="5"/>
  <c r="AE181" i="5" l="1"/>
  <c r="AL180" i="5"/>
  <c r="AH179" i="5"/>
  <c r="AJ179" i="5" s="1"/>
  <c r="AG180" i="5"/>
  <c r="AN178" i="5"/>
  <c r="AP178" i="5" s="1"/>
  <c r="AM178" i="5"/>
  <c r="AQ178" i="5" s="1"/>
  <c r="C179" i="5" s="1"/>
  <c r="O179" i="5" s="1"/>
  <c r="AH180" i="5" l="1"/>
  <c r="AJ180" i="5" s="1"/>
  <c r="AG181" i="5"/>
  <c r="AN179" i="5"/>
  <c r="AP179" i="5" s="1"/>
  <c r="AM179" i="5"/>
  <c r="AQ179" i="5" s="1"/>
  <c r="C180" i="5" s="1"/>
  <c r="O180" i="5" s="1"/>
  <c r="AE182" i="5"/>
  <c r="AL181" i="5"/>
  <c r="AE183" i="5" l="1"/>
  <c r="AL182" i="5"/>
  <c r="AN180" i="5"/>
  <c r="AP180" i="5" s="1"/>
  <c r="AM180" i="5"/>
  <c r="AQ180" i="5" s="1"/>
  <c r="C181" i="5" s="1"/>
  <c r="O181" i="5" s="1"/>
  <c r="AH181" i="5"/>
  <c r="AJ181" i="5" s="1"/>
  <c r="AG182" i="5"/>
  <c r="AG183" i="5" l="1"/>
  <c r="AH182" i="5"/>
  <c r="AJ182" i="5" s="1"/>
  <c r="AN181" i="5"/>
  <c r="AP181" i="5" s="1"/>
  <c r="AM181" i="5"/>
  <c r="AQ181" i="5" s="1"/>
  <c r="C182" i="5" s="1"/>
  <c r="O182" i="5" s="1"/>
  <c r="AE184" i="5"/>
  <c r="AL183" i="5"/>
  <c r="AE185" i="5" l="1"/>
  <c r="AL184" i="5"/>
  <c r="AG184" i="5"/>
  <c r="AH183" i="5"/>
  <c r="AJ183" i="5" s="1"/>
  <c r="AN182" i="5"/>
  <c r="AP182" i="5" s="1"/>
  <c r="AM182" i="5"/>
  <c r="AQ182" i="5" s="1"/>
  <c r="C183" i="5" s="1"/>
  <c r="O183" i="5" s="1"/>
  <c r="AN183" i="5" l="1"/>
  <c r="AP183" i="5" s="1"/>
  <c r="AM183" i="5"/>
  <c r="AQ183" i="5" s="1"/>
  <c r="C184" i="5" s="1"/>
  <c r="O184" i="5" s="1"/>
  <c r="AH184" i="5"/>
  <c r="AJ184" i="5" s="1"/>
  <c r="AG185" i="5"/>
  <c r="AE186" i="5"/>
  <c r="AL185" i="5"/>
  <c r="AN184" i="5" l="1"/>
  <c r="AP184" i="5" s="1"/>
  <c r="AM184" i="5"/>
  <c r="AQ184" i="5" s="1"/>
  <c r="C185" i="5" s="1"/>
  <c r="O185" i="5" s="1"/>
  <c r="AG186" i="5"/>
  <c r="AH185" i="5"/>
  <c r="AJ185" i="5" s="1"/>
  <c r="AE187" i="5"/>
  <c r="AL186" i="5"/>
  <c r="AG187" i="5" l="1"/>
  <c r="AH187" i="5" s="1"/>
  <c r="AJ187" i="5" s="1"/>
  <c r="AM187" i="5" s="1"/>
  <c r="AH186" i="5"/>
  <c r="AJ186" i="5" s="1"/>
  <c r="AN185" i="5"/>
  <c r="AP185" i="5" s="1"/>
  <c r="AM185" i="5"/>
  <c r="AQ185" i="5" s="1"/>
  <c r="C186" i="5" s="1"/>
  <c r="O186" i="5" s="1"/>
  <c r="AN186" i="5" l="1"/>
  <c r="AP186" i="5" s="1"/>
  <c r="AP187" i="5" s="1"/>
  <c r="AM186" i="5"/>
  <c r="AQ186" i="5" s="1"/>
  <c r="C187" i="5" s="1"/>
  <c r="O187" i="5" s="1"/>
  <c r="AQ187" i="5" l="1"/>
  <c r="C20" i="5" l="1"/>
  <c r="C36" i="5" s="1"/>
  <c r="C188" i="5"/>
  <c r="O188" i="5" s="1"/>
</calcChain>
</file>

<file path=xl/sharedStrings.xml><?xml version="1.0" encoding="utf-8"?>
<sst xmlns="http://schemas.openxmlformats.org/spreadsheetml/2006/main" count="358" uniqueCount="131">
  <si>
    <t>COI</t>
  </si>
  <si>
    <t>EDO</t>
  </si>
  <si>
    <t>ROS</t>
  </si>
  <si>
    <t>ROD</t>
  </si>
  <si>
    <t>Cena zamiany</t>
  </si>
  <si>
    <t>-</t>
  </si>
  <si>
    <t>inflacja</t>
  </si>
  <si>
    <t>rok</t>
  </si>
  <si>
    <t>zapadalność</t>
  </si>
  <si>
    <t>na konto
z końcem 
miesiąca</t>
  </si>
  <si>
    <t>saldo konta
z końcem
miesiąca</t>
  </si>
  <si>
    <t>belka</t>
  </si>
  <si>
    <t>inflacja dla 
obligacji
indeksowanych</t>
  </si>
  <si>
    <t>miesiąc</t>
  </si>
  <si>
    <t>wartość nominalna</t>
  </si>
  <si>
    <t>podstawa 
kapitalizacji</t>
  </si>
  <si>
    <t>kara za
wcześniejszy
wykup</t>
  </si>
  <si>
    <t>oprocento-
wanie</t>
  </si>
  <si>
    <t>wartość
brutto
koniec  
miesiąca</t>
  </si>
  <si>
    <t>wykup z 
końcem 
miesiąca</t>
  </si>
  <si>
    <t>wynik końcowy
wykup z 
końcem 
miesiąca</t>
  </si>
  <si>
    <t>FV wpłaty
skumulowana inflacja</t>
  </si>
  <si>
    <t>na konto z 
końcem miesiąca
jeśli nie wypłacę!</t>
  </si>
  <si>
    <t>cena zakupu</t>
  </si>
  <si>
    <t>x</t>
  </si>
  <si>
    <t>liczba obligacji</t>
  </si>
  <si>
    <t>LATA KALENDARZOWE</t>
  </si>
  <si>
    <t>WSKAŹNIK DO WYLICZENIA OPŁATY</t>
  </si>
  <si>
    <t>wartość
obligacji 
1 rok</t>
  </si>
  <si>
    <t>dodatkowe
obligacje 
1 rok</t>
  </si>
  <si>
    <t>dodatkowe
obligacje 
2 rok</t>
  </si>
  <si>
    <t>dodatkowe
obligacje 
3 rok</t>
  </si>
  <si>
    <t>dodatkowe
obligacje 
4 rok</t>
  </si>
  <si>
    <t>wartość
obligacji 
2-4 rok</t>
  </si>
  <si>
    <t>wartość brutto
koniec miesiąca
1 rok</t>
  </si>
  <si>
    <t>wartość brutto
koniec miesiąca
2-4 rok</t>
  </si>
  <si>
    <t>na subkonto konto z 
końcem miesiąca
jeśli nie wypłacę!</t>
  </si>
  <si>
    <t>kara za
wcześniejszy
wykup 1 rok</t>
  </si>
  <si>
    <t>kara za
wcześniejszy
wykup 2-4 rok</t>
  </si>
  <si>
    <t>zostało</t>
  </si>
  <si>
    <t>kup obligacje 
w cenie zamiany</t>
  </si>
  <si>
    <t>na subkonto konto z 
końcem miesiąca
jeśli nie wypłacę!
Główne</t>
  </si>
  <si>
    <t>saldo brutto
TOTAL</t>
  </si>
  <si>
    <t>kara za wykup</t>
  </si>
  <si>
    <t>opłata</t>
  </si>
  <si>
    <t>suma
opłat</t>
  </si>
  <si>
    <t>saldo
pośrednie</t>
  </si>
  <si>
    <t>wynik końcowy
wykup z preferencją za
IKE</t>
  </si>
  <si>
    <t>saldo subkonta
z końcem
miesiąca</t>
  </si>
  <si>
    <t>na sub konto
z końcem 
miesiąca</t>
  </si>
  <si>
    <t>COI wiek 
emerytalny</t>
  </si>
  <si>
    <t>EDO wiek 
emerytalny</t>
  </si>
  <si>
    <t>skumulowana
inflacja</t>
  </si>
  <si>
    <t>← Nic nie wpisuj, policzy się samo jako iloczyn liczby obligacji i wartości jednej obligacji (100 zł).</t>
  </si>
  <si>
    <t>COI (4-latki)</t>
  </si>
  <si>
    <t>EDO (10-latki)</t>
  </si>
  <si>
    <t>ROS (6-latki)</t>
  </si>
  <si>
    <t xml:space="preserve">ROD (12-latki) </t>
  </si>
  <si>
    <t>COI, obligacje 4 letnie</t>
  </si>
  <si>
    <t>EDO - obligacje 10 letnie</t>
  </si>
  <si>
    <t>ROS - obligacje 6 letnie</t>
  </si>
  <si>
    <t>ROD - obligacje 12 letnie</t>
  </si>
  <si>
    <t>Wartości nominalne obligacji "opakowanych" w IKE, na koniec roku</t>
  </si>
  <si>
    <t>oprocentowanie
konta</t>
  </si>
  <si>
    <t>start</t>
  </si>
  <si>
    <t>konto
oszczędn.</t>
  </si>
  <si>
    <t>Nominalna skumulowana stopa zwrotu na koniec każdego roku
(dla porównania wykres skumulowanej inflacji)</t>
  </si>
  <si>
    <t>Kwota wpłacona powiększona o INFLACJĘ</t>
  </si>
  <si>
    <t>Konto
oszczędnościowe</t>
  </si>
  <si>
    <t>Zapadalność
m-c</t>
  </si>
  <si>
    <t>Wypłata
odsetek
co ile mc</t>
  </si>
  <si>
    <t>Kapitalizacja odsetek co  ile miesięcy</t>
  </si>
  <si>
    <t>Koszt
wcześniejszego
wykupu (za szt.)</t>
  </si>
  <si>
    <t>← Nic nie wpisuj.</t>
  </si>
  <si>
    <t>COI,  gdy nie spełniam warunków</t>
  </si>
  <si>
    <t>COI, gdy spełniam warunki IKE</t>
  </si>
  <si>
    <t>EDO, gdy nie spełniam warunków</t>
  </si>
  <si>
    <t>EDO, gdy spełniam warunki IKE</t>
  </si>
  <si>
    <t>kup  nowe obligacje 
po 100</t>
  </si>
  <si>
    <t>ROR</t>
  </si>
  <si>
    <t>DOS</t>
  </si>
  <si>
    <t>stopa NBP</t>
  </si>
  <si>
    <t>WIBOR6M</t>
  </si>
  <si>
    <t>Co ile m-c zmiana oprocentowania</t>
  </si>
  <si>
    <t>W jaki sposób chcesz ustalić poziom wskażników?</t>
  </si>
  <si>
    <t>Wskażnik
indeksacji
obligacji</t>
  </si>
  <si>
    <t>stopa referencyjna 
NBP</t>
  </si>
  <si>
    <t>+ MARŻA</t>
  </si>
  <si>
    <t>ROR, obligacje roczne</t>
  </si>
  <si>
    <t>ROR (roczne)</t>
  </si>
  <si>
    <t>koszty IKE Obligacje</t>
  </si>
  <si>
    <t>← Tu wpisz wysokość wskaźników w każdym z 12 lat, jeśli uważasz, że ich wartości będą różne w poszczególnych latach.</t>
  </si>
  <si>
    <t>WIBOR 6M</t>
  </si>
  <si>
    <t>Stopa referencyjna NBP</t>
  </si>
  <si>
    <t>Inflacja</t>
  </si>
  <si>
    <t>Rodzaj Obligacji:</t>
  </si>
  <si>
    <t>DOR (2-latki)</t>
  </si>
  <si>
    <t>DOR, obligacje 2 letnie</t>
  </si>
  <si>
    <t>tu wpisz miesiąc, który Cię interesuje↓</t>
  </si>
  <si>
    <t>% dla pierwszego okresu odsetkowego, w skali roku</t>
  </si>
  <si>
    <t>Ochrona
wartości 
nominalnej przy wcześniejszym wykupie
(ile miesięcy)</t>
  </si>
  <si>
    <t>pełny okres</t>
  </si>
  <si>
    <t>KONTO 
OSZCZĘDNOŚCIOWE</t>
  </si>
  <si>
    <t>TOS (3-latki)</t>
  </si>
  <si>
    <t>TOS, gdy spełniam warunki IKE</t>
  </si>
  <si>
    <t>TOS,  gdy nie spełniam warunków</t>
  </si>
  <si>
    <t>TOS wiek 
emerytalny</t>
  </si>
  <si>
    <t>TOS</t>
  </si>
  <si>
    <t>TOS, obligacje 3 letnie</t>
  </si>
  <si>
    <t>LATA</t>
  </si>
  <si>
    <r>
      <t xml:space="preserve">Tu znajdziesz </t>
    </r>
    <r>
      <rPr>
        <b/>
        <sz val="18"/>
        <color rgb="FF0070C0"/>
        <rFont val="Calibri  "/>
        <charset val="238"/>
      </rPr>
      <t>wartości nominalne obligacji</t>
    </r>
    <r>
      <rPr>
        <b/>
        <sz val="18"/>
        <color theme="1"/>
        <rFont val="Calibri  "/>
        <charset val="238"/>
      </rPr>
      <t xml:space="preserve"> na koniec każdego roku oszczędzania</t>
    </r>
  </si>
  <si>
    <t>Wpłata powiększona o INFLACJĘ</t>
  </si>
  <si>
    <t>wpłata</t>
  </si>
  <si>
    <t>Wartość nominalna obligacji na koniec wybranego miesiąca</t>
  </si>
  <si>
    <t xml:space="preserve">Nominalna skumulowana stopa zwrotu na koniec każdego roku
</t>
  </si>
  <si>
    <t>Skumulowana INFLACJA</t>
  </si>
  <si>
    <t>Lokata</t>
  </si>
  <si>
    <r>
      <t xml:space="preserve">Tu znajdziesz </t>
    </r>
    <r>
      <rPr>
        <b/>
        <sz val="18"/>
        <color rgb="FF0070C0"/>
        <rFont val="Calibri  "/>
        <charset val="238"/>
      </rPr>
      <t>wartości nominalne obligacji</t>
    </r>
    <r>
      <rPr>
        <b/>
        <sz val="18"/>
        <color theme="1"/>
        <rFont val="Calibri  "/>
        <charset val="238"/>
      </rPr>
      <t xml:space="preserve"> na koniec każdego miesiąca oszczędzania</t>
    </r>
  </si>
  <si>
    <t>WARTOŚCI NOMINALNE OBLIGACJI NA KONIEC MIESIĘCY</t>
  </si>
  <si>
    <r>
      <t xml:space="preserve">Tu znajdziesz </t>
    </r>
    <r>
      <rPr>
        <b/>
        <sz val="18"/>
        <color rgb="FF0070C0"/>
        <rFont val="Calibri  "/>
        <charset val="238"/>
      </rPr>
      <t>SKUMULOWANE STOPY ZWROTU Z OBLIGACJI</t>
    </r>
    <r>
      <rPr>
        <b/>
        <sz val="18"/>
        <color theme="1"/>
        <rFont val="Calibri  "/>
        <charset val="238"/>
      </rPr>
      <t xml:space="preserve"> na koniec każdego miesiąca oszczędzania</t>
    </r>
  </si>
  <si>
    <t>← tu wybierz z listy, czy zakładasz ten sam poziom wskaźników, w każdym z 12 lat (wybierz wówczas: "chcę taki sam w każdym roku"), czy też zakładasz różne poziomy wskaźników w każdym roku (wybierz wówczas "chcę sam ustawić każdy rok").</t>
  </si>
  <si>
    <t>Tu wpisz liczbę obligacji, które zamierzasz kupić. wartość nominalna jednej obligacji równa się 100 zł.</t>
  </si>
  <si>
    <t>TEN EKRAN SŁUŻY WPISANIU TWOICH ZAŁOŻEŃ - WPISZ JE TYLKO W POLA ZAZNACZONE ŻÓŁTYM KOLOREM</t>
  </si>
  <si>
    <t>Wartość zakupu (1 obligacja = 100 zł)</t>
  </si>
  <si>
    <t>Podatek od zysków kapitałowych (podatek "Belki")</t>
  </si>
  <si>
    <t>ZAŁOŻENIA DOTYCZĄCE INFLACJI I STÓP PROCENTOWYCH</t>
  </si>
  <si>
    <t>← Tu wpisz wysokość wskaźnikaów w skali jednego roku (np. 8%), jeśli zakładasz, że ich poziomy będą takie same w każdym z 12 lat.</t>
  </si>
  <si>
    <t>DANE O KOSZTACH PROWADZENIA KONTA IKE OBLIGACJE</t>
  </si>
  <si>
    <t>DANE O OPROCENTOWANIU OBLIGACJI, ZASADACH WYKUPU, ZAMIANY, KAPITALIZACJI</t>
  </si>
  <si>
    <t>chcę taki sam w kazdym roku</t>
  </si>
  <si>
    <r>
      <t xml:space="preserve">wpisz miesiąc, który Cię interesuje (wpisz numer tego miesiąca np. 40) </t>
    </r>
    <r>
      <rPr>
        <b/>
        <sz val="12"/>
        <color theme="1"/>
        <rFont val="Garamond"/>
        <family val="1"/>
        <charset val="238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</si>
</sst>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\ &quot;zł&quot;"/>
    <numFmt numFmtId="165" formatCode="#,##0\ &quot;zł&quot;"/>
    <numFmt numFmtId="166" formatCode="0.0%"/>
    <numFmt numFmtId="167" formatCode="0&quot; szt&quot;"/>
    <numFmt numFmtId="168" formatCode="0&quot; rok&quot;"/>
    <numFmt numFmtId="169" formatCode="&quot;koniec &quot;General&quot; roku&quot;"/>
    <numFmt numFmtId="170" formatCode="0&quot; miesiąc&quot;"/>
    <numFmt numFmtId="171" formatCode="&quot;koniec &quot;General&quot; mies.&quot;"/>
    <numFmt numFmtId="172" formatCode="\ General&quot; mies.&quot;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  "/>
      <charset val="238"/>
    </font>
    <font>
      <b/>
      <sz val="11"/>
      <color theme="1"/>
      <name val="Calibri  "/>
      <charset val="238"/>
    </font>
    <font>
      <sz val="16"/>
      <color theme="1"/>
      <name val="Calibri  "/>
      <charset val="238"/>
    </font>
    <font>
      <b/>
      <sz val="14"/>
      <color theme="1"/>
      <name val="Calibri  "/>
      <charset val="238"/>
    </font>
    <font>
      <b/>
      <sz val="22"/>
      <color theme="1"/>
      <name val="Calibri  "/>
      <charset val="238"/>
    </font>
    <font>
      <b/>
      <sz val="11"/>
      <color theme="0"/>
      <name val="Calibri  "/>
      <charset val="238"/>
    </font>
    <font>
      <b/>
      <sz val="12"/>
      <color theme="1"/>
      <name val="Calibri  "/>
      <charset val="238"/>
    </font>
    <font>
      <sz val="11"/>
      <color theme="0"/>
      <name val="Calibri"/>
      <family val="2"/>
      <charset val="238"/>
      <scheme val="minor"/>
    </font>
    <font>
      <b/>
      <i/>
      <sz val="12"/>
      <color theme="1"/>
      <name val="Calibri  "/>
      <charset val="238"/>
    </font>
    <font>
      <sz val="12"/>
      <color theme="1"/>
      <name val="Calibri  "/>
      <charset val="238"/>
    </font>
    <font>
      <b/>
      <sz val="14"/>
      <name val="Calibri  "/>
      <charset val="238"/>
    </font>
    <font>
      <b/>
      <sz val="11"/>
      <name val="Calibri  "/>
      <charset val="238"/>
    </font>
    <font>
      <b/>
      <sz val="18"/>
      <color theme="1"/>
      <name val="Calibri  "/>
      <charset val="238"/>
    </font>
    <font>
      <b/>
      <sz val="18"/>
      <color rgb="FF0070C0"/>
      <name val="Calibri  "/>
      <charset val="238"/>
    </font>
    <font>
      <b/>
      <sz val="12"/>
      <color theme="0"/>
      <name val="Calibri  "/>
      <charset val="238"/>
    </font>
    <font>
      <b/>
      <i/>
      <sz val="11"/>
      <color theme="0"/>
      <name val="Calibri  "/>
      <charset val="238"/>
    </font>
    <font>
      <sz val="11"/>
      <name val="Calibri  "/>
      <charset val="238"/>
    </font>
    <font>
      <b/>
      <sz val="12"/>
      <name val="Calibri  "/>
      <charset val="238"/>
    </font>
    <font>
      <b/>
      <sz val="12"/>
      <color rgb="FFC00000"/>
      <name val="Calibri  "/>
      <charset val="238"/>
    </font>
    <font>
      <u/>
      <sz val="12"/>
      <color theme="10"/>
      <name val="Calibri  "/>
      <charset val="238"/>
    </font>
    <font>
      <sz val="12"/>
      <color rgb="FFFF0000"/>
      <name val="Calibri  "/>
      <charset val="238"/>
    </font>
    <font>
      <b/>
      <sz val="12"/>
      <color theme="8" tint="-0.499984740745262"/>
      <name val="Calibri  "/>
      <charset val="238"/>
    </font>
    <font>
      <u/>
      <sz val="11"/>
      <color theme="1"/>
      <name val="Poppins"/>
      <charset val="238"/>
    </font>
    <font>
      <sz val="18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b/>
      <sz val="36"/>
      <color theme="1"/>
      <name val="Calibri  "/>
      <charset val="238"/>
    </font>
    <font>
      <u/>
      <sz val="14"/>
      <color theme="1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60D7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136834"/>
        <bgColor indexed="64"/>
      </patternFill>
    </fill>
    <fill>
      <patternFill patternType="solid">
        <fgColor rgb="FF646FB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3" borderId="1" xfId="0" applyFill="1" applyBorder="1"/>
    <xf numFmtId="9" fontId="0" fillId="0" borderId="1" xfId="1" applyFont="1" applyBorder="1"/>
    <xf numFmtId="3" fontId="0" fillId="0" borderId="1" xfId="0" applyNumberFormat="1" applyBorder="1"/>
    <xf numFmtId="0" fontId="0" fillId="2" borderId="3" xfId="0" applyFill="1" applyBorder="1" applyAlignment="1">
      <alignment wrapText="1"/>
    </xf>
    <xf numFmtId="9" fontId="0" fillId="2" borderId="3" xfId="1" applyFont="1" applyFill="1" applyBorder="1"/>
    <xf numFmtId="10" fontId="0" fillId="0" borderId="1" xfId="1" applyNumberFormat="1" applyFont="1" applyBorder="1"/>
    <xf numFmtId="0" fontId="0" fillId="5" borderId="1" xfId="0" applyFill="1" applyBorder="1"/>
    <xf numFmtId="164" fontId="0" fillId="3" borderId="1" xfId="0" applyNumberFormat="1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0" xfId="0" applyFill="1"/>
    <xf numFmtId="164" fontId="0" fillId="6" borderId="0" xfId="0" applyNumberFormat="1" applyFill="1"/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4" fillId="13" borderId="0" xfId="0" applyFont="1" applyFill="1"/>
    <xf numFmtId="0" fontId="4" fillId="6" borderId="0" xfId="0" applyFont="1" applyFill="1"/>
    <xf numFmtId="0" fontId="8" fillId="6" borderId="0" xfId="0" applyFont="1" applyFill="1"/>
    <xf numFmtId="0" fontId="4" fillId="6" borderId="1" xfId="0" applyFont="1" applyFill="1" applyBorder="1"/>
    <xf numFmtId="169" fontId="4" fillId="6" borderId="6" xfId="0" applyNumberFormat="1" applyFont="1" applyFill="1" applyBorder="1" applyAlignment="1">
      <alignment horizontal="left"/>
    </xf>
    <xf numFmtId="164" fontId="4" fillId="6" borderId="4" xfId="0" applyNumberFormat="1" applyFont="1" applyFill="1" applyBorder="1"/>
    <xf numFmtId="166" fontId="4" fillId="6" borderId="1" xfId="1" applyNumberFormat="1" applyFont="1" applyFill="1" applyBorder="1"/>
    <xf numFmtId="166" fontId="4" fillId="6" borderId="4" xfId="1" applyNumberFormat="1" applyFont="1" applyFill="1" applyBorder="1"/>
    <xf numFmtId="166" fontId="4" fillId="6" borderId="7" xfId="1" applyNumberFormat="1" applyFont="1" applyFill="1" applyBorder="1"/>
    <xf numFmtId="169" fontId="4" fillId="6" borderId="8" xfId="0" applyNumberFormat="1" applyFont="1" applyFill="1" applyBorder="1" applyAlignment="1">
      <alignment horizontal="left"/>
    </xf>
    <xf numFmtId="166" fontId="4" fillId="6" borderId="9" xfId="1" applyNumberFormat="1" applyFont="1" applyFill="1" applyBorder="1"/>
    <xf numFmtId="166" fontId="4" fillId="6" borderId="10" xfId="1" applyNumberFormat="1" applyFont="1" applyFill="1" applyBorder="1"/>
    <xf numFmtId="166" fontId="4" fillId="6" borderId="11" xfId="1" applyNumberFormat="1" applyFont="1" applyFill="1" applyBorder="1"/>
    <xf numFmtId="0" fontId="4" fillId="6" borderId="4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7" fillId="13" borderId="0" xfId="0" applyFont="1" applyFill="1" applyAlignment="1">
      <alignment horizontal="center"/>
    </xf>
    <xf numFmtId="0" fontId="9" fillId="13" borderId="0" xfId="0" applyFont="1" applyFill="1" applyAlignment="1">
      <alignment horizontal="center" vertical="center" wrapText="1"/>
    </xf>
    <xf numFmtId="166" fontId="4" fillId="13" borderId="0" xfId="1" applyNumberFormat="1" applyFont="1" applyFill="1" applyBorder="1"/>
    <xf numFmtId="0" fontId="4" fillId="6" borderId="16" xfId="0" applyFont="1" applyFill="1" applyBorder="1"/>
    <xf numFmtId="0" fontId="9" fillId="9" borderId="18" xfId="0" applyFont="1" applyFill="1" applyBorder="1" applyAlignment="1">
      <alignment horizontal="center" vertical="center" wrapText="1"/>
    </xf>
    <xf numFmtId="171" fontId="10" fillId="4" borderId="19" xfId="0" applyNumberFormat="1" applyFont="1" applyFill="1" applyBorder="1" applyAlignment="1">
      <alignment horizontal="left"/>
    </xf>
    <xf numFmtId="166" fontId="4" fillId="6" borderId="20" xfId="1" applyNumberFormat="1" applyFont="1" applyFill="1" applyBorder="1"/>
    <xf numFmtId="166" fontId="4" fillId="6" borderId="21" xfId="1" applyNumberFormat="1" applyFont="1" applyFill="1" applyBorder="1"/>
    <xf numFmtId="0" fontId="9" fillId="10" borderId="17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164" fontId="0" fillId="0" borderId="7" xfId="0" applyNumberFormat="1" applyBorder="1"/>
    <xf numFmtId="0" fontId="0" fillId="13" borderId="0" xfId="0" applyFill="1"/>
    <xf numFmtId="0" fontId="9" fillId="15" borderId="17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171" fontId="10" fillId="16" borderId="19" xfId="0" applyNumberFormat="1" applyFont="1" applyFill="1" applyBorder="1" applyAlignment="1">
      <alignment horizontal="left"/>
    </xf>
    <xf numFmtId="0" fontId="6" fillId="13" borderId="0" xfId="0" applyFont="1" applyFill="1" applyAlignment="1">
      <alignment horizontal="center"/>
    </xf>
    <xf numFmtId="0" fontId="4" fillId="6" borderId="22" xfId="0" applyFont="1" applyFill="1" applyBorder="1"/>
    <xf numFmtId="164" fontId="4" fillId="6" borderId="24" xfId="0" applyNumberFormat="1" applyFont="1" applyFill="1" applyBorder="1"/>
    <xf numFmtId="166" fontId="4" fillId="6" borderId="24" xfId="1" applyNumberFormat="1" applyFont="1" applyFill="1" applyBorder="1"/>
    <xf numFmtId="166" fontId="4" fillId="6" borderId="25" xfId="1" applyNumberFormat="1" applyFont="1" applyFill="1" applyBorder="1"/>
    <xf numFmtId="0" fontId="4" fillId="6" borderId="1" xfId="0" applyFont="1" applyFill="1" applyBorder="1" applyAlignment="1">
      <alignment horizontal="center" wrapText="1"/>
    </xf>
    <xf numFmtId="0" fontId="9" fillId="17" borderId="23" xfId="0" applyFont="1" applyFill="1" applyBorder="1" applyAlignment="1">
      <alignment horizontal="center" vertical="center" wrapText="1"/>
    </xf>
    <xf numFmtId="169" fontId="4" fillId="6" borderId="30" xfId="0" applyNumberFormat="1" applyFont="1" applyFill="1" applyBorder="1" applyAlignment="1">
      <alignment horizontal="left"/>
    </xf>
    <xf numFmtId="164" fontId="4" fillId="6" borderId="5" xfId="0" applyNumberFormat="1" applyFont="1" applyFill="1" applyBorder="1"/>
    <xf numFmtId="0" fontId="9" fillId="18" borderId="17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/>
    </xf>
    <xf numFmtId="0" fontId="9" fillId="19" borderId="17" xfId="0" applyFont="1" applyFill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31" xfId="0" applyNumberFormat="1" applyBorder="1"/>
    <xf numFmtId="164" fontId="4" fillId="13" borderId="0" xfId="0" applyNumberFormat="1" applyFont="1" applyFill="1"/>
    <xf numFmtId="0" fontId="5" fillId="13" borderId="0" xfId="0" applyFont="1" applyFill="1" applyAlignment="1">
      <alignment wrapText="1"/>
    </xf>
    <xf numFmtId="0" fontId="15" fillId="22" borderId="17" xfId="0" applyFont="1" applyFill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8" fillId="13" borderId="0" xfId="0" applyFont="1" applyFill="1"/>
    <xf numFmtId="0" fontId="16" fillId="13" borderId="0" xfId="0" applyFont="1" applyFill="1" applyAlignment="1">
      <alignment horizontal="center"/>
    </xf>
    <xf numFmtId="0" fontId="4" fillId="13" borderId="0" xfId="0" applyFont="1" applyFill="1" applyAlignment="1">
      <alignment horizontal="center" vertical="center" wrapText="1"/>
    </xf>
    <xf numFmtId="9" fontId="4" fillId="13" borderId="0" xfId="1" applyFont="1" applyFill="1"/>
    <xf numFmtId="166" fontId="4" fillId="13" borderId="0" xfId="0" applyNumberFormat="1" applyFont="1" applyFill="1"/>
    <xf numFmtId="2" fontId="4" fillId="13" borderId="0" xfId="0" applyNumberFormat="1" applyFont="1" applyFill="1"/>
    <xf numFmtId="0" fontId="13" fillId="6" borderId="0" xfId="0" applyFont="1" applyFill="1"/>
    <xf numFmtId="0" fontId="13" fillId="6" borderId="0" xfId="0" applyFont="1" applyFill="1" applyAlignment="1">
      <alignment vertical="top" wrapText="1"/>
    </xf>
    <xf numFmtId="0" fontId="10" fillId="6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right" vertical="top" wrapText="1"/>
    </xf>
    <xf numFmtId="0" fontId="23" fillId="6" borderId="0" xfId="2" applyFont="1" applyFill="1"/>
    <xf numFmtId="0" fontId="10" fillId="6" borderId="16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10" fontId="13" fillId="6" borderId="7" xfId="0" applyNumberFormat="1" applyFont="1" applyFill="1" applyBorder="1"/>
    <xf numFmtId="10" fontId="13" fillId="6" borderId="11" xfId="0" applyNumberFormat="1" applyFont="1" applyFill="1" applyBorder="1"/>
    <xf numFmtId="0" fontId="24" fillId="6" borderId="0" xfId="0" applyFont="1" applyFill="1"/>
    <xf numFmtId="165" fontId="13" fillId="7" borderId="33" xfId="0" applyNumberFormat="1" applyFont="1" applyFill="1" applyBorder="1" applyAlignment="1">
      <alignment vertical="center"/>
    </xf>
    <xf numFmtId="0" fontId="10" fillId="6" borderId="33" xfId="0" applyFont="1" applyFill="1" applyBorder="1" applyAlignment="1">
      <alignment vertical="center" wrapText="1"/>
    </xf>
    <xf numFmtId="9" fontId="13" fillId="7" borderId="33" xfId="0" applyNumberFormat="1" applyFont="1" applyFill="1" applyBorder="1" applyAlignment="1">
      <alignment vertical="center"/>
    </xf>
    <xf numFmtId="0" fontId="10" fillId="6" borderId="34" xfId="0" applyFont="1" applyFill="1" applyBorder="1" applyAlignment="1">
      <alignment vertical="center" wrapText="1"/>
    </xf>
    <xf numFmtId="0" fontId="21" fillId="6" borderId="33" xfId="0" applyFont="1" applyFill="1" applyBorder="1" applyAlignment="1">
      <alignment horizontal="center" vertical="center" wrapText="1"/>
    </xf>
    <xf numFmtId="0" fontId="21" fillId="6" borderId="33" xfId="0" quotePrefix="1" applyFont="1" applyFill="1" applyBorder="1" applyAlignment="1">
      <alignment horizontal="center" vertical="center" wrapText="1"/>
    </xf>
    <xf numFmtId="0" fontId="10" fillId="19" borderId="33" xfId="0" applyFont="1" applyFill="1" applyBorder="1" applyAlignment="1">
      <alignment horizontal="center" vertical="center" wrapText="1"/>
    </xf>
    <xf numFmtId="0" fontId="13" fillId="6" borderId="33" xfId="0" applyFont="1" applyFill="1" applyBorder="1"/>
    <xf numFmtId="10" fontId="10" fillId="6" borderId="33" xfId="0" applyNumberFormat="1" applyFont="1" applyFill="1" applyBorder="1"/>
    <xf numFmtId="0" fontId="13" fillId="6" borderId="33" xfId="0" applyFont="1" applyFill="1" applyBorder="1" applyAlignment="1">
      <alignment horizontal="center" vertical="center" wrapText="1"/>
    </xf>
    <xf numFmtId="164" fontId="13" fillId="6" borderId="33" xfId="0" applyNumberFormat="1" applyFont="1" applyFill="1" applyBorder="1"/>
    <xf numFmtId="0" fontId="18" fillId="20" borderId="33" xfId="0" applyFont="1" applyFill="1" applyBorder="1" applyAlignment="1">
      <alignment horizontal="center" vertical="center" wrapText="1"/>
    </xf>
    <xf numFmtId="0" fontId="18" fillId="21" borderId="33" xfId="0" applyFont="1" applyFill="1" applyBorder="1" applyAlignment="1">
      <alignment horizontal="center" vertical="center" wrapText="1"/>
    </xf>
    <xf numFmtId="0" fontId="18" fillId="10" borderId="33" xfId="0" applyFont="1" applyFill="1" applyBorder="1" applyAlignment="1">
      <alignment horizontal="center" vertical="center" wrapText="1"/>
    </xf>
    <xf numFmtId="0" fontId="18" fillId="8" borderId="33" xfId="0" applyFont="1" applyFill="1" applyBorder="1" applyAlignment="1">
      <alignment horizontal="center" vertical="center" wrapText="1"/>
    </xf>
    <xf numFmtId="10" fontId="13" fillId="6" borderId="33" xfId="0" applyNumberFormat="1" applyFont="1" applyFill="1" applyBorder="1"/>
    <xf numFmtId="0" fontId="18" fillId="12" borderId="33" xfId="0" applyFont="1" applyFill="1" applyBorder="1" applyAlignment="1">
      <alignment horizontal="center" vertical="center" wrapText="1"/>
    </xf>
    <xf numFmtId="0" fontId="18" fillId="11" borderId="33" xfId="0" applyFont="1" applyFill="1" applyBorder="1" applyAlignment="1">
      <alignment horizontal="center" vertical="center" wrapText="1"/>
    </xf>
    <xf numFmtId="10" fontId="10" fillId="6" borderId="36" xfId="0" applyNumberFormat="1" applyFont="1" applyFill="1" applyBorder="1"/>
    <xf numFmtId="10" fontId="10" fillId="6" borderId="37" xfId="0" applyNumberFormat="1" applyFont="1" applyFill="1" applyBorder="1"/>
    <xf numFmtId="0" fontId="10" fillId="19" borderId="33" xfId="0" applyFont="1" applyFill="1" applyBorder="1" applyAlignment="1">
      <alignment horizontal="left" vertical="center" wrapText="1"/>
    </xf>
    <xf numFmtId="0" fontId="18" fillId="20" borderId="33" xfId="0" applyFont="1" applyFill="1" applyBorder="1" applyAlignment="1">
      <alignment horizontal="left" vertical="center" wrapText="1"/>
    </xf>
    <xf numFmtId="0" fontId="18" fillId="21" borderId="33" xfId="0" applyFont="1" applyFill="1" applyBorder="1" applyAlignment="1">
      <alignment horizontal="left" vertical="center" wrapText="1"/>
    </xf>
    <xf numFmtId="0" fontId="18" fillId="10" borderId="33" xfId="0" applyFont="1" applyFill="1" applyBorder="1" applyAlignment="1">
      <alignment horizontal="left" vertical="center" wrapText="1"/>
    </xf>
    <xf numFmtId="0" fontId="18" fillId="8" borderId="33" xfId="0" applyFont="1" applyFill="1" applyBorder="1" applyAlignment="1">
      <alignment horizontal="left" vertical="center" wrapText="1"/>
    </xf>
    <xf numFmtId="0" fontId="18" fillId="12" borderId="33" xfId="0" applyFont="1" applyFill="1" applyBorder="1" applyAlignment="1">
      <alignment horizontal="left" vertical="center" wrapText="1"/>
    </xf>
    <xf numFmtId="0" fontId="18" fillId="11" borderId="33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/>
    </xf>
    <xf numFmtId="0" fontId="13" fillId="6" borderId="8" xfId="0" applyFont="1" applyFill="1" applyBorder="1" applyAlignment="1">
      <alignment horizontal="left"/>
    </xf>
    <xf numFmtId="0" fontId="25" fillId="6" borderId="0" xfId="0" applyFont="1" applyFill="1"/>
    <xf numFmtId="0" fontId="13" fillId="6" borderId="39" xfId="0" applyFont="1" applyFill="1" applyBorder="1"/>
    <xf numFmtId="167" fontId="10" fillId="26" borderId="33" xfId="0" applyNumberFormat="1" applyFont="1" applyFill="1" applyBorder="1" applyAlignment="1">
      <alignment vertical="center"/>
    </xf>
    <xf numFmtId="0" fontId="13" fillId="26" borderId="0" xfId="0" applyFont="1" applyFill="1"/>
    <xf numFmtId="0" fontId="22" fillId="26" borderId="0" xfId="0" applyFont="1" applyFill="1" applyAlignment="1">
      <alignment vertical="center"/>
    </xf>
    <xf numFmtId="0" fontId="9" fillId="19" borderId="33" xfId="0" applyFont="1" applyFill="1" applyBorder="1" applyAlignment="1">
      <alignment horizontal="center" vertical="center" wrapText="1"/>
    </xf>
    <xf numFmtId="0" fontId="9" fillId="9" borderId="33" xfId="0" applyFont="1" applyFill="1" applyBorder="1" applyAlignment="1">
      <alignment horizontal="center" vertical="center" wrapText="1"/>
    </xf>
    <xf numFmtId="0" fontId="4" fillId="6" borderId="33" xfId="0" applyFont="1" applyFill="1" applyBorder="1"/>
    <xf numFmtId="9" fontId="4" fillId="6" borderId="33" xfId="1" applyFont="1" applyFill="1" applyBorder="1"/>
    <xf numFmtId="0" fontId="4" fillId="6" borderId="40" xfId="0" applyFont="1" applyFill="1" applyBorder="1" applyAlignment="1">
      <alignment wrapText="1"/>
    </xf>
    <xf numFmtId="3" fontId="4" fillId="6" borderId="33" xfId="0" applyNumberFormat="1" applyFont="1" applyFill="1" applyBorder="1"/>
    <xf numFmtId="164" fontId="4" fillId="6" borderId="33" xfId="0" applyNumberFormat="1" applyFont="1" applyFill="1" applyBorder="1"/>
    <xf numFmtId="9" fontId="4" fillId="6" borderId="40" xfId="1" applyFont="1" applyFill="1" applyBorder="1"/>
    <xf numFmtId="10" fontId="4" fillId="6" borderId="33" xfId="1" applyNumberFormat="1" applyFont="1" applyFill="1" applyBorder="1"/>
    <xf numFmtId="0" fontId="4" fillId="13" borderId="33" xfId="0" applyFont="1" applyFill="1" applyBorder="1"/>
    <xf numFmtId="164" fontId="4" fillId="13" borderId="33" xfId="0" applyNumberFormat="1" applyFont="1" applyFill="1" applyBorder="1"/>
    <xf numFmtId="10" fontId="4" fillId="13" borderId="33" xfId="1" applyNumberFormat="1" applyFont="1" applyFill="1" applyBorder="1"/>
    <xf numFmtId="0" fontId="9" fillId="20" borderId="33" xfId="0" applyFont="1" applyFill="1" applyBorder="1" applyAlignment="1">
      <alignment horizontal="center" vertical="center"/>
    </xf>
    <xf numFmtId="0" fontId="9" fillId="20" borderId="33" xfId="0" applyFont="1" applyFill="1" applyBorder="1" applyAlignment="1">
      <alignment horizontal="center" vertical="center" wrapText="1"/>
    </xf>
    <xf numFmtId="0" fontId="9" fillId="21" borderId="33" xfId="0" applyFont="1" applyFill="1" applyBorder="1" applyAlignment="1">
      <alignment horizontal="center" vertical="center"/>
    </xf>
    <xf numFmtId="0" fontId="9" fillId="21" borderId="33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 wrapText="1"/>
    </xf>
    <xf numFmtId="0" fontId="9" fillId="8" borderId="33" xfId="0" applyFont="1" applyFill="1" applyBorder="1" applyAlignment="1">
      <alignment horizontal="center" vertical="center"/>
    </xf>
    <xf numFmtId="3" fontId="4" fillId="13" borderId="33" xfId="0" applyNumberFormat="1" applyFont="1" applyFill="1" applyBorder="1"/>
    <xf numFmtId="0" fontId="9" fillId="12" borderId="33" xfId="0" applyFont="1" applyFill="1" applyBorder="1" applyAlignment="1">
      <alignment horizontal="center" vertical="center" wrapText="1"/>
    </xf>
    <xf numFmtId="0" fontId="9" fillId="12" borderId="33" xfId="0" applyFont="1" applyFill="1" applyBorder="1" applyAlignment="1">
      <alignment horizontal="center" vertical="center"/>
    </xf>
    <xf numFmtId="0" fontId="9" fillId="25" borderId="33" xfId="0" applyFont="1" applyFill="1" applyBorder="1" applyAlignment="1">
      <alignment horizontal="center" vertical="center" wrapText="1"/>
    </xf>
    <xf numFmtId="0" fontId="9" fillId="25" borderId="33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wrapText="1"/>
    </xf>
    <xf numFmtId="0" fontId="18" fillId="24" borderId="33" xfId="0" applyFont="1" applyFill="1" applyBorder="1" applyAlignment="1">
      <alignment horizontal="center" vertical="center" wrapText="1"/>
    </xf>
    <xf numFmtId="166" fontId="4" fillId="6" borderId="33" xfId="1" applyNumberFormat="1" applyFont="1" applyFill="1" applyBorder="1"/>
    <xf numFmtId="166" fontId="12" fillId="6" borderId="33" xfId="1" applyNumberFormat="1" applyFont="1" applyFill="1" applyBorder="1"/>
    <xf numFmtId="0" fontId="18" fillId="9" borderId="33" xfId="0" applyFont="1" applyFill="1" applyBorder="1" applyAlignment="1">
      <alignment horizontal="center" vertical="center" wrapText="1"/>
    </xf>
    <xf numFmtId="165" fontId="4" fillId="6" borderId="33" xfId="0" applyNumberFormat="1" applyFont="1" applyFill="1" applyBorder="1"/>
    <xf numFmtId="165" fontId="19" fillId="23" borderId="33" xfId="0" applyNumberFormat="1" applyFont="1" applyFill="1" applyBorder="1"/>
    <xf numFmtId="0" fontId="10" fillId="13" borderId="0" xfId="0" applyFont="1" applyFill="1" applyAlignment="1">
      <alignment wrapText="1"/>
    </xf>
    <xf numFmtId="0" fontId="4" fillId="7" borderId="0" xfId="0" applyFont="1" applyFill="1"/>
    <xf numFmtId="0" fontId="4" fillId="14" borderId="0" xfId="0" applyFont="1" applyFill="1"/>
    <xf numFmtId="0" fontId="10" fillId="19" borderId="42" xfId="0" applyFont="1" applyFill="1" applyBorder="1" applyAlignment="1">
      <alignment horizontal="center" vertical="center" wrapText="1"/>
    </xf>
    <xf numFmtId="0" fontId="18" fillId="20" borderId="41" xfId="0" applyFont="1" applyFill="1" applyBorder="1" applyAlignment="1">
      <alignment horizontal="center" vertical="center" wrapText="1"/>
    </xf>
    <xf numFmtId="0" fontId="18" fillId="21" borderId="4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18" fillId="8" borderId="41" xfId="0" applyFont="1" applyFill="1" applyBorder="1" applyAlignment="1">
      <alignment horizontal="center" vertical="center" wrapText="1"/>
    </xf>
    <xf numFmtId="0" fontId="18" fillId="12" borderId="41" xfId="0" applyFont="1" applyFill="1" applyBorder="1" applyAlignment="1">
      <alignment horizontal="center" vertical="center" wrapText="1"/>
    </xf>
    <xf numFmtId="0" fontId="18" fillId="11" borderId="41" xfId="0" applyFont="1" applyFill="1" applyBorder="1" applyAlignment="1">
      <alignment horizontal="center" vertical="center" wrapText="1"/>
    </xf>
    <xf numFmtId="0" fontId="18" fillId="24" borderId="41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/>
    </xf>
    <xf numFmtId="0" fontId="18" fillId="9" borderId="49" xfId="0" applyFont="1" applyFill="1" applyBorder="1" applyAlignment="1">
      <alignment horizontal="center" vertical="center" wrapText="1"/>
    </xf>
    <xf numFmtId="0" fontId="5" fillId="6" borderId="48" xfId="0" applyFont="1" applyFill="1" applyBorder="1"/>
    <xf numFmtId="165" fontId="20" fillId="6" borderId="49" xfId="0" applyNumberFormat="1" applyFont="1" applyFill="1" applyBorder="1"/>
    <xf numFmtId="169" fontId="5" fillId="6" borderId="48" xfId="0" applyNumberFormat="1" applyFont="1" applyFill="1" applyBorder="1" applyAlignment="1">
      <alignment horizontal="left"/>
    </xf>
    <xf numFmtId="169" fontId="19" fillId="23" borderId="48" xfId="0" applyNumberFormat="1" applyFont="1" applyFill="1" applyBorder="1" applyAlignment="1">
      <alignment horizontal="left"/>
    </xf>
    <xf numFmtId="165" fontId="19" fillId="23" borderId="49" xfId="0" applyNumberFormat="1" applyFont="1" applyFill="1" applyBorder="1"/>
    <xf numFmtId="165" fontId="4" fillId="6" borderId="49" xfId="0" applyNumberFormat="1" applyFont="1" applyFill="1" applyBorder="1"/>
    <xf numFmtId="169" fontId="5" fillId="6" borderId="50" xfId="0" applyNumberFormat="1" applyFont="1" applyFill="1" applyBorder="1" applyAlignment="1">
      <alignment horizontal="left"/>
    </xf>
    <xf numFmtId="165" fontId="4" fillId="6" borderId="51" xfId="0" applyNumberFormat="1" applyFont="1" applyFill="1" applyBorder="1"/>
    <xf numFmtId="165" fontId="4" fillId="6" borderId="52" xfId="0" applyNumberFormat="1" applyFont="1" applyFill="1" applyBorder="1"/>
    <xf numFmtId="0" fontId="9" fillId="9" borderId="49" xfId="0" applyFont="1" applyFill="1" applyBorder="1" applyAlignment="1">
      <alignment horizontal="center" vertical="center" wrapText="1"/>
    </xf>
    <xf numFmtId="0" fontId="4" fillId="6" borderId="48" xfId="0" applyFont="1" applyFill="1" applyBorder="1"/>
    <xf numFmtId="166" fontId="4" fillId="6" borderId="49" xfId="1" applyNumberFormat="1" applyFont="1" applyFill="1" applyBorder="1"/>
    <xf numFmtId="169" fontId="4" fillId="6" borderId="48" xfId="0" applyNumberFormat="1" applyFont="1" applyFill="1" applyBorder="1" applyAlignment="1">
      <alignment horizontal="left"/>
    </xf>
    <xf numFmtId="169" fontId="12" fillId="6" borderId="48" xfId="0" applyNumberFormat="1" applyFont="1" applyFill="1" applyBorder="1" applyAlignment="1">
      <alignment horizontal="left"/>
    </xf>
    <xf numFmtId="166" fontId="12" fillId="6" borderId="49" xfId="1" applyNumberFormat="1" applyFont="1" applyFill="1" applyBorder="1"/>
    <xf numFmtId="169" fontId="4" fillId="6" borderId="50" xfId="0" applyNumberFormat="1" applyFont="1" applyFill="1" applyBorder="1" applyAlignment="1">
      <alignment horizontal="left"/>
    </xf>
    <xf numFmtId="166" fontId="4" fillId="6" borderId="51" xfId="1" applyNumberFormat="1" applyFont="1" applyFill="1" applyBorder="1"/>
    <xf numFmtId="166" fontId="4" fillId="6" borderId="52" xfId="1" applyNumberFormat="1" applyFont="1" applyFill="1" applyBorder="1"/>
    <xf numFmtId="10" fontId="10" fillId="6" borderId="53" xfId="0" applyNumberFormat="1" applyFont="1" applyFill="1" applyBorder="1"/>
    <xf numFmtId="10" fontId="10" fillId="6" borderId="54" xfId="0" applyNumberFormat="1" applyFont="1" applyFill="1" applyBorder="1"/>
    <xf numFmtId="168" fontId="10" fillId="6" borderId="36" xfId="0" applyNumberFormat="1" applyFont="1" applyFill="1" applyBorder="1" applyAlignment="1">
      <alignment horizontal="left"/>
    </xf>
    <xf numFmtId="170" fontId="4" fillId="6" borderId="33" xfId="0" applyNumberFormat="1" applyFont="1" applyFill="1" applyBorder="1"/>
    <xf numFmtId="0" fontId="18" fillId="9" borderId="56" xfId="0" applyFont="1" applyFill="1" applyBorder="1" applyAlignment="1">
      <alignment horizontal="center" vertical="center" wrapText="1"/>
    </xf>
    <xf numFmtId="172" fontId="7" fillId="4" borderId="57" xfId="0" applyNumberFormat="1" applyFont="1" applyFill="1" applyBorder="1" applyAlignment="1">
      <alignment horizontal="left"/>
    </xf>
    <xf numFmtId="165" fontId="10" fillId="6" borderId="51" xfId="0" applyNumberFormat="1" applyFont="1" applyFill="1" applyBorder="1" applyAlignment="1">
      <alignment wrapText="1"/>
    </xf>
    <xf numFmtId="165" fontId="10" fillId="6" borderId="52" xfId="0" applyNumberFormat="1" applyFont="1" applyFill="1" applyBorder="1" applyAlignment="1">
      <alignment wrapText="1"/>
    </xf>
    <xf numFmtId="0" fontId="26" fillId="0" borderId="0" xfId="0" applyFont="1" applyAlignment="1">
      <alignment horizontal="left" vertical="center" indent="9"/>
    </xf>
    <xf numFmtId="0" fontId="14" fillId="26" borderId="37" xfId="0" applyFont="1" applyFill="1" applyBorder="1" applyAlignment="1">
      <alignment horizontal="center" vertical="center"/>
    </xf>
    <xf numFmtId="164" fontId="27" fillId="0" borderId="20" xfId="0" applyNumberFormat="1" applyFont="1" applyBorder="1"/>
    <xf numFmtId="164" fontId="27" fillId="0" borderId="21" xfId="0" applyNumberFormat="1" applyFont="1" applyBorder="1"/>
    <xf numFmtId="164" fontId="27" fillId="6" borderId="26" xfId="0" applyNumberFormat="1" applyFont="1" applyFill="1" applyBorder="1"/>
    <xf numFmtId="0" fontId="10" fillId="13" borderId="48" xfId="0" applyFont="1" applyFill="1" applyBorder="1" applyAlignment="1">
      <alignment wrapText="1"/>
    </xf>
    <xf numFmtId="0" fontId="29" fillId="6" borderId="0" xfId="0" applyFont="1" applyFill="1"/>
    <xf numFmtId="10" fontId="10" fillId="6" borderId="36" xfId="0" applyNumberFormat="1" applyFont="1" applyFill="1" applyBorder="1" applyAlignment="1">
      <alignment horizontal="left"/>
    </xf>
    <xf numFmtId="0" fontId="30" fillId="6" borderId="38" xfId="2" applyFont="1" applyFill="1" applyBorder="1" applyAlignment="1">
      <alignment horizontal="center" vertical="center" wrapText="1"/>
    </xf>
    <xf numFmtId="0" fontId="30" fillId="6" borderId="35" xfId="2" applyFont="1" applyFill="1" applyBorder="1" applyAlignment="1">
      <alignment horizontal="center" vertical="center" wrapText="1"/>
    </xf>
    <xf numFmtId="10" fontId="10" fillId="6" borderId="58" xfId="0" applyNumberFormat="1" applyFont="1" applyFill="1" applyBorder="1"/>
    <xf numFmtId="10" fontId="10" fillId="7" borderId="36" xfId="0" applyNumberFormat="1" applyFont="1" applyFill="1" applyBorder="1"/>
    <xf numFmtId="0" fontId="10" fillId="6" borderId="0" xfId="0" applyFont="1" applyFill="1" applyAlignment="1">
      <alignment horizontal="center" vertical="top" wrapText="1"/>
    </xf>
    <xf numFmtId="0" fontId="13" fillId="6" borderId="32" xfId="0" applyFont="1" applyFill="1" applyBorder="1" applyAlignment="1">
      <alignment horizontal="right" vertical="center" wrapText="1"/>
    </xf>
    <xf numFmtId="0" fontId="13" fillId="6" borderId="0" xfId="0" applyFont="1" applyFill="1" applyAlignment="1">
      <alignment horizontal="right" vertical="center" wrapText="1"/>
    </xf>
    <xf numFmtId="0" fontId="10" fillId="6" borderId="32" xfId="0" applyFont="1" applyFill="1" applyBorder="1" applyAlignment="1">
      <alignment horizontal="right" vertical="center" wrapText="1"/>
    </xf>
    <xf numFmtId="0" fontId="10" fillId="6" borderId="0" xfId="0" applyFont="1" applyFill="1" applyAlignment="1">
      <alignment horizontal="right" vertical="center" wrapText="1"/>
    </xf>
    <xf numFmtId="0" fontId="13" fillId="6" borderId="0" xfId="0" applyFont="1" applyFill="1" applyAlignment="1">
      <alignment horizontal="right" vertical="top" wrapText="1"/>
    </xf>
    <xf numFmtId="0" fontId="13" fillId="6" borderId="0" xfId="0" applyFont="1" applyFill="1" applyAlignment="1">
      <alignment horizontal="right" wrapText="1"/>
    </xf>
    <xf numFmtId="168" fontId="5" fillId="6" borderId="33" xfId="0" applyNumberFormat="1" applyFont="1" applyFill="1" applyBorder="1" applyAlignment="1">
      <alignment horizontal="center" vertical="center" textRotation="90"/>
    </xf>
    <xf numFmtId="0" fontId="16" fillId="6" borderId="27" xfId="0" applyFont="1" applyFill="1" applyBorder="1" applyAlignment="1">
      <alignment horizontal="center"/>
    </xf>
    <xf numFmtId="0" fontId="16" fillId="6" borderId="28" xfId="0" applyFont="1" applyFill="1" applyBorder="1" applyAlignment="1">
      <alignment horizontal="center"/>
    </xf>
    <xf numFmtId="0" fontId="16" fillId="6" borderId="29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6" fillId="6" borderId="46" xfId="0" applyFont="1" applyFill="1" applyBorder="1" applyAlignment="1">
      <alignment horizontal="center"/>
    </xf>
    <xf numFmtId="0" fontId="16" fillId="6" borderId="47" xfId="0" applyFont="1" applyFill="1" applyBorder="1" applyAlignment="1">
      <alignment horizontal="center"/>
    </xf>
    <xf numFmtId="0" fontId="16" fillId="13" borderId="55" xfId="0" applyFont="1" applyFill="1" applyBorder="1" applyAlignment="1">
      <alignment horizontal="center"/>
    </xf>
    <xf numFmtId="0" fontId="16" fillId="13" borderId="43" xfId="0" applyFont="1" applyFill="1" applyBorder="1" applyAlignment="1">
      <alignment horizontal="center"/>
    </xf>
    <xf numFmtId="0" fontId="16" fillId="13" borderId="44" xfId="0" applyFont="1" applyFill="1" applyBorder="1" applyAlignment="1">
      <alignment horizontal="center"/>
    </xf>
    <xf numFmtId="0" fontId="7" fillId="6" borderId="45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168" fontId="5" fillId="13" borderId="0" xfId="0" applyNumberFormat="1" applyFont="1" applyFill="1" applyAlignment="1">
      <alignment horizontal="center" vertical="center" textRotation="90"/>
    </xf>
    <xf numFmtId="0" fontId="16" fillId="6" borderId="33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68" fontId="5" fillId="6" borderId="2" xfId="0" applyNumberFormat="1" applyFont="1" applyFill="1" applyBorder="1" applyAlignment="1">
      <alignment horizontal="center" vertical="center" textRotation="90"/>
    </xf>
    <xf numFmtId="168" fontId="5" fillId="6" borderId="12" xfId="0" applyNumberFormat="1" applyFont="1" applyFill="1" applyBorder="1" applyAlignment="1">
      <alignment horizontal="center" vertical="center" textRotation="90"/>
    </xf>
    <xf numFmtId="168" fontId="5" fillId="6" borderId="4" xfId="0" applyNumberFormat="1" applyFont="1" applyFill="1" applyBorder="1" applyAlignment="1">
      <alignment horizontal="center" vertical="center" textRotation="90"/>
    </xf>
    <xf numFmtId="0" fontId="7" fillId="6" borderId="13" xfId="0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Procentowy" xfId="1" builtinId="5"/>
  </cellStyles>
  <dxfs count="4">
    <dxf>
      <font>
        <color auto="1"/>
      </font>
      <fill>
        <patternFill>
          <bgColor rgb="FFFFFFCC"/>
        </patternFill>
      </fill>
    </dxf>
    <dxf>
      <font>
        <color theme="0" tint="-4.9989318521683403E-2"/>
      </font>
      <fill>
        <patternFill>
          <bgColor theme="0" tint="-0.14996795556505021"/>
        </patternFill>
      </fill>
    </dxf>
    <dxf>
      <font>
        <color theme="0" tint="-4.9989318521683403E-2"/>
      </font>
      <fill>
        <patternFill patternType="solid">
          <bgColor theme="2"/>
        </patternFill>
      </fill>
    </dxf>
    <dxf>
      <font>
        <color theme="1"/>
      </font>
      <fill>
        <patternFill patternType="solid"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  <color rgb="FF9999FF"/>
      <color rgb="FF003399"/>
      <color rgb="FFFF99FF"/>
      <color rgb="FFFF9900"/>
      <color rgb="FFFF5050"/>
      <color rgb="FFFFFF00"/>
      <color rgb="FFCCCC00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800" b="1"/>
              <a:t>Nominalna skumulowana stopa zwrotu na koniec każdego roku</a:t>
            </a:r>
          </a:p>
        </c:rich>
      </c:tx>
      <c:layout>
        <c:manualLayout>
          <c:xMode val="edge"/>
          <c:yMode val="edge"/>
          <c:x val="0.11862523053270721"/>
          <c:y val="2.27569244605734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8331261861680693E-2"/>
          <c:y val="0.14012232759185531"/>
          <c:w val="0.85931895800095393"/>
          <c:h val="0.52498473486963559"/>
        </c:manualLayout>
      </c:layout>
      <c:scatterChart>
        <c:scatterStyle val="lineMarker"/>
        <c:varyColors val="0"/>
        <c:ser>
          <c:idx val="1"/>
          <c:order val="0"/>
          <c:tx>
            <c:strRef>
              <c:f>OBLIGACJE!$D$23</c:f>
              <c:strCache>
                <c:ptCount val="1"/>
                <c:pt idx="0">
                  <c:v>DOR (2-latki)</c:v>
                </c:pt>
              </c:strCache>
            </c:strRef>
          </c:tx>
          <c:spPr>
            <a:ln w="28575" cap="rnd">
              <a:solidFill>
                <a:srgbClr val="33CCFF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OBLIGACJE!$D$24:$D$34</c:f>
              <c:numCache>
                <c:formatCode>0.0%</c:formatCode>
                <c:ptCount val="11"/>
                <c:pt idx="0">
                  <c:v>0</c:v>
                </c:pt>
                <c:pt idx="1">
                  <c:v>2.6518954837448927E-2</c:v>
                </c:pt>
                <c:pt idx="2">
                  <c:v>6.515587066357531E-2</c:v>
                </c:pt>
                <c:pt idx="3">
                  <c:v>9.7513358026140251E-2</c:v>
                </c:pt>
                <c:pt idx="4">
                  <c:v>0.1388210853124423</c:v>
                </c:pt>
                <c:pt idx="5">
                  <c:v>0.17320515454839125</c:v>
                </c:pt>
                <c:pt idx="6">
                  <c:v>0.21735571610405158</c:v>
                </c:pt>
                <c:pt idx="7">
                  <c:v>0.25492270608000411</c:v>
                </c:pt>
                <c:pt idx="8">
                  <c:v>0.30215228256979532</c:v>
                </c:pt>
                <c:pt idx="9">
                  <c:v>0.34205076544124435</c:v>
                </c:pt>
                <c:pt idx="10">
                  <c:v>0.39256075458033468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36-4C7F-8F86-C57347C90C36}"/>
            </c:ext>
          </c:extLst>
        </c:ser>
        <c:ser>
          <c:idx val="0"/>
          <c:order val="1"/>
          <c:tx>
            <c:strRef>
              <c:f>OBLIGACJE!$C$23</c:f>
              <c:strCache>
                <c:ptCount val="1"/>
                <c:pt idx="0">
                  <c:v>ROR (roczne)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OBLIGACJE!$C$24:$C$34</c:f>
              <c:numCache>
                <c:formatCode>0.0%</c:formatCode>
                <c:ptCount val="11"/>
                <c:pt idx="0">
                  <c:v>0</c:v>
                </c:pt>
                <c:pt idx="1">
                  <c:v>3.0957584108848302E-2</c:v>
                </c:pt>
                <c:pt idx="2">
                  <c:v>6.7000143673990875E-2</c:v>
                </c:pt>
                <c:pt idx="3">
                  <c:v>0.10419484351065456</c:v>
                </c:pt>
                <c:pt idx="4">
                  <c:v>0.1425788213608663</c:v>
                </c:pt>
                <c:pt idx="5">
                  <c:v>0.18218862852246565</c:v>
                </c:pt>
                <c:pt idx="6">
                  <c:v>0.22409528831367886</c:v>
                </c:pt>
                <c:pt idx="7">
                  <c:v>0.26734161983263904</c:v>
                </c:pt>
                <c:pt idx="8">
                  <c:v>0.31197067805299938</c:v>
                </c:pt>
                <c:pt idx="9">
                  <c:v>0.35802613592846222</c:v>
                </c:pt>
                <c:pt idx="10">
                  <c:v>0.40555361149422775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36-4C7F-8F86-C57347C90C36}"/>
            </c:ext>
          </c:extLst>
        </c:ser>
        <c:ser>
          <c:idx val="4"/>
          <c:order val="2"/>
          <c:tx>
            <c:strRef>
              <c:f>OBLIGACJE!$E$23</c:f>
              <c:strCache>
                <c:ptCount val="1"/>
                <c:pt idx="0">
                  <c:v>TOS (3-latki)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OBLIGACJE!$E$24:$E$34</c:f>
              <c:numCache>
                <c:formatCode>0.0%</c:formatCode>
                <c:ptCount val="11"/>
                <c:pt idx="0">
                  <c:v>0</c:v>
                </c:pt>
                <c:pt idx="1">
                  <c:v>2.7539999999999898E-2</c:v>
                </c:pt>
                <c:pt idx="2">
                  <c:v>6.4748160000000166E-2</c:v>
                </c:pt>
                <c:pt idx="3">
                  <c:v>0.11169347904000015</c:v>
                </c:pt>
                <c:pt idx="4">
                  <c:v>0.14345376327949655</c:v>
                </c:pt>
                <c:pt idx="5">
                  <c:v>0.18485374492324302</c:v>
                </c:pt>
                <c:pt idx="6">
                  <c:v>0.23708217169371659</c:v>
                </c:pt>
                <c:pt idx="7">
                  <c:v>0.27242513703954807</c:v>
                </c:pt>
                <c:pt idx="8">
                  <c:v>0.31849176843530813</c:v>
                </c:pt>
                <c:pt idx="9">
                  <c:v>0.3766044517422551</c:v>
                </c:pt>
                <c:pt idx="10">
                  <c:v>0.41593401982957068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336-4C7F-8F86-C57347C90C36}"/>
            </c:ext>
          </c:extLst>
        </c:ser>
        <c:ser>
          <c:idx val="5"/>
          <c:order val="3"/>
          <c:tx>
            <c:strRef>
              <c:f>OBLIGACJE!$F$23</c:f>
              <c:strCache>
                <c:ptCount val="1"/>
                <c:pt idx="0">
                  <c:v>COI (4-latki)</c:v>
                </c:pt>
              </c:strCache>
            </c:strRef>
          </c:tx>
          <c:spPr>
            <a:ln w="31750" cap="rnd">
              <a:solidFill>
                <a:srgbClr val="136834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OBLIGACJE!$F$24:$F$34</c:f>
              <c:numCache>
                <c:formatCode>0.0%</c:formatCode>
                <c:ptCount val="11"/>
                <c:pt idx="0">
                  <c:v>0</c:v>
                </c:pt>
                <c:pt idx="1">
                  <c:v>2.2275000000000045E-2</c:v>
                </c:pt>
                <c:pt idx="2">
                  <c:v>6.0672047730790046E-2</c:v>
                </c:pt>
                <c:pt idx="3">
                  <c:v>0.10020383947694911</c:v>
                </c:pt>
                <c:pt idx="4">
                  <c:v>0.15710391021203685</c:v>
                </c:pt>
                <c:pt idx="5">
                  <c:v>0.18394055406998544</c:v>
                </c:pt>
                <c:pt idx="6">
                  <c:v>0.22840865314084291</c:v>
                </c:pt>
                <c:pt idx="7">
                  <c:v>0.27419091338495716</c:v>
                </c:pt>
                <c:pt idx="8">
                  <c:v>0.34008577207276214</c:v>
                </c:pt>
                <c:pt idx="9">
                  <c:v>0.37116705157132812</c:v>
                </c:pt>
                <c:pt idx="10">
                  <c:v>0.42266624840945766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336-4C7F-8F86-C57347C90C36}"/>
            </c:ext>
          </c:extLst>
        </c:ser>
        <c:ser>
          <c:idx val="2"/>
          <c:order val="4"/>
          <c:tx>
            <c:strRef>
              <c:f>OBLIGACJE!$G$23</c:f>
              <c:strCache>
                <c:ptCount val="1"/>
                <c:pt idx="0">
                  <c:v>EDO (10-latki)</c:v>
                </c:pt>
              </c:strCache>
            </c:strRef>
          </c:tx>
          <c:spPr>
            <a:ln w="31750" cap="rnd">
              <a:solidFill>
                <a:srgbClr val="860D71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spPr>
              <a:ln w="31750" cap="rnd">
                <a:solidFill>
                  <a:srgbClr val="9900CC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DF1-4B4C-BCB4-D59A39D160BF}"/>
              </c:ext>
            </c:extLst>
          </c:dPt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OBLIGACJE!$G$24:$G$34</c:f>
              <c:numCache>
                <c:formatCode>0.0%</c:formatCode>
                <c:ptCount val="11"/>
                <c:pt idx="0">
                  <c:v>0</c:v>
                </c:pt>
                <c:pt idx="1">
                  <c:v>1.9035000000000135E-2</c:v>
                </c:pt>
                <c:pt idx="2">
                  <c:v>6.2555085000000066E-2</c:v>
                </c:pt>
                <c:pt idx="3">
                  <c:v>0.10829469433500005</c:v>
                </c:pt>
                <c:pt idx="4">
                  <c:v>0.1563670237460848</c:v>
                </c:pt>
                <c:pt idx="5">
                  <c:v>0.20689104195713526</c:v>
                </c:pt>
                <c:pt idx="6">
                  <c:v>0.25999178509694909</c:v>
                </c:pt>
                <c:pt idx="7">
                  <c:v>0.31580066613689328</c:v>
                </c:pt>
                <c:pt idx="8">
                  <c:v>0.37445580010987478</c:v>
                </c:pt>
                <c:pt idx="9">
                  <c:v>0.43610234591547847</c:v>
                </c:pt>
                <c:pt idx="10">
                  <c:v>0.5251928655571676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5E-432F-8C5C-A05E1D4A1A60}"/>
            </c:ext>
          </c:extLst>
        </c:ser>
        <c:ser>
          <c:idx val="3"/>
          <c:order val="5"/>
          <c:tx>
            <c:strRef>
              <c:f>OBLIGACJE!$H$23</c:f>
              <c:strCache>
                <c:ptCount val="1"/>
                <c:pt idx="0">
                  <c:v>ROS (6-latki)</c:v>
                </c:pt>
              </c:strCache>
            </c:strRef>
          </c:tx>
          <c:spPr>
            <a:ln w="28575" cap="flat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OBLIGACJE!$H$24:$H$34</c:f>
              <c:numCache>
                <c:formatCode>0.0%</c:formatCode>
                <c:ptCount val="11"/>
                <c:pt idx="0">
                  <c:v>0</c:v>
                </c:pt>
                <c:pt idx="1">
                  <c:v>2.4299999999999988E-2</c:v>
                </c:pt>
                <c:pt idx="2">
                  <c:v>6.76755E-2</c:v>
                </c:pt>
                <c:pt idx="3">
                  <c:v>0.11326315049999991</c:v>
                </c:pt>
                <c:pt idx="4">
                  <c:v>0.16117577117549975</c:v>
                </c:pt>
                <c:pt idx="5">
                  <c:v>0.21153193550545013</c:v>
                </c:pt>
                <c:pt idx="6">
                  <c:v>0.28065626421622825</c:v>
                </c:pt>
                <c:pt idx="7">
                  <c:v>0.31177965872533409</c:v>
                </c:pt>
                <c:pt idx="8">
                  <c:v>0.36732026639838011</c:v>
                </c:pt>
                <c:pt idx="9">
                  <c:v>0.42569301681401961</c:v>
                </c:pt>
                <c:pt idx="10">
                  <c:v>0.48704233659613605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5E-432F-8C5C-A05E1D4A1A60}"/>
            </c:ext>
          </c:extLst>
        </c:ser>
        <c:ser>
          <c:idx val="6"/>
          <c:order val="6"/>
          <c:tx>
            <c:strRef>
              <c:f>OBLIGACJE!$I$23</c:f>
              <c:strCache>
                <c:ptCount val="1"/>
                <c:pt idx="0">
                  <c:v>ROD (12-latki) </c:v>
                </c:pt>
              </c:strCache>
            </c:strRef>
          </c:tx>
          <c:spPr>
            <a:ln w="28575" cap="rnd">
              <a:solidFill>
                <a:srgbClr val="9999FF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OBLIGACJE!$I$24:$I$34</c:f>
              <c:numCache>
                <c:formatCode>0.0%</c:formatCode>
                <c:ptCount val="11"/>
                <c:pt idx="0">
                  <c:v>0</c:v>
                </c:pt>
                <c:pt idx="1">
                  <c:v>2.1060000000000079E-2</c:v>
                </c:pt>
                <c:pt idx="2">
                  <c:v>6.8960160000000048E-2</c:v>
                </c:pt>
                <c:pt idx="3">
                  <c:v>0.11954272896000018</c:v>
                </c:pt>
                <c:pt idx="4">
                  <c:v>0.17295792178176028</c:v>
                </c:pt>
                <c:pt idx="5">
                  <c:v>0.22936436540153871</c:v>
                </c:pt>
                <c:pt idx="6">
                  <c:v>0.28892956986402507</c:v>
                </c:pt>
                <c:pt idx="7">
                  <c:v>0.35183042577641066</c:v>
                </c:pt>
                <c:pt idx="8">
                  <c:v>0.4182537296198896</c:v>
                </c:pt>
                <c:pt idx="9">
                  <c:v>0.48839673847860365</c:v>
                </c:pt>
                <c:pt idx="10">
                  <c:v>0.56246775583340547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45E-432F-8C5C-A05E1D4A1A60}"/>
            </c:ext>
          </c:extLst>
        </c:ser>
        <c:ser>
          <c:idx val="7"/>
          <c:order val="7"/>
          <c:tx>
            <c:strRef>
              <c:f>OBLIGACJE!$J$23</c:f>
              <c:strCache>
                <c:ptCount val="1"/>
                <c:pt idx="0">
                  <c:v>Lokata</c:v>
                </c:pt>
              </c:strCache>
            </c:strRef>
          </c:tx>
          <c:spPr>
            <a:ln w="38100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OBLIGACJE!$J$24:$J$34</c:f>
              <c:numCache>
                <c:formatCode>0.0%</c:formatCode>
                <c:ptCount val="11"/>
                <c:pt idx="0">
                  <c:v>0</c:v>
                </c:pt>
                <c:pt idx="1">
                  <c:v>2.9552897486418095E-2</c:v>
                </c:pt>
                <c:pt idx="2">
                  <c:v>5.9979168722678944E-2</c:v>
                </c:pt>
                <c:pt idx="3">
                  <c:v>9.1304624433678816E-2</c:v>
                </c:pt>
                <c:pt idx="4">
                  <c:v>0.12355583812602133</c:v>
                </c:pt>
                <c:pt idx="5">
                  <c:v>0.1567601686304263</c:v>
                </c:pt>
                <c:pt idx="6">
                  <c:v>0.19094578331033296</c:v>
                </c:pt>
                <c:pt idx="7">
                  <c:v>0.22614168195638529</c:v>
                </c:pt>
                <c:pt idx="8">
                  <c:v>0.26237772138706661</c:v>
                </c:pt>
                <c:pt idx="9">
                  <c:v>0.29968464077635648</c:v>
                </c:pt>
                <c:pt idx="10">
                  <c:v>0.33809408772989236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F1-4B4C-BCB4-D59A39D160BF}"/>
            </c:ext>
          </c:extLst>
        </c:ser>
        <c:ser>
          <c:idx val="8"/>
          <c:order val="8"/>
          <c:tx>
            <c:strRef>
              <c:f>OBLIGACJE!$K$23</c:f>
              <c:strCache>
                <c:ptCount val="1"/>
                <c:pt idx="0">
                  <c:v>Skumulowana INFLACJA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OBLIGACJE!$K$24:$K$34</c:f>
              <c:numCache>
                <c:formatCode>0.0%</c:formatCode>
                <c:ptCount val="11"/>
                <c:pt idx="0">
                  <c:v>0</c:v>
                </c:pt>
                <c:pt idx="1">
                  <c:v>3.0999999999999917E-2</c:v>
                </c:pt>
                <c:pt idx="2">
                  <c:v>6.2960999999999823E-2</c:v>
                </c:pt>
                <c:pt idx="3">
                  <c:v>9.591279099999972E-2</c:v>
                </c:pt>
                <c:pt idx="4">
                  <c:v>0.12988608752099973</c:v>
                </c:pt>
                <c:pt idx="5">
                  <c:v>0.16491255623415069</c:v>
                </c:pt>
                <c:pt idx="6">
                  <c:v>0.20102484547740929</c:v>
                </c:pt>
                <c:pt idx="7">
                  <c:v>0.23825661568720879</c:v>
                </c:pt>
                <c:pt idx="8">
                  <c:v>0.27664257077351206</c:v>
                </c:pt>
                <c:pt idx="9">
                  <c:v>0.31621849046749073</c:v>
                </c:pt>
                <c:pt idx="10">
                  <c:v>0.35702126367198272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DF1-4B4C-BCB4-D59A39D16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25839"/>
        <c:axId val="143248303"/>
      </c:scatterChart>
      <c:valAx>
        <c:axId val="143225839"/>
        <c:scaling>
          <c:orientation val="minMax"/>
          <c:max val="10"/>
        </c:scaling>
        <c:delete val="0"/>
        <c:axPos val="b"/>
        <c:numFmt formatCode="General&quot; rok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3248303"/>
        <c:crosses val="autoZero"/>
        <c:crossBetween val="midCat"/>
        <c:majorUnit val="1"/>
        <c:minorUnit val="1"/>
      </c:valAx>
      <c:valAx>
        <c:axId val="143248303"/>
        <c:scaling>
          <c:orientation val="minMax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3225839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4040796295599227E-2"/>
          <c:y val="0.75035106402871676"/>
          <c:w val="0.83511413233906961"/>
          <c:h val="0.24964893597128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 sz="2000" b="1">
                <a:solidFill>
                  <a:schemeClr val="tx1"/>
                </a:solidFill>
              </a:rPr>
              <a:t>Wartości nominalne obligacji na koniec każdego roku oszczędzania</a:t>
            </a:r>
          </a:p>
        </c:rich>
      </c:tx>
      <c:layout>
        <c:manualLayout>
          <c:xMode val="edge"/>
          <c:yMode val="edge"/>
          <c:x val="0.11971914800589922"/>
          <c:y val="2.7867322480264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578459589371435"/>
          <c:y val="0.14553409327982805"/>
          <c:w val="0.86995344277276743"/>
          <c:h val="0.50305533797804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OBLIGACJE!$C$7</c:f>
              <c:strCache>
                <c:ptCount val="1"/>
                <c:pt idx="0">
                  <c:v>ROR (roczne)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OBLIGACJE!$C$8:$C$18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103095.75841088484</c:v>
                </c:pt>
                <c:pt idx="2">
                  <c:v>106700.01436739908</c:v>
                </c:pt>
                <c:pt idx="3">
                  <c:v>110419.48435106546</c:v>
                </c:pt>
                <c:pt idx="4">
                  <c:v>114257.88213608663</c:v>
                </c:pt>
                <c:pt idx="5">
                  <c:v>118218.86285224656</c:v>
                </c:pt>
                <c:pt idx="6">
                  <c:v>122409.52883136789</c:v>
                </c:pt>
                <c:pt idx="7">
                  <c:v>126734.1619832639</c:v>
                </c:pt>
                <c:pt idx="8">
                  <c:v>131197.06780529994</c:v>
                </c:pt>
                <c:pt idx="9">
                  <c:v>135802.61359284623</c:v>
                </c:pt>
                <c:pt idx="10">
                  <c:v>140555.36114942277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9-465B-9C1B-48094DA13D00}"/>
            </c:ext>
          </c:extLst>
        </c:ser>
        <c:ser>
          <c:idx val="3"/>
          <c:order val="1"/>
          <c:tx>
            <c:strRef>
              <c:f>OBLIGACJE!$D$7</c:f>
              <c:strCache>
                <c:ptCount val="1"/>
                <c:pt idx="0">
                  <c:v>DOR (2-latki)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OBLIGACJE!$D$8:$D$18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102651.8954837449</c:v>
                </c:pt>
                <c:pt idx="2">
                  <c:v>106515.58706635753</c:v>
                </c:pt>
                <c:pt idx="3">
                  <c:v>109751.33580261402</c:v>
                </c:pt>
                <c:pt idx="4">
                  <c:v>113882.10853124423</c:v>
                </c:pt>
                <c:pt idx="5">
                  <c:v>117320.51545483913</c:v>
                </c:pt>
                <c:pt idx="6">
                  <c:v>121735.57161040515</c:v>
                </c:pt>
                <c:pt idx="7">
                  <c:v>125492.27060800041</c:v>
                </c:pt>
                <c:pt idx="8">
                  <c:v>130215.22825697954</c:v>
                </c:pt>
                <c:pt idx="9">
                  <c:v>134205.07654412443</c:v>
                </c:pt>
                <c:pt idx="10">
                  <c:v>139256.07545803348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09-465B-9C1B-48094DA13D00}"/>
            </c:ext>
          </c:extLst>
        </c:ser>
        <c:ser>
          <c:idx val="4"/>
          <c:order val="2"/>
          <c:tx>
            <c:strRef>
              <c:f>OBLIGACJE!$E$7</c:f>
              <c:strCache>
                <c:ptCount val="1"/>
                <c:pt idx="0">
                  <c:v>TOS (3-latki)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OBLIGACJE!$E$8:$E$18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102754</c:v>
                </c:pt>
                <c:pt idx="2">
                  <c:v>106474.81600000001</c:v>
                </c:pt>
                <c:pt idx="3">
                  <c:v>111169.34790400001</c:v>
                </c:pt>
                <c:pt idx="4">
                  <c:v>114345.37632794966</c:v>
                </c:pt>
                <c:pt idx="5">
                  <c:v>118485.37449232429</c:v>
                </c:pt>
                <c:pt idx="6">
                  <c:v>123708.21716937167</c:v>
                </c:pt>
                <c:pt idx="7">
                  <c:v>127242.5137039548</c:v>
                </c:pt>
                <c:pt idx="8">
                  <c:v>131849.17684353082</c:v>
                </c:pt>
                <c:pt idx="9">
                  <c:v>137660.44517422552</c:v>
                </c:pt>
                <c:pt idx="10">
                  <c:v>141593.40198295706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09-465B-9C1B-48094DA13D00}"/>
            </c:ext>
          </c:extLst>
        </c:ser>
        <c:ser>
          <c:idx val="5"/>
          <c:order val="3"/>
          <c:tx>
            <c:strRef>
              <c:f>OBLIGACJE!$F$7</c:f>
              <c:strCache>
                <c:ptCount val="1"/>
                <c:pt idx="0">
                  <c:v>COI (4-latki)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B06-476B-8C04-A17D2C0B4C42}"/>
              </c:ext>
            </c:extLst>
          </c:dPt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OBLIGACJE!$F$8:$F$18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102227.50000000001</c:v>
                </c:pt>
                <c:pt idx="2">
                  <c:v>106067.20477307901</c:v>
                </c:pt>
                <c:pt idx="3">
                  <c:v>110020.38394769491</c:v>
                </c:pt>
                <c:pt idx="4">
                  <c:v>115710.39102120369</c:v>
                </c:pt>
                <c:pt idx="5">
                  <c:v>118394.05540699854</c:v>
                </c:pt>
                <c:pt idx="6">
                  <c:v>122840.86531408429</c:v>
                </c:pt>
                <c:pt idx="7">
                  <c:v>127419.09133849572</c:v>
                </c:pt>
                <c:pt idx="8">
                  <c:v>134008.57720727622</c:v>
                </c:pt>
                <c:pt idx="9">
                  <c:v>137116.70515713282</c:v>
                </c:pt>
                <c:pt idx="10">
                  <c:v>142266.62484094576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09-465B-9C1B-48094DA13D00}"/>
            </c:ext>
          </c:extLst>
        </c:ser>
        <c:ser>
          <c:idx val="1"/>
          <c:order val="4"/>
          <c:tx>
            <c:strRef>
              <c:f>OBLIGACJE!$G$7</c:f>
              <c:strCache>
                <c:ptCount val="1"/>
                <c:pt idx="0">
                  <c:v>EDO (10-latki)</c:v>
                </c:pt>
              </c:strCache>
            </c:strRef>
          </c:tx>
          <c:spPr>
            <a:solidFill>
              <a:srgbClr val="860D71"/>
            </a:solidFill>
            <a:ln w="28575" cap="rnd">
              <a:noFill/>
              <a:round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OBLIGACJE!$G$8:$G$18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101903.50000000001</c:v>
                </c:pt>
                <c:pt idx="2">
                  <c:v>106255.50850000001</c:v>
                </c:pt>
                <c:pt idx="3">
                  <c:v>110829.46943349999</c:v>
                </c:pt>
                <c:pt idx="4">
                  <c:v>115636.70237460849</c:v>
                </c:pt>
                <c:pt idx="5">
                  <c:v>120689.10419571352</c:v>
                </c:pt>
                <c:pt idx="6">
                  <c:v>125999.1785096949</c:v>
                </c:pt>
                <c:pt idx="7">
                  <c:v>131580.06661368933</c:v>
                </c:pt>
                <c:pt idx="8">
                  <c:v>137445.58001098747</c:v>
                </c:pt>
                <c:pt idx="9">
                  <c:v>143610.23459154784</c:v>
                </c:pt>
                <c:pt idx="10">
                  <c:v>152519.28655571677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DC-4D58-BAC1-F80779A0F8EF}"/>
            </c:ext>
          </c:extLst>
        </c:ser>
        <c:ser>
          <c:idx val="2"/>
          <c:order val="5"/>
          <c:tx>
            <c:strRef>
              <c:f>OBLIGACJE!$H$7</c:f>
              <c:strCache>
                <c:ptCount val="1"/>
                <c:pt idx="0">
                  <c:v>ROS (6-latki)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OBLIGACJE!$H$8:$H$18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102430</c:v>
                </c:pt>
                <c:pt idx="2">
                  <c:v>106767.55</c:v>
                </c:pt>
                <c:pt idx="3">
                  <c:v>111326.31504999999</c:v>
                </c:pt>
                <c:pt idx="4">
                  <c:v>116117.57711754998</c:v>
                </c:pt>
                <c:pt idx="5">
                  <c:v>121153.19355054502</c:v>
                </c:pt>
                <c:pt idx="6">
                  <c:v>128065.62642162282</c:v>
                </c:pt>
                <c:pt idx="7">
                  <c:v>131177.96587253342</c:v>
                </c:pt>
                <c:pt idx="8">
                  <c:v>136732.026639838</c:v>
                </c:pt>
                <c:pt idx="9">
                  <c:v>142569.30168140196</c:v>
                </c:pt>
                <c:pt idx="10">
                  <c:v>148704.23365961362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DC-4D58-BAC1-F80779A0F8EF}"/>
            </c:ext>
          </c:extLst>
        </c:ser>
        <c:ser>
          <c:idx val="6"/>
          <c:order val="6"/>
          <c:tx>
            <c:strRef>
              <c:f>OBLIGACJE!$I$7</c:f>
              <c:strCache>
                <c:ptCount val="1"/>
                <c:pt idx="0">
                  <c:v>ROD (12-latki) </c:v>
                </c:pt>
              </c:strCache>
            </c:strRef>
          </c:tx>
          <c:spPr>
            <a:solidFill>
              <a:srgbClr val="9999FF"/>
            </a:solidFill>
            <a:ln>
              <a:solidFill>
                <a:srgbClr val="9999FF"/>
              </a:solidFill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OBLIGACJE!$I$8:$I$18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102106</c:v>
                </c:pt>
                <c:pt idx="2">
                  <c:v>106896.016</c:v>
                </c:pt>
                <c:pt idx="3">
                  <c:v>111954.27289600001</c:v>
                </c:pt>
                <c:pt idx="4">
                  <c:v>117295.79217817602</c:v>
                </c:pt>
                <c:pt idx="5">
                  <c:v>122936.43654015388</c:v>
                </c:pt>
                <c:pt idx="6">
                  <c:v>128892.95698640251</c:v>
                </c:pt>
                <c:pt idx="7">
                  <c:v>135183.04257764106</c:v>
                </c:pt>
                <c:pt idx="8">
                  <c:v>141825.37296198896</c:v>
                </c:pt>
                <c:pt idx="9">
                  <c:v>148839.67384786037</c:v>
                </c:pt>
                <c:pt idx="10">
                  <c:v>156246.77558334055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DC-4D58-BAC1-F80779A0F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612543"/>
        <c:axId val="2134611295"/>
      </c:barChart>
      <c:lineChart>
        <c:grouping val="standard"/>
        <c:varyColors val="0"/>
        <c:ser>
          <c:idx val="7"/>
          <c:order val="7"/>
          <c:tx>
            <c:strRef>
              <c:f>OBLIGACJE!$J$7</c:f>
              <c:strCache>
                <c:ptCount val="1"/>
                <c:pt idx="0">
                  <c:v>Lokata</c:v>
                </c:pt>
              </c:strCache>
            </c:strRef>
          </c:tx>
          <c:spPr>
            <a:ln w="57150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OBLIGACJE!$J$8:$J$18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102955.28974864181</c:v>
                </c:pt>
                <c:pt idx="2">
                  <c:v>105997.91687226789</c:v>
                </c:pt>
                <c:pt idx="3">
                  <c:v>109130.46244336788</c:v>
                </c:pt>
                <c:pt idx="4">
                  <c:v>112355.58381260214</c:v>
                </c:pt>
                <c:pt idx="5">
                  <c:v>115676.01686304263</c:v>
                </c:pt>
                <c:pt idx="6">
                  <c:v>119094.57833103331</c:v>
                </c:pt>
                <c:pt idx="7">
                  <c:v>122614.16819563853</c:v>
                </c:pt>
                <c:pt idx="8">
                  <c:v>126237.77213870666</c:v>
                </c:pt>
                <c:pt idx="9">
                  <c:v>129968.46407763565</c:v>
                </c:pt>
                <c:pt idx="10">
                  <c:v>133809.40877298923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42-4769-B53A-32DCD894B906}"/>
            </c:ext>
          </c:extLst>
        </c:ser>
        <c:ser>
          <c:idx val="8"/>
          <c:order val="8"/>
          <c:tx>
            <c:strRef>
              <c:f>OBLIGACJE!$K$7</c:f>
              <c:strCache>
                <c:ptCount val="1"/>
                <c:pt idx="0">
                  <c:v>Wpłata powiększona o INFLACJĘ</c:v>
                </c:pt>
              </c:strCache>
            </c:strRef>
          </c:tx>
          <c:spPr>
            <a:ln w="571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OBLIGACJE!$K$8:$K$18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103099.99999999999</c:v>
                </c:pt>
                <c:pt idx="2">
                  <c:v>106296.09999999998</c:v>
                </c:pt>
                <c:pt idx="3">
                  <c:v>109591.27909999997</c:v>
                </c:pt>
                <c:pt idx="4">
                  <c:v>112988.60875209997</c:v>
                </c:pt>
                <c:pt idx="5">
                  <c:v>116491.25562341507</c:v>
                </c:pt>
                <c:pt idx="6">
                  <c:v>120102.48454774093</c:v>
                </c:pt>
                <c:pt idx="7">
                  <c:v>123825.66156872088</c:v>
                </c:pt>
                <c:pt idx="8">
                  <c:v>127664.25707735121</c:v>
                </c:pt>
                <c:pt idx="9">
                  <c:v>131621.84904674906</c:v>
                </c:pt>
                <c:pt idx="10">
                  <c:v>135702.12636719827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42-4769-B53A-32DCD894B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612543"/>
        <c:axId val="2134611295"/>
      </c:lineChart>
      <c:catAx>
        <c:axId val="213461254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4611295"/>
        <c:crosses val="autoZero"/>
        <c:auto val="1"/>
        <c:lblAlgn val="ctr"/>
        <c:lblOffset val="100"/>
        <c:noMultiLvlLbl val="0"/>
      </c:catAx>
      <c:valAx>
        <c:axId val="2134611295"/>
        <c:scaling>
          <c:orientation val="minMax"/>
        </c:scaling>
        <c:delete val="0"/>
        <c:axPos val="l"/>
        <c:numFmt formatCode="#,##0\ &quot;zł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4612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19782873338343E-3"/>
          <c:y val="0.76687929715591829"/>
          <c:w val="0.92169579851142946"/>
          <c:h val="0.23312070284408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Wartości nominalne obligacji "opakowanych" w IKE, na koniec roku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8468203130400099E-2"/>
          <c:y val="7.3502868811716374E-2"/>
          <c:w val="0.91737309822934177"/>
          <c:h val="0.65705744706918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'IKE OBLIGACJE'!$D$20</c:f>
              <c:strCache>
                <c:ptCount val="1"/>
                <c:pt idx="0">
                  <c:v>TOS, gdy spełniam warunki IKE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'IKE OBLIGACJE'!$D$22:$D$33</c:f>
              <c:numCache>
                <c:formatCode>#\ ##0.00\ "zł"</c:formatCode>
                <c:ptCount val="12"/>
                <c:pt idx="0">
                  <c:v>104400</c:v>
                </c:pt>
                <c:pt idx="1">
                  <c:v>108819.21024</c:v>
                </c:pt>
                <c:pt idx="2">
                  <c:v>112910.97712535999</c:v>
                </c:pt>
                <c:pt idx="3">
                  <c:v>117843.78187569599</c:v>
                </c:pt>
                <c:pt idx="4">
                  <c:v>122887.70488756799</c:v>
                </c:pt>
                <c:pt idx="5">
                  <c:v>127562.08996836228</c:v>
                </c:pt>
                <c:pt idx="6">
                  <c:v>133196.9039058504</c:v>
                </c:pt>
                <c:pt idx="7">
                  <c:v>139063.22066571232</c:v>
                </c:pt>
                <c:pt idx="8">
                  <c:v>144501.63913912239</c:v>
                </c:pt>
                <c:pt idx="9">
                  <c:v>150809.13960069246</c:v>
                </c:pt>
                <c:pt idx="10">
                  <c:v>157346.13215426254</c:v>
                </c:pt>
                <c:pt idx="11">
                  <c:v>163393.92418823182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8-41D6-9428-02084902B5DB}"/>
            </c:ext>
          </c:extLst>
        </c:ser>
        <c:ser>
          <c:idx val="1"/>
          <c:order val="1"/>
          <c:tx>
            <c:strRef>
              <c:f>'IKE OBLIGACJE'!$E$20</c:f>
              <c:strCache>
                <c:ptCount val="1"/>
                <c:pt idx="0">
                  <c:v>TOS,  gdy nie spełniam warunków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'IKE OBLIGACJE'!$E$22:$E$33</c:f>
              <c:numCache>
                <c:formatCode>#\ ##0.00\ "zł"</c:formatCode>
                <c:ptCount val="12"/>
                <c:pt idx="0">
                  <c:v>102754</c:v>
                </c:pt>
                <c:pt idx="1">
                  <c:v>106300.42624</c:v>
                </c:pt>
                <c:pt idx="2">
                  <c:v>110392.47967095999</c:v>
                </c:pt>
                <c:pt idx="3">
                  <c:v>113438.839421296</c:v>
                </c:pt>
                <c:pt idx="4">
                  <c:v>117493.89816116799</c:v>
                </c:pt>
                <c:pt idx="5">
                  <c:v>122168.60789812708</c:v>
                </c:pt>
                <c:pt idx="6">
                  <c:v>125663.9158356152</c:v>
                </c:pt>
                <c:pt idx="7">
                  <c:v>130388.18903947712</c:v>
                </c:pt>
                <c:pt idx="8">
                  <c:v>135804.84363743759</c:v>
                </c:pt>
                <c:pt idx="9">
                  <c:v>139706.44729900768</c:v>
                </c:pt>
                <c:pt idx="10">
                  <c:v>144971.21733257774</c:v>
                </c:pt>
                <c:pt idx="11">
                  <c:v>151017.10449039502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6E-4F00-878D-1DC0D3467694}"/>
            </c:ext>
          </c:extLst>
        </c:ser>
        <c:ser>
          <c:idx val="2"/>
          <c:order val="2"/>
          <c:tx>
            <c:strRef>
              <c:f>'IKE OBLIGACJE'!$F$20</c:f>
              <c:strCache>
                <c:ptCount val="1"/>
                <c:pt idx="0">
                  <c:v>COI, gdy spełniam warunki IKE</c:v>
                </c:pt>
              </c:strCache>
            </c:strRef>
          </c:tx>
          <c:spPr>
            <a:solidFill>
              <a:srgbClr val="136834"/>
            </a:solidFill>
            <a:ln>
              <a:noFill/>
            </a:ln>
            <a:effectLst/>
          </c:spPr>
          <c:invertIfNegative val="0"/>
          <c:val>
            <c:numRef>
              <c:f>'IKE OBLIGACJE'!$F$22:$F$33</c:f>
              <c:numCache>
                <c:formatCode>#\ ##0.00\ "zł"</c:formatCode>
                <c:ptCount val="12"/>
                <c:pt idx="0">
                  <c:v>104750.00000000001</c:v>
                </c:pt>
                <c:pt idx="1">
                  <c:v>109397.93280000001</c:v>
                </c:pt>
                <c:pt idx="2">
                  <c:v>114270.20662500001</c:v>
                </c:pt>
                <c:pt idx="3">
                  <c:v>119381.60124500001</c:v>
                </c:pt>
                <c:pt idx="4">
                  <c:v>125001.01789500003</c:v>
                </c:pt>
                <c:pt idx="5">
                  <c:v>130640.99519500002</c:v>
                </c:pt>
                <c:pt idx="6">
                  <c:v>136554.79861</c:v>
                </c:pt>
                <c:pt idx="7">
                  <c:v>142757.80936000004</c:v>
                </c:pt>
                <c:pt idx="8">
                  <c:v>149504.42271000001</c:v>
                </c:pt>
                <c:pt idx="9">
                  <c:v>156314.81791000004</c:v>
                </c:pt>
                <c:pt idx="10">
                  <c:v>163440.97191000005</c:v>
                </c:pt>
                <c:pt idx="11">
                  <c:v>170897.24696000005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6E-4F00-878D-1DC0D3467694}"/>
            </c:ext>
          </c:extLst>
        </c:ser>
        <c:ser>
          <c:idx val="3"/>
          <c:order val="3"/>
          <c:tx>
            <c:strRef>
              <c:f>'IKE OBLIGACJE'!$G$20</c:f>
              <c:strCache>
                <c:ptCount val="1"/>
                <c:pt idx="0">
                  <c:v>COI,  gdy nie spełniam warunków</c:v>
                </c:pt>
              </c:strCache>
            </c:strRef>
          </c:tx>
          <c:spPr>
            <a:solidFill>
              <a:srgbClr val="A5ABC1"/>
            </a:solidFill>
            <a:ln>
              <a:noFill/>
            </a:ln>
            <a:effectLst/>
          </c:spPr>
          <c:invertIfNegative val="0"/>
          <c:val>
            <c:numRef>
              <c:f>'IKE OBLIGACJE'!$G$22:$G$33</c:f>
              <c:numCache>
                <c:formatCode>#\ ##0.00\ "zł"</c:formatCode>
                <c:ptCount val="12"/>
                <c:pt idx="0">
                  <c:v>102227.50000000001</c:v>
                </c:pt>
                <c:pt idx="1">
                  <c:v>105882.8753</c:v>
                </c:pt>
                <c:pt idx="2">
                  <c:v>109718.991125</c:v>
                </c:pt>
                <c:pt idx="3">
                  <c:v>115364.70824500002</c:v>
                </c:pt>
                <c:pt idx="4">
                  <c:v>118177.91289500002</c:v>
                </c:pt>
                <c:pt idx="5">
                  <c:v>122625.59769500002</c:v>
                </c:pt>
                <c:pt idx="6">
                  <c:v>127293.07210999999</c:v>
                </c:pt>
                <c:pt idx="7">
                  <c:v>133887.49186000004</c:v>
                </c:pt>
                <c:pt idx="8">
                  <c:v>137523.77921000001</c:v>
                </c:pt>
                <c:pt idx="9">
                  <c:v>142900.06591000003</c:v>
                </c:pt>
                <c:pt idx="10">
                  <c:v>148527.49191000004</c:v>
                </c:pt>
                <c:pt idx="11">
                  <c:v>156191.52646000005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6E-4F00-878D-1DC0D3467694}"/>
            </c:ext>
          </c:extLst>
        </c:ser>
        <c:ser>
          <c:idx val="4"/>
          <c:order val="4"/>
          <c:tx>
            <c:strRef>
              <c:f>'IKE OBLIGACJE'!$H$20</c:f>
              <c:strCache>
                <c:ptCount val="1"/>
                <c:pt idx="0">
                  <c:v>EDO, gdy spełniam warunki IKE</c:v>
                </c:pt>
              </c:strCache>
            </c:strRef>
          </c:tx>
          <c:spPr>
            <a:solidFill>
              <a:srgbClr val="860D71"/>
            </a:solidFill>
            <a:ln>
              <a:noFill/>
            </a:ln>
            <a:effectLst/>
          </c:spPr>
          <c:invertIfNegative val="0"/>
          <c:val>
            <c:numRef>
              <c:f>'IKE OBLIGACJE'!$H$22:$H$33</c:f>
              <c:numCache>
                <c:formatCode>#\ ##0.00\ "zł"</c:formatCode>
                <c:ptCount val="12"/>
                <c:pt idx="0">
                  <c:v>105350.00000000001</c:v>
                </c:pt>
                <c:pt idx="1">
                  <c:v>110545.69344</c:v>
                </c:pt>
                <c:pt idx="2">
                  <c:v>116018.00421697499</c:v>
                </c:pt>
                <c:pt idx="3">
                  <c:v>121781.633300659</c:v>
                </c:pt>
                <c:pt idx="4">
                  <c:v>127852.06167800543</c:v>
                </c:pt>
                <c:pt idx="5">
                  <c:v>134245.59167772115</c:v>
                </c:pt>
                <c:pt idx="6">
                  <c:v>140979.39048107842</c:v>
                </c:pt>
                <c:pt idx="7">
                  <c:v>148071.53593451934</c:v>
                </c:pt>
                <c:pt idx="8">
                  <c:v>155525.38080608577</c:v>
                </c:pt>
                <c:pt idx="9">
                  <c:v>163359.37176610209</c:v>
                </c:pt>
                <c:pt idx="10">
                  <c:v>172178.04064072468</c:v>
                </c:pt>
                <c:pt idx="11">
                  <c:v>180860.54681284726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6E-4F00-878D-1DC0D3467694}"/>
            </c:ext>
          </c:extLst>
        </c:ser>
        <c:ser>
          <c:idx val="5"/>
          <c:order val="5"/>
          <c:tx>
            <c:strRef>
              <c:f>'IKE OBLIGACJE'!$I$20</c:f>
              <c:strCache>
                <c:ptCount val="1"/>
                <c:pt idx="0">
                  <c:v>EDO, gdy nie spełniam warunków</c:v>
                </c:pt>
              </c:strCache>
            </c:strRef>
          </c:tx>
          <c:spPr>
            <a:solidFill>
              <a:srgbClr val="CCCCFF"/>
            </a:solidFill>
            <a:ln>
              <a:noFill/>
            </a:ln>
            <a:effectLst/>
          </c:spPr>
          <c:invertIfNegative val="0"/>
          <c:val>
            <c:numRef>
              <c:f>'IKE OBLIGACJE'!$I$22:$I$33</c:f>
              <c:numCache>
                <c:formatCode>#\ ##0.00\ "zł"</c:formatCode>
                <c:ptCount val="12"/>
                <c:pt idx="0">
                  <c:v>101903.50000000001</c:v>
                </c:pt>
                <c:pt idx="1">
                  <c:v>106078.35194000001</c:v>
                </c:pt>
                <c:pt idx="2">
                  <c:v>110477.75830047499</c:v>
                </c:pt>
                <c:pt idx="3">
                  <c:v>115113.7648424175</c:v>
                </c:pt>
                <c:pt idx="4">
                  <c:v>119999.06192839361</c:v>
                </c:pt>
                <c:pt idx="5">
                  <c:v>125147.01894087915</c:v>
                </c:pt>
                <c:pt idx="6">
                  <c:v>130571.72053465746</c:v>
                </c:pt>
                <c:pt idx="7">
                  <c:v>136288.00482083092</c:v>
                </c:pt>
                <c:pt idx="8">
                  <c:v>142295.81960559924</c:v>
                </c:pt>
                <c:pt idx="9">
                  <c:v>151040.03294439075</c:v>
                </c:pt>
                <c:pt idx="10">
                  <c:v>154141.31564072467</c:v>
                </c:pt>
                <c:pt idx="11">
                  <c:v>161139.43333784727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6E-4F00-878D-1DC0D346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110735"/>
        <c:axId val="237111151"/>
      </c:barChart>
      <c:lineChart>
        <c:grouping val="standard"/>
        <c:varyColors val="0"/>
        <c:ser>
          <c:idx val="6"/>
          <c:order val="6"/>
          <c:tx>
            <c:strRef>
              <c:f>'IKE OBLIGACJE'!$J$20</c:f>
              <c:strCache>
                <c:ptCount val="1"/>
                <c:pt idx="0">
                  <c:v>Konto
oszczędnościowe</c:v>
                </c:pt>
              </c:strCache>
            </c:strRef>
          </c:tx>
          <c:spPr>
            <a:ln w="28575" cap="rnd">
              <a:solidFill>
                <a:srgbClr val="CCCC00"/>
              </a:solidFill>
              <a:round/>
            </a:ln>
            <a:effectLst/>
          </c:spPr>
          <c:marker>
            <c:symbol val="none"/>
          </c:marker>
          <c:val>
            <c:numRef>
              <c:f>'IKE OBLIGACJE'!$J$22:$J$33</c:f>
              <c:numCache>
                <c:formatCode>#\ ##0.00\ "zł"</c:formatCode>
                <c:ptCount val="12"/>
                <c:pt idx="0">
                  <c:v>102955.28974864181</c:v>
                </c:pt>
                <c:pt idx="1">
                  <c:v>105997.91687226789</c:v>
                </c:pt>
                <c:pt idx="2">
                  <c:v>109130.46244336788</c:v>
                </c:pt>
                <c:pt idx="3">
                  <c:v>112355.58381260214</c:v>
                </c:pt>
                <c:pt idx="4">
                  <c:v>115676.01686304263</c:v>
                </c:pt>
                <c:pt idx="5">
                  <c:v>119094.57833103331</c:v>
                </c:pt>
                <c:pt idx="6">
                  <c:v>122614.16819563853</c:v>
                </c:pt>
                <c:pt idx="7">
                  <c:v>126237.77213870666</c:v>
                </c:pt>
                <c:pt idx="8">
                  <c:v>129968.46407763565</c:v>
                </c:pt>
                <c:pt idx="9">
                  <c:v>133809.40877298923</c:v>
                </c:pt>
                <c:pt idx="10">
                  <c:v>137763.86451317559</c:v>
                </c:pt>
                <c:pt idx="11">
                  <c:v>141835.18587846626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26E-4F00-878D-1DC0D3467694}"/>
            </c:ext>
          </c:extLst>
        </c:ser>
        <c:ser>
          <c:idx val="7"/>
          <c:order val="7"/>
          <c:tx>
            <c:strRef>
              <c:f>'IKE OBLIGACJE'!$K$20</c:f>
              <c:strCache>
                <c:ptCount val="1"/>
                <c:pt idx="0">
                  <c:v>Kwota wpłacona powiększona o INFLACJĘ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'IKE OBLIGACJE'!$K$22:$K$33</c:f>
              <c:numCache>
                <c:formatCode>#\ ##0.00\ "zł"</c:formatCode>
                <c:ptCount val="12"/>
                <c:pt idx="0">
                  <c:v>103099.99999999999</c:v>
                </c:pt>
                <c:pt idx="1">
                  <c:v>106296.09999999998</c:v>
                </c:pt>
                <c:pt idx="2">
                  <c:v>109591.27909999997</c:v>
                </c:pt>
                <c:pt idx="3">
                  <c:v>112988.60875209997</c:v>
                </c:pt>
                <c:pt idx="4">
                  <c:v>116491.25562341507</c:v>
                </c:pt>
                <c:pt idx="5">
                  <c:v>120102.48454774093</c:v>
                </c:pt>
                <c:pt idx="6">
                  <c:v>123825.66156872088</c:v>
                </c:pt>
                <c:pt idx="7">
                  <c:v>127664.25707735121</c:v>
                </c:pt>
                <c:pt idx="8">
                  <c:v>131621.84904674906</c:v>
                </c:pt>
                <c:pt idx="9">
                  <c:v>135702.12636719827</c:v>
                </c:pt>
                <c:pt idx="10">
                  <c:v>139908.89228458141</c:v>
                </c:pt>
                <c:pt idx="11">
                  <c:v>144246.06794540343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6E-4F00-878D-1DC0D346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10735"/>
        <c:axId val="237111151"/>
      </c:lineChart>
      <c:catAx>
        <c:axId val="2371107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1151"/>
        <c:crosses val="autoZero"/>
        <c:auto val="1"/>
        <c:lblAlgn val="ctr"/>
        <c:lblOffset val="100"/>
        <c:noMultiLvlLbl val="0"/>
      </c:catAx>
      <c:valAx>
        <c:axId val="23711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zł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0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830549645050486"/>
          <c:w val="0.89034544020232453"/>
          <c:h val="0.20169452835381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Nominalna skumulowana stopa zwrotu na koniec każdego roku</a:t>
            </a:r>
          </a:p>
          <a:p>
            <a:pPr>
              <a:defRPr sz="1600" b="1"/>
            </a:pPr>
            <a:r>
              <a:rPr lang="pl-PL" sz="1600" b="1"/>
              <a:t>(dla porównania wykres skumulowanej inflacji)</a:t>
            </a:r>
          </a:p>
        </c:rich>
      </c:tx>
      <c:layout>
        <c:manualLayout>
          <c:xMode val="edge"/>
          <c:yMode val="edge"/>
          <c:x val="0.21056815000162246"/>
          <c:y val="7.650274046972381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3962591184115553E-2"/>
          <c:y val="0.22635488876927584"/>
          <c:w val="0.92915889054125445"/>
          <c:h val="0.48191103115269346"/>
        </c:manualLayout>
      </c:layout>
      <c:lineChart>
        <c:grouping val="standard"/>
        <c:varyColors val="0"/>
        <c:ser>
          <c:idx val="0"/>
          <c:order val="0"/>
          <c:tx>
            <c:strRef>
              <c:f>'IKE OBLIGACJE'!$P$20</c:f>
              <c:strCache>
                <c:ptCount val="1"/>
                <c:pt idx="0">
                  <c:v>COI, gdy spełniam warunki IKE</c:v>
                </c:pt>
              </c:strCache>
            </c:strRef>
          </c:tx>
          <c:spPr>
            <a:ln w="38100" cap="rnd">
              <a:solidFill>
                <a:srgbClr val="008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OBLIGACJE'!$P$21:$P$33</c:f>
              <c:numCache>
                <c:formatCode>0.0%</c:formatCode>
                <c:ptCount val="13"/>
                <c:pt idx="0">
                  <c:v>0</c:v>
                </c:pt>
                <c:pt idx="1">
                  <c:v>4.7500000000000098E-2</c:v>
                </c:pt>
                <c:pt idx="2">
                  <c:v>9.3979328000000084E-2</c:v>
                </c:pt>
                <c:pt idx="3">
                  <c:v>0.14270206625000004</c:v>
                </c:pt>
                <c:pt idx="4">
                  <c:v>0.19381601245000013</c:v>
                </c:pt>
                <c:pt idx="5">
                  <c:v>0.25001017895000022</c:v>
                </c:pt>
                <c:pt idx="6">
                  <c:v>0.30640995195000031</c:v>
                </c:pt>
                <c:pt idx="7">
                  <c:v>0.36554798609999994</c:v>
                </c:pt>
                <c:pt idx="8">
                  <c:v>0.42757809360000043</c:v>
                </c:pt>
                <c:pt idx="9">
                  <c:v>0.49504422710000018</c:v>
                </c:pt>
                <c:pt idx="10">
                  <c:v>0.56314817910000037</c:v>
                </c:pt>
                <c:pt idx="11">
                  <c:v>0.63440971910000044</c:v>
                </c:pt>
                <c:pt idx="12">
                  <c:v>0.70897246960000038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F-443F-BCAA-CEA5797D2AC5}"/>
            </c:ext>
          </c:extLst>
        </c:ser>
        <c:ser>
          <c:idx val="1"/>
          <c:order val="1"/>
          <c:tx>
            <c:strRef>
              <c:f>'IKE OBLIGACJE'!$Q$20</c:f>
              <c:strCache>
                <c:ptCount val="1"/>
                <c:pt idx="0">
                  <c:v>COI,  gdy nie spełniam warunków</c:v>
                </c:pt>
              </c:strCache>
            </c:strRef>
          </c:tx>
          <c:spPr>
            <a:ln w="44450" cap="rnd">
              <a:solidFill>
                <a:srgbClr val="CCCC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CCFF"/>
              </a:solidFill>
              <a:ln w="9525">
                <a:solidFill>
                  <a:srgbClr val="CCCCFF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OBLIGACJE'!$Q$21:$Q$33</c:f>
              <c:numCache>
                <c:formatCode>0.0%</c:formatCode>
                <c:ptCount val="13"/>
                <c:pt idx="0">
                  <c:v>0</c:v>
                </c:pt>
                <c:pt idx="1">
                  <c:v>2.2275000000000045E-2</c:v>
                </c:pt>
                <c:pt idx="2">
                  <c:v>5.8828753000000011E-2</c:v>
                </c:pt>
                <c:pt idx="3">
                  <c:v>9.7189911250000094E-2</c:v>
                </c:pt>
                <c:pt idx="4">
                  <c:v>0.15364708245000025</c:v>
                </c:pt>
                <c:pt idx="5">
                  <c:v>0.18177912895000015</c:v>
                </c:pt>
                <c:pt idx="6">
                  <c:v>0.2262559769500001</c:v>
                </c:pt>
                <c:pt idx="7">
                  <c:v>0.27293072109999983</c:v>
                </c:pt>
                <c:pt idx="8">
                  <c:v>0.33887491860000041</c:v>
                </c:pt>
                <c:pt idx="9">
                  <c:v>0.37523779210000008</c:v>
                </c:pt>
                <c:pt idx="10">
                  <c:v>0.4290006591000004</c:v>
                </c:pt>
                <c:pt idx="11">
                  <c:v>0.48527491910000031</c:v>
                </c:pt>
                <c:pt idx="12">
                  <c:v>0.56191526460000052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F-443F-BCAA-CEA5797D2AC5}"/>
            </c:ext>
          </c:extLst>
        </c:ser>
        <c:ser>
          <c:idx val="2"/>
          <c:order val="2"/>
          <c:tx>
            <c:strRef>
              <c:f>'IKE OBLIGACJE'!$R$20</c:f>
              <c:strCache>
                <c:ptCount val="1"/>
                <c:pt idx="0">
                  <c:v>EDO, gdy spełniam warunki IKE</c:v>
                </c:pt>
              </c:strCache>
            </c:strRef>
          </c:tx>
          <c:spPr>
            <a:ln w="38100" cap="rnd">
              <a:solidFill>
                <a:srgbClr val="860D71">
                  <a:alpha val="98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60D71"/>
              </a:solidFill>
              <a:ln w="9525">
                <a:solidFill>
                  <a:srgbClr val="860D71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OBLIGACJE'!$R$21:$R$33</c:f>
              <c:numCache>
                <c:formatCode>0.0%</c:formatCode>
                <c:ptCount val="13"/>
                <c:pt idx="0">
                  <c:v>0</c:v>
                </c:pt>
                <c:pt idx="1">
                  <c:v>5.3500000000000103E-2</c:v>
                </c:pt>
                <c:pt idx="2">
                  <c:v>0.10545693440000004</c:v>
                </c:pt>
                <c:pt idx="3">
                  <c:v>0.1601800421697499</c:v>
                </c:pt>
                <c:pt idx="4">
                  <c:v>0.21781633300659009</c:v>
                </c:pt>
                <c:pt idx="5">
                  <c:v>0.27852061678005424</c:v>
                </c:pt>
                <c:pt idx="6">
                  <c:v>0.34245591677721143</c:v>
                </c:pt>
                <c:pt idx="7">
                  <c:v>0.40979390481078415</c:v>
                </c:pt>
                <c:pt idx="8">
                  <c:v>0.48071535934519338</c:v>
                </c:pt>
                <c:pt idx="9">
                  <c:v>0.55525380806085778</c:v>
                </c:pt>
                <c:pt idx="10">
                  <c:v>0.63359371766102091</c:v>
                </c:pt>
                <c:pt idx="11">
                  <c:v>0.72178040640724683</c:v>
                </c:pt>
                <c:pt idx="12">
                  <c:v>0.80860546812847267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1F-443F-BCAA-CEA5797D2AC5}"/>
            </c:ext>
          </c:extLst>
        </c:ser>
        <c:ser>
          <c:idx val="3"/>
          <c:order val="3"/>
          <c:tx>
            <c:strRef>
              <c:f>'IKE OBLIGACJE'!$S$20</c:f>
              <c:strCache>
                <c:ptCount val="1"/>
                <c:pt idx="0">
                  <c:v>EDO, gdy nie spełniam warunków</c:v>
                </c:pt>
              </c:strCache>
            </c:strRef>
          </c:tx>
          <c:spPr>
            <a:ln w="38100" cap="rnd">
              <a:solidFill>
                <a:srgbClr val="CC99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99FF"/>
              </a:solidFill>
              <a:ln w="9525">
                <a:solidFill>
                  <a:srgbClr val="CC99FF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OBLIGACJE'!$S$21:$S$33</c:f>
              <c:numCache>
                <c:formatCode>0.0%</c:formatCode>
                <c:ptCount val="13"/>
                <c:pt idx="0">
                  <c:v>0</c:v>
                </c:pt>
                <c:pt idx="1">
                  <c:v>1.9035000000000135E-2</c:v>
                </c:pt>
                <c:pt idx="2">
                  <c:v>6.0783519400000152E-2</c:v>
                </c:pt>
                <c:pt idx="3">
                  <c:v>0.10477758300474993</c:v>
                </c:pt>
                <c:pt idx="4">
                  <c:v>0.15113764842417488</c:v>
                </c:pt>
                <c:pt idx="5">
                  <c:v>0.19999061928393602</c:v>
                </c:pt>
                <c:pt idx="6">
                  <c:v>0.2514701894087914</c:v>
                </c:pt>
                <c:pt idx="7">
                  <c:v>0.30571720534657465</c:v>
                </c:pt>
                <c:pt idx="8">
                  <c:v>0.36288004820830921</c:v>
                </c:pt>
                <c:pt idx="9">
                  <c:v>0.4229581960559925</c:v>
                </c:pt>
                <c:pt idx="10">
                  <c:v>0.51040032944390745</c:v>
                </c:pt>
                <c:pt idx="11">
                  <c:v>0.54141315640724663</c:v>
                </c:pt>
                <c:pt idx="12">
                  <c:v>0.6113943333784726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1F-443F-BCAA-CEA5797D2AC5}"/>
            </c:ext>
          </c:extLst>
        </c:ser>
        <c:ser>
          <c:idx val="4"/>
          <c:order val="4"/>
          <c:tx>
            <c:strRef>
              <c:f>'IKE OBLIGACJE'!$T$20</c:f>
              <c:strCache>
                <c:ptCount val="1"/>
                <c:pt idx="0">
                  <c:v>Konto
oszczędnościowe</c:v>
                </c:pt>
              </c:strCache>
            </c:strRef>
          </c:tx>
          <c:spPr>
            <a:ln w="38100" cap="rnd">
              <a:solidFill>
                <a:srgbClr val="CCCC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CC00"/>
              </a:solidFill>
              <a:ln w="9525">
                <a:noFill/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OBLIGACJE'!$T$21:$T$33</c:f>
              <c:numCache>
                <c:formatCode>0.0%</c:formatCode>
                <c:ptCount val="13"/>
                <c:pt idx="0">
                  <c:v>0</c:v>
                </c:pt>
                <c:pt idx="1">
                  <c:v>2.9552897486418095E-2</c:v>
                </c:pt>
                <c:pt idx="2">
                  <c:v>5.9979168722678944E-2</c:v>
                </c:pt>
                <c:pt idx="3">
                  <c:v>9.1304624433678816E-2</c:v>
                </c:pt>
                <c:pt idx="4">
                  <c:v>0.12355583812602133</c:v>
                </c:pt>
                <c:pt idx="5">
                  <c:v>0.1567601686304263</c:v>
                </c:pt>
                <c:pt idx="6">
                  <c:v>0.19094578331033296</c:v>
                </c:pt>
                <c:pt idx="7">
                  <c:v>0.22614168195638529</c:v>
                </c:pt>
                <c:pt idx="8">
                  <c:v>0.26237772138706661</c:v>
                </c:pt>
                <c:pt idx="9">
                  <c:v>0.29968464077635648</c:v>
                </c:pt>
                <c:pt idx="10">
                  <c:v>0.33809408772989236</c:v>
                </c:pt>
                <c:pt idx="11">
                  <c:v>0.37763864513175593</c:v>
                </c:pt>
                <c:pt idx="12">
                  <c:v>0.41835185878466263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1F-443F-BCAA-CEA5797D2AC5}"/>
            </c:ext>
          </c:extLst>
        </c:ser>
        <c:ser>
          <c:idx val="5"/>
          <c:order val="5"/>
          <c:tx>
            <c:strRef>
              <c:f>'IKE OBLIGACJE'!$U$20</c:f>
              <c:strCache>
                <c:ptCount val="1"/>
                <c:pt idx="0">
                  <c:v>Skumulowana INFLACJA</c:v>
                </c:pt>
              </c:strCache>
            </c:strRef>
          </c:tx>
          <c:spPr>
            <a:ln w="349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OBLIGACJE'!$U$21:$U$33</c:f>
              <c:numCache>
                <c:formatCode>0.0%</c:formatCode>
                <c:ptCount val="13"/>
                <c:pt idx="0">
                  <c:v>0</c:v>
                </c:pt>
                <c:pt idx="1">
                  <c:v>3.0999999999999917E-2</c:v>
                </c:pt>
                <c:pt idx="2">
                  <c:v>6.2960999999999823E-2</c:v>
                </c:pt>
                <c:pt idx="3">
                  <c:v>9.591279099999972E-2</c:v>
                </c:pt>
                <c:pt idx="4">
                  <c:v>0.12988608752099973</c:v>
                </c:pt>
                <c:pt idx="5">
                  <c:v>0.16491255623415069</c:v>
                </c:pt>
                <c:pt idx="6">
                  <c:v>0.20102484547740929</c:v>
                </c:pt>
                <c:pt idx="7">
                  <c:v>0.23825661568720879</c:v>
                </c:pt>
                <c:pt idx="8">
                  <c:v>0.27664257077351206</c:v>
                </c:pt>
                <c:pt idx="9">
                  <c:v>0.31621849046749073</c:v>
                </c:pt>
                <c:pt idx="10">
                  <c:v>0.35702126367198272</c:v>
                </c:pt>
                <c:pt idx="11">
                  <c:v>0.3990889228458141</c:v>
                </c:pt>
                <c:pt idx="12">
                  <c:v>0.44246067945403422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1F-443F-BCAA-CEA5797D2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10735"/>
        <c:axId val="237111151"/>
      </c:lineChart>
      <c:catAx>
        <c:axId val="2371107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1151"/>
        <c:crosses val="autoZero"/>
        <c:auto val="1"/>
        <c:lblAlgn val="ctr"/>
        <c:lblOffset val="100"/>
        <c:tickMarkSkip val="1"/>
        <c:noMultiLvlLbl val="0"/>
      </c:catAx>
      <c:valAx>
        <c:axId val="23711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07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526043681945088E-3"/>
          <c:y val="0.79783550415942339"/>
          <c:w val="0.98844251008946937"/>
          <c:h val="0.17689129313512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bligacjeskarbowe.pl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marciniwuc.com/obligacje-indeksowane-inflacja-kalkulator/" TargetMode="External"/><Relationship Id="rId5" Type="http://schemas.openxmlformats.org/officeDocument/2006/relationships/image" Target="../media/image2.emf"/><Relationship Id="rId4" Type="http://schemas.openxmlformats.org/officeDocument/2006/relationships/hyperlink" Target="https://www.obligacjeskarbowe.pl/oferta-obligacji/obligacje-3-miesieczne-ots/ots0123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marciniwuc.com/obligacje-indeksowane-inflacja-kalkulator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marciniwuc.com/obligacje-indeksowane-inflacja-kalkulato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</xdr:colOff>
      <xdr:row>0</xdr:row>
      <xdr:rowOff>0</xdr:rowOff>
    </xdr:from>
    <xdr:to>
      <xdr:col>0</xdr:col>
      <xdr:colOff>2979737</xdr:colOff>
      <xdr:row>3</xdr:row>
      <xdr:rowOff>107871</xdr:rowOff>
    </xdr:to>
    <xdr:pic>
      <xdr:nvPicPr>
        <xdr:cNvPr id="8" name="Obraz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2317"/>
        <a:stretch/>
      </xdr:blipFill>
      <xdr:spPr>
        <a:xfrm>
          <a:off x="39687" y="0"/>
          <a:ext cx="2936875" cy="700009"/>
        </a:xfrm>
        <a:prstGeom prst="rect">
          <a:avLst/>
        </a:prstGeom>
      </xdr:spPr>
    </xdr:pic>
    <xdr:clientData/>
  </xdr:twoCellAnchor>
  <xdr:twoCellAnchor>
    <xdr:from>
      <xdr:col>5</xdr:col>
      <xdr:colOff>272143</xdr:colOff>
      <xdr:row>12</xdr:row>
      <xdr:rowOff>106829</xdr:rowOff>
    </xdr:from>
    <xdr:to>
      <xdr:col>5</xdr:col>
      <xdr:colOff>431239</xdr:colOff>
      <xdr:row>23</xdr:row>
      <xdr:rowOff>136072</xdr:rowOff>
    </xdr:to>
    <xdr:sp macro="" textlink="">
      <xdr:nvSpPr>
        <xdr:cNvPr id="6" name="Nawias klamrowy zamykający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13964" y="6447758"/>
          <a:ext cx="159096" cy="2396885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 macro="" textlink="">
      <xdr:nvSpPr>
        <xdr:cNvPr id="1035" name="AutoShape 11" descr="Obligacje Skarbow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1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311150</xdr:colOff>
      <xdr:row>12</xdr:row>
      <xdr:rowOff>0</xdr:rowOff>
    </xdr:from>
    <xdr:to>
      <xdr:col>0</xdr:col>
      <xdr:colOff>619125</xdr:colOff>
      <xdr:row>12</xdr:row>
      <xdr:rowOff>304800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622300</xdr:colOff>
      <xdr:row>12</xdr:row>
      <xdr:rowOff>0</xdr:rowOff>
    </xdr:from>
    <xdr:to>
      <xdr:col>0</xdr:col>
      <xdr:colOff>923925</xdr:colOff>
      <xdr:row>12</xdr:row>
      <xdr:rowOff>304800</xdr:rowOff>
    </xdr:to>
    <xdr:sp macro="" textlink="">
      <xdr:nvSpPr>
        <xdr:cNvPr id="1038" name="AutoShap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104775</xdr:rowOff>
    </xdr:to>
    <xdr:sp macro="" textlink="">
      <xdr:nvSpPr>
        <xdr:cNvPr id="1039" name="AutoShape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61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101600</xdr:rowOff>
    </xdr:from>
    <xdr:to>
      <xdr:col>0</xdr:col>
      <xdr:colOff>152400</xdr:colOff>
      <xdr:row>20</xdr:row>
      <xdr:rowOff>63500</xdr:rowOff>
    </xdr:to>
    <xdr:sp macro="" textlink="">
      <xdr:nvSpPr>
        <xdr:cNvPr id="1042" name="Control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13</xdr:row>
      <xdr:rowOff>0</xdr:rowOff>
    </xdr:from>
    <xdr:ext cx="304800" cy="304800"/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13</xdr:row>
      <xdr:rowOff>0</xdr:rowOff>
    </xdr:from>
    <xdr:ext cx="304800" cy="304800"/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14</xdr:row>
      <xdr:rowOff>0</xdr:rowOff>
    </xdr:from>
    <xdr:ext cx="304800" cy="304800"/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0" name="AutoShape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15</xdr:row>
      <xdr:rowOff>0</xdr:rowOff>
    </xdr:from>
    <xdr:ext cx="304800" cy="304800"/>
    <xdr:sp macro="" textlink="">
      <xdr:nvSpPr>
        <xdr:cNvPr id="11" name="AutoShape 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15</xdr:row>
      <xdr:rowOff>0</xdr:rowOff>
    </xdr:from>
    <xdr:ext cx="304800" cy="304800"/>
    <xdr:sp macro="" textlink="">
      <xdr:nvSpPr>
        <xdr:cNvPr id="12" name="AutoShape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16</xdr:row>
      <xdr:rowOff>0</xdr:rowOff>
    </xdr:from>
    <xdr:ext cx="304800" cy="304800"/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16</xdr:row>
      <xdr:rowOff>0</xdr:rowOff>
    </xdr:from>
    <xdr:ext cx="304800" cy="304800"/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6" name="AutoShape 1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17</xdr:row>
      <xdr:rowOff>0</xdr:rowOff>
    </xdr:from>
    <xdr:ext cx="304800" cy="304800"/>
    <xdr:sp macro="" textlink="">
      <xdr:nvSpPr>
        <xdr:cNvPr id="17" name="AutoShape 1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17</xdr:row>
      <xdr:rowOff>0</xdr:rowOff>
    </xdr:from>
    <xdr:ext cx="304800" cy="304800"/>
    <xdr:sp macro="" textlink="">
      <xdr:nvSpPr>
        <xdr:cNvPr id="18" name="AutoShape 1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19" name="AutoShape 1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18</xdr:row>
      <xdr:rowOff>0</xdr:rowOff>
    </xdr:from>
    <xdr:ext cx="304800" cy="304800"/>
    <xdr:sp macro="" textlink="">
      <xdr:nvSpPr>
        <xdr:cNvPr id="20" name="AutoShape 1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18</xdr:row>
      <xdr:rowOff>0</xdr:rowOff>
    </xdr:from>
    <xdr:ext cx="304800" cy="304800"/>
    <xdr:sp macro="" textlink="">
      <xdr:nvSpPr>
        <xdr:cNvPr id="21" name="AutoShape 1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22" name="AutoShape 1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19</xdr:row>
      <xdr:rowOff>0</xdr:rowOff>
    </xdr:from>
    <xdr:ext cx="304800" cy="304800"/>
    <xdr:sp macro="" textlink="">
      <xdr:nvSpPr>
        <xdr:cNvPr id="23" name="AutoShape 1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19</xdr:row>
      <xdr:rowOff>0</xdr:rowOff>
    </xdr:from>
    <xdr:ext cx="304800" cy="304800"/>
    <xdr:sp macro="" textlink="">
      <xdr:nvSpPr>
        <xdr:cNvPr id="24" name="AutoShape 1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5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20</xdr:row>
      <xdr:rowOff>0</xdr:rowOff>
    </xdr:from>
    <xdr:ext cx="304800" cy="304800"/>
    <xdr:sp macro="" textlink="">
      <xdr:nvSpPr>
        <xdr:cNvPr id="26" name="AutoShape 1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20</xdr:row>
      <xdr:rowOff>0</xdr:rowOff>
    </xdr:from>
    <xdr:ext cx="304800" cy="304800"/>
    <xdr:sp macro="" textlink="">
      <xdr:nvSpPr>
        <xdr:cNvPr id="27" name="AutoShape 1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28" name="AutoShape 1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21</xdr:row>
      <xdr:rowOff>0</xdr:rowOff>
    </xdr:from>
    <xdr:ext cx="304800" cy="304800"/>
    <xdr:sp macro="" textlink="">
      <xdr:nvSpPr>
        <xdr:cNvPr id="29" name="AutoShape 1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21</xdr:row>
      <xdr:rowOff>0</xdr:rowOff>
    </xdr:from>
    <xdr:ext cx="304800" cy="304800"/>
    <xdr:sp macro="" textlink="">
      <xdr:nvSpPr>
        <xdr:cNvPr id="30" name="AutoShape 1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31" name="AutoShape 1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22</xdr:row>
      <xdr:rowOff>0</xdr:rowOff>
    </xdr:from>
    <xdr:ext cx="304800" cy="304800"/>
    <xdr:sp macro="" textlink="">
      <xdr:nvSpPr>
        <xdr:cNvPr id="32" name="AutoShape 1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22</xdr:row>
      <xdr:rowOff>0</xdr:rowOff>
    </xdr:from>
    <xdr:ext cx="304800" cy="304800"/>
    <xdr:sp macro="" textlink="">
      <xdr:nvSpPr>
        <xdr:cNvPr id="33" name="AutoShape 1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34" name="AutoShap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23</xdr:row>
      <xdr:rowOff>0</xdr:rowOff>
    </xdr:from>
    <xdr:ext cx="304800" cy="304800"/>
    <xdr:sp macro="" textlink="">
      <xdr:nvSpPr>
        <xdr:cNvPr id="35" name="AutoShape 1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23</xdr:row>
      <xdr:rowOff>0</xdr:rowOff>
    </xdr:from>
    <xdr:ext cx="304800" cy="304800"/>
    <xdr:sp macro="" textlink="">
      <xdr:nvSpPr>
        <xdr:cNvPr id="36" name="AutoShape 1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" name="AutoShape 1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13</xdr:row>
      <xdr:rowOff>0</xdr:rowOff>
    </xdr:from>
    <xdr:ext cx="304800" cy="304800"/>
    <xdr:sp macro="" textlink="">
      <xdr:nvSpPr>
        <xdr:cNvPr id="38" name="AutoShape 1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13</xdr:row>
      <xdr:rowOff>0</xdr:rowOff>
    </xdr:from>
    <xdr:ext cx="304800" cy="304800"/>
    <xdr:sp macro="" textlink="">
      <xdr:nvSpPr>
        <xdr:cNvPr id="39" name="AutoShape 1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0" name="AutoShape 1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14</xdr:row>
      <xdr:rowOff>0</xdr:rowOff>
    </xdr:from>
    <xdr:ext cx="304800" cy="304800"/>
    <xdr:sp macro="" textlink="">
      <xdr:nvSpPr>
        <xdr:cNvPr id="41" name="AutoShape 1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14</xdr:row>
      <xdr:rowOff>0</xdr:rowOff>
    </xdr:from>
    <xdr:ext cx="304800" cy="304800"/>
    <xdr:sp macro="" textlink="">
      <xdr:nvSpPr>
        <xdr:cNvPr id="42" name="AutoShape 1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43" name="AutoShape 1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15</xdr:row>
      <xdr:rowOff>0</xdr:rowOff>
    </xdr:from>
    <xdr:ext cx="304800" cy="304800"/>
    <xdr:sp macro="" textlink="">
      <xdr:nvSpPr>
        <xdr:cNvPr id="44" name="AutoShape 1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15</xdr:row>
      <xdr:rowOff>0</xdr:rowOff>
    </xdr:from>
    <xdr:ext cx="304800" cy="304800"/>
    <xdr:sp macro="" textlink="">
      <xdr:nvSpPr>
        <xdr:cNvPr id="45" name="AutoShape 1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46" name="AutoShape 1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16</xdr:row>
      <xdr:rowOff>0</xdr:rowOff>
    </xdr:from>
    <xdr:ext cx="304800" cy="304800"/>
    <xdr:sp macro="" textlink="">
      <xdr:nvSpPr>
        <xdr:cNvPr id="47" name="AutoShape 1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16</xdr:row>
      <xdr:rowOff>0</xdr:rowOff>
    </xdr:from>
    <xdr:ext cx="304800" cy="304800"/>
    <xdr:sp macro="" textlink="">
      <xdr:nvSpPr>
        <xdr:cNvPr id="48" name="AutoShape 1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49" name="AutoShape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17</xdr:row>
      <xdr:rowOff>0</xdr:rowOff>
    </xdr:from>
    <xdr:ext cx="304800" cy="304800"/>
    <xdr:sp macro="" textlink="">
      <xdr:nvSpPr>
        <xdr:cNvPr id="50" name="AutoShape 1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17</xdr:row>
      <xdr:rowOff>0</xdr:rowOff>
    </xdr:from>
    <xdr:ext cx="304800" cy="304800"/>
    <xdr:sp macro="" textlink="">
      <xdr:nvSpPr>
        <xdr:cNvPr id="51" name="AutoShape 1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52" name="AutoShape 1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18</xdr:row>
      <xdr:rowOff>0</xdr:rowOff>
    </xdr:from>
    <xdr:ext cx="304800" cy="304800"/>
    <xdr:sp macro="" textlink="">
      <xdr:nvSpPr>
        <xdr:cNvPr id="53" name="AutoShape 1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18</xdr:row>
      <xdr:rowOff>0</xdr:rowOff>
    </xdr:from>
    <xdr:ext cx="304800" cy="304800"/>
    <xdr:sp macro="" textlink="">
      <xdr:nvSpPr>
        <xdr:cNvPr id="54" name="AutoShape 1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55" name="AutoShape 1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19</xdr:row>
      <xdr:rowOff>0</xdr:rowOff>
    </xdr:from>
    <xdr:ext cx="304800" cy="304800"/>
    <xdr:sp macro="" textlink="">
      <xdr:nvSpPr>
        <xdr:cNvPr id="56" name="AutoShape 1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19</xdr:row>
      <xdr:rowOff>0</xdr:rowOff>
    </xdr:from>
    <xdr:ext cx="304800" cy="304800"/>
    <xdr:sp macro="" textlink="">
      <xdr:nvSpPr>
        <xdr:cNvPr id="57" name="AutoShape 1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58" name="AutoShape 1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20</xdr:row>
      <xdr:rowOff>0</xdr:rowOff>
    </xdr:from>
    <xdr:ext cx="304800" cy="304800"/>
    <xdr:sp macro="" textlink="">
      <xdr:nvSpPr>
        <xdr:cNvPr id="59" name="AutoShape 1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20</xdr:row>
      <xdr:rowOff>0</xdr:rowOff>
    </xdr:from>
    <xdr:ext cx="304800" cy="304800"/>
    <xdr:sp macro="" textlink="">
      <xdr:nvSpPr>
        <xdr:cNvPr id="60" name="AutoShape 1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61" name="AutoShape 1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21</xdr:row>
      <xdr:rowOff>0</xdr:rowOff>
    </xdr:from>
    <xdr:ext cx="304800" cy="304800"/>
    <xdr:sp macro="" textlink="">
      <xdr:nvSpPr>
        <xdr:cNvPr id="62" name="AutoShape 1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21</xdr:row>
      <xdr:rowOff>0</xdr:rowOff>
    </xdr:from>
    <xdr:ext cx="304800" cy="304800"/>
    <xdr:sp macro="" textlink="">
      <xdr:nvSpPr>
        <xdr:cNvPr id="63" name="AutoShape 1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1024" name="AutoShape 1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22</xdr:row>
      <xdr:rowOff>0</xdr:rowOff>
    </xdr:from>
    <xdr:ext cx="304800" cy="304800"/>
    <xdr:sp macro="" textlink="">
      <xdr:nvSpPr>
        <xdr:cNvPr id="1025" name="AutoShape 1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22</xdr:row>
      <xdr:rowOff>0</xdr:rowOff>
    </xdr:from>
    <xdr:ext cx="304800" cy="304800"/>
    <xdr:sp macro="" textlink="">
      <xdr:nvSpPr>
        <xdr:cNvPr id="1026" name="AutoShape 1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027" name="AutoShape 1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23</xdr:row>
      <xdr:rowOff>0</xdr:rowOff>
    </xdr:from>
    <xdr:ext cx="304800" cy="304800"/>
    <xdr:sp macro="" textlink="">
      <xdr:nvSpPr>
        <xdr:cNvPr id="1028" name="AutoShape 1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23</xdr:row>
      <xdr:rowOff>0</xdr:rowOff>
    </xdr:from>
    <xdr:ext cx="304800" cy="304800"/>
    <xdr:sp macro="" textlink="">
      <xdr:nvSpPr>
        <xdr:cNvPr id="1029" name="AutoShape 1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19</xdr:row>
      <xdr:rowOff>101600</xdr:rowOff>
    </xdr:from>
    <xdr:to>
      <xdr:col>0</xdr:col>
      <xdr:colOff>152400</xdr:colOff>
      <xdr:row>20</xdr:row>
      <xdr:rowOff>63500</xdr:rowOff>
    </xdr:to>
    <xdr:pic>
      <xdr:nvPicPr>
        <xdr:cNvPr id="7" name="Control 18">
          <a:extLst>
            <a:ext uri="{FF2B5EF4-FFF2-40B4-BE49-F238E27FC236}">
              <a16:creationId xmlns:a16="http://schemas.microsoft.com/office/drawing/2014/main" id="{E1447DA4-6A96-15BB-3A28-49EFD5AE5F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1700"/>
          <a:ext cx="152400" cy="1651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20</xdr:row>
      <xdr:rowOff>382361</xdr:rowOff>
    </xdr:from>
    <xdr:to>
      <xdr:col>18</xdr:col>
      <xdr:colOff>190500</xdr:colOff>
      <xdr:row>36</xdr:row>
      <xdr:rowOff>16329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0</xdr:row>
      <xdr:rowOff>171450</xdr:rowOff>
    </xdr:from>
    <xdr:to>
      <xdr:col>18</xdr:col>
      <xdr:colOff>214312</xdr:colOff>
      <xdr:row>20</xdr:row>
      <xdr:rowOff>38100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0.09688</cdr:x>
      <cdr:y>0.19378</cdr:y>
    </cdr:from>
    <cdr:to>
      <cdr:x>0.49438</cdr:x>
      <cdr:y>0.36224</cdr:y>
    </cdr:to>
    <cdr:pic>
      <cdr:nvPicPr>
        <cdr:cNvPr id="2" name="Obraz 1">
          <a:extLst xmlns:a="http://schemas.openxmlformats.org/drawingml/2006/main">
            <a:ext uri="{FF2B5EF4-FFF2-40B4-BE49-F238E27FC236}">
              <a16:creationId xmlns:a16="http://schemas.microsoft.com/office/drawing/2014/main" id="{60581FD1-B914-ED3F-BC4B-2A78A7B2AF2E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-2317"/>
        <a:stretch xmlns:a="http://schemas.openxmlformats.org/drawingml/2006/main"/>
      </cdr:blipFill>
      <cdr:spPr>
        <a:xfrm xmlns:a="http://schemas.openxmlformats.org/drawingml/2006/main">
          <a:off x="703943" y="799193"/>
          <a:ext cx="2888343" cy="694785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0.09316</cdr:x>
      <cdr:y>0.16719</cdr:y>
    </cdr:from>
    <cdr:to>
      <cdr:x>0.49381</cdr:x>
      <cdr:y>0.30114</cdr:y>
    </cdr:to>
    <cdr:pic>
      <cdr:nvPicPr>
        <cdr:cNvPr id="3" name="Obraz 2">
          <a:extLst xmlns:a="http://schemas.openxmlformats.org/drawingml/2006/main">
            <a:ext uri="{FF2B5EF4-FFF2-40B4-BE49-F238E27FC236}">
              <a16:creationId xmlns:a16="http://schemas.microsoft.com/office/drawing/2014/main" id="{5747F160-BA22-403F-BFEE-F92301E9338D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-2317"/>
        <a:stretch xmlns:a="http://schemas.openxmlformats.org/drawingml/2006/main"/>
      </cdr:blipFill>
      <cdr:spPr>
        <a:xfrm xmlns:a="http://schemas.openxmlformats.org/drawingml/2006/main">
          <a:off x="672376" y="903343"/>
          <a:ext cx="2891751" cy="72372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27215</xdr:colOff>
      <xdr:row>0</xdr:row>
      <xdr:rowOff>10432</xdr:rowOff>
    </xdr:from>
    <xdr:to>
      <xdr:col>10</xdr:col>
      <xdr:colOff>1374323</xdr:colOff>
      <xdr:row>14</xdr:row>
      <xdr:rowOff>394607</xdr:rowOff>
    </xdr:to>
    <xdr:graphicFrame macro="">
      <xdr:nvGraphicFramePr>
        <xdr:cNvPr id="14" name="Wykres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47171</xdr:colOff>
      <xdr:row>0</xdr:row>
      <xdr:rowOff>40821</xdr:rowOff>
    </xdr:from>
    <xdr:to>
      <xdr:col>21</xdr:col>
      <xdr:colOff>0</xdr:colOff>
      <xdr:row>15</xdr:row>
      <xdr:rowOff>530677</xdr:rowOff>
    </xdr:to>
    <xdr:graphicFrame macro="">
      <xdr:nvGraphicFramePr>
        <xdr:cNvPr id="15" name="Wykres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23</xdr:col>
      <xdr:colOff>812799</xdr:colOff>
      <xdr:row>7</xdr:row>
      <xdr:rowOff>50800</xdr:rowOff>
    </xdr:from>
    <xdr:to>
      <xdr:col>30</xdr:col>
      <xdr:colOff>227948</xdr:colOff>
      <xdr:row>12</xdr:row>
      <xdr:rowOff>101600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1361B54-F597-5AE5-C6D1-5480FB78F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969199" y="1549400"/>
          <a:ext cx="5968349" cy="2006600"/>
        </a:xfrm>
        <a:prstGeom prst="rect">
          <a:avLst/>
        </a:prstGeom>
      </xdr:spPr>
    </xdr:pic>
    <xdr:clientData/>
  </xdr:twoCellAnchor>
  <xdr:twoCellAnchor editAs="oneCell">
    <xdr:from>
      <xdr:col>60</xdr:col>
      <xdr:colOff>101600</xdr:colOff>
      <xdr:row>8</xdr:row>
      <xdr:rowOff>25400</xdr:rowOff>
    </xdr:from>
    <xdr:to>
      <xdr:col>66</xdr:col>
      <xdr:colOff>471188</xdr:colOff>
      <xdr:row>11</xdr:row>
      <xdr:rowOff>508000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0D366F3-4A0A-5357-ABCB-8271B5B98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253600" y="1651000"/>
          <a:ext cx="5957588" cy="1727200"/>
        </a:xfrm>
        <a:prstGeom prst="rect">
          <a:avLst/>
        </a:prstGeom>
      </xdr:spPr>
    </xdr:pic>
    <xdr:clientData/>
  </xdr:twoCellAnchor>
  <xdr:twoCellAnchor editAs="oneCell">
    <xdr:from>
      <xdr:col>96</xdr:col>
      <xdr:colOff>152400</xdr:colOff>
      <xdr:row>7</xdr:row>
      <xdr:rowOff>25400</xdr:rowOff>
    </xdr:from>
    <xdr:to>
      <xdr:col>103</xdr:col>
      <xdr:colOff>131741</xdr:colOff>
      <xdr:row>12</xdr:row>
      <xdr:rowOff>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E7408C7-4EBA-3719-CAB3-5077A04AA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309400" y="1524000"/>
          <a:ext cx="6151541" cy="1930400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0.08629</cdr:x>
      <cdr:y>0.07923</cdr:y>
    </cdr:from>
    <cdr:to>
      <cdr:x>0.24582</cdr:x>
      <cdr:y>0.19071</cdr:y>
    </cdr:to>
    <cdr:pic>
      <cdr:nvPicPr>
        <cdr:cNvPr id="2" name="chart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D63FADE9-A7FC-4ECA-A71C-B585E5D15D8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1220960" y="396694"/>
          <a:ext cx="2257025" cy="558173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0.02508</cdr:x>
      <cdr:y>0.03369</cdr:y>
    </cdr:from>
    <cdr:to>
      <cdr:x>0.19546</cdr:x>
      <cdr:y>0.12538</cdr:y>
    </cdr:to>
    <cdr:pic>
      <cdr:nvPicPr>
        <cdr:cNvPr id="2" name="chart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65CC5221-49E8-46F7-BD34-09927451ADF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321355" y="149910"/>
          <a:ext cx="2182837" cy="407982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bp.pl/polityka-pieniezna/decyzje-rpp/podstawowe-stopy-procentowe-nbp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stat.gov.pl/wykres/1.html" TargetMode="External"/><Relationship Id="rId1" Type="http://schemas.openxmlformats.org/officeDocument/2006/relationships/hyperlink" Target="https://www.obligacjeskarbowe.pl/ike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marciniwuc.com/ranking-lokat-sprawdz-najlepsze-lokaty-bankowe/" TargetMode="External"/><Relationship Id="rId4" Type="http://schemas.openxmlformats.org/officeDocument/2006/relationships/hyperlink" Target="https://www.bankier.pl/mieszkaniowe/stopy-procentowe/wibo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E54FE-0667-491F-8A49-4717D0E36133}">
  <sheetPr codeName="Arkusz1"/>
  <dimension ref="A4:T54"/>
  <sheetViews>
    <sheetView tabSelected="1" topLeftCell="A12" zoomScaleNormal="100" workbookViewId="0">
      <selection activeCell="E11" sqref="E11"/>
    </sheetView>
  </sheetViews>
  <sheetFormatPr baseColWidth="10" defaultColWidth="8.6640625" defaultRowHeight="16"/>
  <cols>
    <col min="1" max="1" width="52" style="78" customWidth="1"/>
    <col min="2" max="2" width="15.5" style="78" customWidth="1"/>
    <col min="3" max="3" width="16.83203125" style="78" customWidth="1"/>
    <col min="4" max="4" width="14.1640625" style="78" customWidth="1"/>
    <col min="5" max="5" width="16.5" style="78" customWidth="1"/>
    <col min="6" max="6" width="10.1640625" style="78" customWidth="1"/>
    <col min="7" max="7" width="16.33203125" style="78" customWidth="1"/>
    <col min="8" max="8" width="12.83203125" style="78" customWidth="1"/>
    <col min="9" max="9" width="12.5" style="78" customWidth="1"/>
    <col min="10" max="10" width="20.5" style="78" customWidth="1"/>
    <col min="11" max="11" width="16.6640625" style="78" customWidth="1"/>
    <col min="12" max="12" width="17.1640625" style="78" customWidth="1"/>
    <col min="13" max="13" width="18.5" style="78" customWidth="1"/>
    <col min="14" max="14" width="24.83203125" style="78" customWidth="1"/>
    <col min="15" max="15" width="16.5" style="78" customWidth="1"/>
    <col min="16" max="16" width="15" style="78" customWidth="1"/>
    <col min="17" max="17" width="16.5" style="78" customWidth="1"/>
    <col min="18" max="18" width="13.33203125" style="78" customWidth="1"/>
    <col min="19" max="19" width="18.5" style="78" customWidth="1"/>
    <col min="20" max="20" width="19.5" style="78" customWidth="1"/>
    <col min="21" max="23" width="8.6640625" style="78"/>
    <col min="24" max="24" width="11.33203125" style="78" customWidth="1"/>
    <col min="25" max="25" width="11.5" style="78" customWidth="1"/>
    <col min="26" max="26" width="8.6640625" style="78" customWidth="1"/>
    <col min="27" max="16384" width="8.6640625" style="78"/>
  </cols>
  <sheetData>
    <row r="4" spans="1:20" ht="21" customHeight="1">
      <c r="R4" s="79"/>
    </row>
    <row r="5" spans="1:20" ht="41.5" customHeight="1">
      <c r="A5" s="121" t="s">
        <v>122</v>
      </c>
      <c r="B5" s="120"/>
      <c r="C5" s="120"/>
      <c r="D5" s="120"/>
      <c r="E5" s="120"/>
      <c r="F5" s="120"/>
    </row>
    <row r="6" spans="1:20" ht="57.75" customHeight="1">
      <c r="A6" s="89" t="s">
        <v>121</v>
      </c>
      <c r="B6" s="119">
        <v>1000</v>
      </c>
      <c r="C6" s="208"/>
      <c r="D6" s="209"/>
      <c r="E6" s="209"/>
    </row>
    <row r="7" spans="1:20" ht="44.25" customHeight="1">
      <c r="A7" s="89" t="s">
        <v>123</v>
      </c>
      <c r="B7" s="88">
        <f>B6*100</f>
        <v>100000</v>
      </c>
      <c r="C7" s="207" t="s">
        <v>53</v>
      </c>
      <c r="D7" s="207"/>
      <c r="E7" s="207"/>
    </row>
    <row r="8" spans="1:20" ht="41.5" customHeight="1">
      <c r="A8" s="91" t="s">
        <v>124</v>
      </c>
      <c r="B8" s="90">
        <v>0.19</v>
      </c>
      <c r="C8" s="206" t="s">
        <v>73</v>
      </c>
      <c r="D8" s="207"/>
      <c r="E8" s="207"/>
      <c r="S8" s="205"/>
      <c r="T8" s="205"/>
    </row>
    <row r="9" spans="1:20" ht="45.75" customHeight="1" thickBot="1">
      <c r="A9" s="117" t="s">
        <v>125</v>
      </c>
      <c r="S9" s="205"/>
      <c r="T9" s="205"/>
    </row>
    <row r="10" spans="1:20" ht="31" customHeight="1" thickBot="1">
      <c r="A10" s="118" t="s">
        <v>84</v>
      </c>
      <c r="C10" s="80"/>
      <c r="D10" s="80"/>
      <c r="H10" s="81"/>
      <c r="S10" s="205"/>
      <c r="T10" s="205"/>
    </row>
    <row r="11" spans="1:20" ht="71.25" customHeight="1" thickBot="1">
      <c r="A11" s="194" t="s">
        <v>129</v>
      </c>
      <c r="B11" s="201" t="s">
        <v>94</v>
      </c>
      <c r="C11" s="202" t="s">
        <v>93</v>
      </c>
      <c r="D11" s="202" t="s">
        <v>92</v>
      </c>
      <c r="E11" s="202" t="s">
        <v>116</v>
      </c>
      <c r="F11" s="210" t="s">
        <v>120</v>
      </c>
      <c r="G11" s="210"/>
      <c r="H11" s="210"/>
      <c r="I11" s="210"/>
      <c r="J11" s="210"/>
      <c r="K11" s="210"/>
      <c r="S11" s="205"/>
      <c r="T11" s="205"/>
    </row>
    <row r="12" spans="1:20" ht="42" customHeight="1">
      <c r="A12" s="193"/>
      <c r="B12" s="203">
        <v>3.1E-2</v>
      </c>
      <c r="C12" s="106">
        <v>3.7499999999999999E-2</v>
      </c>
      <c r="D12" s="106">
        <v>3.9100000000000003E-2</v>
      </c>
      <c r="E12" s="204">
        <v>3.5999999999999997E-2</v>
      </c>
      <c r="F12" s="211" t="s">
        <v>126</v>
      </c>
      <c r="G12" s="211"/>
      <c r="H12" s="211"/>
      <c r="I12" s="211"/>
      <c r="J12" s="211"/>
      <c r="K12" s="211"/>
      <c r="S12" s="205"/>
      <c r="T12" s="205"/>
    </row>
    <row r="13" spans="1:20" ht="29.25" customHeight="1">
      <c r="A13" s="187">
        <v>1</v>
      </c>
      <c r="B13" s="185">
        <v>0.1</v>
      </c>
      <c r="C13" s="106">
        <v>6.7500000000000004E-2</v>
      </c>
      <c r="D13" s="200">
        <v>7.3999999999999996E-2</v>
      </c>
      <c r="E13" s="106">
        <v>7.4999999999999997E-2</v>
      </c>
      <c r="S13" s="205"/>
      <c r="T13" s="205"/>
    </row>
    <row r="14" spans="1:20" ht="14.5" customHeight="1">
      <c r="A14" s="187">
        <v>2</v>
      </c>
      <c r="B14" s="185">
        <v>0.17699999999999999</v>
      </c>
      <c r="C14" s="106">
        <v>6.7500000000000004E-2</v>
      </c>
      <c r="D14" s="106">
        <v>7.3999999999999996E-2</v>
      </c>
      <c r="E14" s="106">
        <v>7.4999999999999997E-2</v>
      </c>
      <c r="S14" s="205"/>
      <c r="T14" s="205"/>
    </row>
    <row r="15" spans="1:20" ht="15.75" customHeight="1">
      <c r="A15" s="187">
        <v>3</v>
      </c>
      <c r="B15" s="185">
        <v>0.17699999999999999</v>
      </c>
      <c r="C15" s="106">
        <v>6.7500000000000004E-2</v>
      </c>
      <c r="D15" s="106">
        <v>7.3999999999999996E-2</v>
      </c>
      <c r="E15" s="106">
        <v>7.4999999999999997E-2</v>
      </c>
      <c r="G15" s="210" t="s">
        <v>91</v>
      </c>
      <c r="H15" s="210"/>
      <c r="I15" s="210"/>
      <c r="J15" s="210"/>
      <c r="K15" s="210"/>
      <c r="S15" s="205"/>
      <c r="T15" s="205"/>
    </row>
    <row r="16" spans="1:20">
      <c r="A16" s="187">
        <v>4</v>
      </c>
      <c r="B16" s="185">
        <v>0.17699999999999999</v>
      </c>
      <c r="C16" s="106">
        <v>6.7500000000000004E-2</v>
      </c>
      <c r="D16" s="106">
        <v>7.3999999999999996E-2</v>
      </c>
      <c r="E16" s="106">
        <v>7.4999999999999997E-2</v>
      </c>
      <c r="G16" s="210"/>
      <c r="H16" s="210"/>
      <c r="I16" s="210"/>
      <c r="J16" s="210"/>
      <c r="K16" s="210"/>
      <c r="S16" s="205"/>
      <c r="T16" s="205"/>
    </row>
    <row r="17" spans="1:20">
      <c r="A17" s="187">
        <v>5</v>
      </c>
      <c r="B17" s="185">
        <v>0.17699999999999999</v>
      </c>
      <c r="C17" s="106">
        <v>6.7500000000000004E-2</v>
      </c>
      <c r="D17" s="106">
        <v>7.3999999999999996E-2</v>
      </c>
      <c r="E17" s="106">
        <v>7.4999999999999997E-2</v>
      </c>
      <c r="G17" s="210"/>
      <c r="H17" s="210"/>
      <c r="I17" s="210"/>
      <c r="J17" s="210"/>
      <c r="K17" s="210"/>
      <c r="S17" s="205"/>
      <c r="T17" s="205"/>
    </row>
    <row r="18" spans="1:20" ht="14.5" customHeight="1">
      <c r="A18" s="187">
        <v>6</v>
      </c>
      <c r="B18" s="185">
        <v>0.17699999999999999</v>
      </c>
      <c r="C18" s="106">
        <v>6.7500000000000004E-2</v>
      </c>
      <c r="D18" s="106">
        <v>7.3999999999999996E-2</v>
      </c>
      <c r="E18" s="106">
        <v>7.4999999999999997E-2</v>
      </c>
      <c r="G18" s="210"/>
      <c r="H18" s="210"/>
      <c r="I18" s="210"/>
      <c r="J18" s="210"/>
      <c r="K18" s="210"/>
      <c r="S18" s="205"/>
      <c r="T18" s="205"/>
    </row>
    <row r="19" spans="1:20" ht="18" customHeight="1">
      <c r="A19" s="187">
        <v>7</v>
      </c>
      <c r="B19" s="185">
        <v>0.17699999999999999</v>
      </c>
      <c r="C19" s="106">
        <v>6.7500000000000004E-2</v>
      </c>
      <c r="D19" s="106">
        <v>7.3999999999999996E-2</v>
      </c>
      <c r="E19" s="106">
        <v>7.4999999999999997E-2</v>
      </c>
      <c r="G19" s="210"/>
      <c r="H19" s="210"/>
      <c r="I19" s="210"/>
      <c r="J19" s="210"/>
      <c r="K19" s="210"/>
      <c r="S19" s="205"/>
      <c r="T19" s="205"/>
    </row>
    <row r="20" spans="1:20">
      <c r="A20" s="187">
        <v>8</v>
      </c>
      <c r="B20" s="185">
        <v>0.17699999999999999</v>
      </c>
      <c r="C20" s="106">
        <v>6.7500000000000004E-2</v>
      </c>
      <c r="D20" s="106">
        <v>7.3999999999999996E-2</v>
      </c>
      <c r="E20" s="106">
        <v>7.4999999999999997E-2</v>
      </c>
      <c r="G20" s="210"/>
      <c r="H20" s="210"/>
      <c r="I20" s="210"/>
      <c r="J20" s="210"/>
      <c r="K20" s="210"/>
    </row>
    <row r="21" spans="1:20">
      <c r="A21" s="187">
        <v>9</v>
      </c>
      <c r="B21" s="185">
        <v>0.17699999999999999</v>
      </c>
      <c r="C21" s="106">
        <v>6.7500000000000004E-2</v>
      </c>
      <c r="D21" s="106">
        <v>7.3999999999999996E-2</v>
      </c>
      <c r="E21" s="106">
        <v>7.4999999999999997E-2</v>
      </c>
      <c r="G21" s="210"/>
      <c r="H21" s="210"/>
      <c r="I21" s="210"/>
      <c r="J21" s="210"/>
      <c r="K21" s="210"/>
    </row>
    <row r="22" spans="1:20" ht="15" customHeight="1">
      <c r="A22" s="187">
        <v>10</v>
      </c>
      <c r="B22" s="185">
        <v>0.17699999999999999</v>
      </c>
      <c r="C22" s="106">
        <v>6.7500000000000004E-2</v>
      </c>
      <c r="D22" s="106">
        <v>7.3999999999999996E-2</v>
      </c>
      <c r="E22" s="106">
        <v>7.4999999999999997E-2</v>
      </c>
      <c r="G22" s="210"/>
      <c r="H22" s="210"/>
      <c r="I22" s="210"/>
      <c r="J22" s="210"/>
      <c r="K22" s="210"/>
    </row>
    <row r="23" spans="1:20">
      <c r="A23" s="187">
        <v>11</v>
      </c>
      <c r="B23" s="185">
        <v>0.17699999999999999</v>
      </c>
      <c r="C23" s="106">
        <v>6.7500000000000004E-2</v>
      </c>
      <c r="D23" s="106">
        <v>7.3999999999999996E-2</v>
      </c>
      <c r="E23" s="106">
        <v>7.4999999999999997E-2</v>
      </c>
    </row>
    <row r="24" spans="1:20" ht="17" thickBot="1">
      <c r="A24" s="187">
        <v>12</v>
      </c>
      <c r="B24" s="186">
        <v>0.17699999999999999</v>
      </c>
      <c r="C24" s="107">
        <v>6.7500000000000004E-2</v>
      </c>
      <c r="D24" s="107">
        <v>7.3999999999999996E-2</v>
      </c>
      <c r="E24" s="107">
        <v>7.4999999999999997E-2</v>
      </c>
    </row>
    <row r="28" spans="1:20">
      <c r="A28" s="117" t="s">
        <v>128</v>
      </c>
      <c r="B28" s="87"/>
      <c r="C28" s="87"/>
      <c r="D28" s="87"/>
      <c r="E28" s="87"/>
      <c r="F28" s="87"/>
    </row>
    <row r="29" spans="1:20" ht="102">
      <c r="A29" s="92" t="s">
        <v>95</v>
      </c>
      <c r="B29" s="92" t="s">
        <v>69</v>
      </c>
      <c r="C29" s="92" t="s">
        <v>99</v>
      </c>
      <c r="D29" s="92" t="s">
        <v>83</v>
      </c>
      <c r="E29" s="92" t="s">
        <v>85</v>
      </c>
      <c r="F29" s="93" t="s">
        <v>87</v>
      </c>
      <c r="G29" s="92" t="s">
        <v>70</v>
      </c>
      <c r="H29" s="92" t="s">
        <v>71</v>
      </c>
      <c r="I29" s="92" t="s">
        <v>4</v>
      </c>
      <c r="J29" s="92" t="s">
        <v>72</v>
      </c>
      <c r="K29" s="92" t="s">
        <v>100</v>
      </c>
    </row>
    <row r="30" spans="1:20" ht="34">
      <c r="A30" s="108" t="s">
        <v>89</v>
      </c>
      <c r="B30" s="95">
        <v>12</v>
      </c>
      <c r="C30" s="96">
        <v>0.04</v>
      </c>
      <c r="D30" s="95">
        <v>1</v>
      </c>
      <c r="E30" s="97" t="s">
        <v>86</v>
      </c>
      <c r="F30" s="96">
        <v>0</v>
      </c>
      <c r="G30" s="95">
        <v>1</v>
      </c>
      <c r="H30" s="95" t="s">
        <v>5</v>
      </c>
      <c r="I30" s="98">
        <v>99.9</v>
      </c>
      <c r="J30" s="98">
        <v>0.5</v>
      </c>
      <c r="K30" s="95">
        <v>1</v>
      </c>
      <c r="L30" s="82"/>
    </row>
    <row r="31" spans="1:20" ht="34">
      <c r="A31" s="109" t="s">
        <v>96</v>
      </c>
      <c r="B31" s="95">
        <v>24</v>
      </c>
      <c r="C31" s="96">
        <v>4.1500000000000002E-2</v>
      </c>
      <c r="D31" s="95">
        <v>1</v>
      </c>
      <c r="E31" s="97" t="s">
        <v>86</v>
      </c>
      <c r="F31" s="96">
        <v>1.5E-3</v>
      </c>
      <c r="G31" s="95">
        <v>1</v>
      </c>
      <c r="H31" s="95" t="s">
        <v>5</v>
      </c>
      <c r="I31" s="98">
        <v>99.9</v>
      </c>
      <c r="J31" s="98">
        <v>0.7</v>
      </c>
      <c r="K31" s="95">
        <v>1</v>
      </c>
      <c r="L31" s="82"/>
    </row>
    <row r="32" spans="1:20" ht="17">
      <c r="A32" s="110" t="s">
        <v>103</v>
      </c>
      <c r="B32" s="95">
        <v>36</v>
      </c>
      <c r="C32" s="96">
        <v>4.3999999999999997E-2</v>
      </c>
      <c r="D32" s="95">
        <v>36</v>
      </c>
      <c r="E32" s="97" t="s">
        <v>82</v>
      </c>
      <c r="F32" s="96">
        <v>0</v>
      </c>
      <c r="G32" s="95" t="s">
        <v>5</v>
      </c>
      <c r="H32" s="95">
        <v>12</v>
      </c>
      <c r="I32" s="98">
        <v>99.9</v>
      </c>
      <c r="J32" s="98">
        <v>1</v>
      </c>
      <c r="K32" s="95" t="s">
        <v>101</v>
      </c>
      <c r="L32" s="82"/>
    </row>
    <row r="33" spans="1:12" ht="17">
      <c r="A33" s="111" t="s">
        <v>54</v>
      </c>
      <c r="B33" s="95">
        <v>48</v>
      </c>
      <c r="C33" s="96">
        <v>4.7500000000000001E-2</v>
      </c>
      <c r="D33" s="95">
        <v>12</v>
      </c>
      <c r="E33" s="97" t="s">
        <v>6</v>
      </c>
      <c r="F33" s="96">
        <v>1.4999999999999999E-2</v>
      </c>
      <c r="G33" s="95">
        <v>12</v>
      </c>
      <c r="H33" s="95" t="s">
        <v>5</v>
      </c>
      <c r="I33" s="98">
        <v>99.9</v>
      </c>
      <c r="J33" s="98">
        <v>2</v>
      </c>
      <c r="K33" s="95">
        <v>12</v>
      </c>
      <c r="L33" s="82"/>
    </row>
    <row r="34" spans="1:12" ht="17">
      <c r="A34" s="112" t="s">
        <v>55</v>
      </c>
      <c r="B34" s="95">
        <v>120</v>
      </c>
      <c r="C34" s="96">
        <v>5.3499999999999999E-2</v>
      </c>
      <c r="D34" s="95">
        <v>12</v>
      </c>
      <c r="E34" s="97" t="s">
        <v>6</v>
      </c>
      <c r="F34" s="96">
        <v>0.02</v>
      </c>
      <c r="G34" s="103" t="s">
        <v>5</v>
      </c>
      <c r="H34" s="95">
        <v>12</v>
      </c>
      <c r="I34" s="98">
        <v>99.9</v>
      </c>
      <c r="J34" s="98">
        <v>3</v>
      </c>
      <c r="K34" s="95" t="s">
        <v>101</v>
      </c>
      <c r="L34" s="82"/>
    </row>
    <row r="35" spans="1:12" ht="17">
      <c r="A35" s="113" t="s">
        <v>56</v>
      </c>
      <c r="B35" s="95">
        <v>72</v>
      </c>
      <c r="C35" s="96">
        <v>0.05</v>
      </c>
      <c r="D35" s="95">
        <v>12</v>
      </c>
      <c r="E35" s="97" t="s">
        <v>6</v>
      </c>
      <c r="F35" s="96">
        <v>0.02</v>
      </c>
      <c r="G35" s="103" t="s">
        <v>5</v>
      </c>
      <c r="H35" s="95">
        <v>12</v>
      </c>
      <c r="I35" s="98"/>
      <c r="J35" s="98">
        <v>2</v>
      </c>
      <c r="K35" s="95" t="s">
        <v>101</v>
      </c>
      <c r="L35" s="82"/>
    </row>
    <row r="36" spans="1:12" ht="17">
      <c r="A36" s="114" t="s">
        <v>57</v>
      </c>
      <c r="B36" s="95">
        <v>144</v>
      </c>
      <c r="C36" s="96">
        <v>5.6000000000000001E-2</v>
      </c>
      <c r="D36" s="95">
        <v>12</v>
      </c>
      <c r="E36" s="97" t="s">
        <v>6</v>
      </c>
      <c r="F36" s="96">
        <v>2.5000000000000001E-2</v>
      </c>
      <c r="G36" s="103" t="s">
        <v>5</v>
      </c>
      <c r="H36" s="95">
        <v>12</v>
      </c>
      <c r="I36" s="95"/>
      <c r="J36" s="98">
        <v>3</v>
      </c>
      <c r="K36" s="95" t="s">
        <v>101</v>
      </c>
      <c r="L36" s="82"/>
    </row>
    <row r="40" spans="1:12">
      <c r="A40" s="117" t="s">
        <v>127</v>
      </c>
    </row>
    <row r="41" spans="1:12" ht="17" thickBot="1"/>
    <row r="42" spans="1:12" ht="51">
      <c r="A42" s="83" t="s">
        <v>26</v>
      </c>
      <c r="B42" s="84" t="s">
        <v>27</v>
      </c>
      <c r="C42" s="82" t="s">
        <v>90</v>
      </c>
    </row>
    <row r="43" spans="1:12">
      <c r="A43" s="115">
        <v>1</v>
      </c>
      <c r="B43" s="85">
        <v>0</v>
      </c>
    </row>
    <row r="44" spans="1:12">
      <c r="A44" s="115">
        <v>2</v>
      </c>
      <c r="B44" s="85">
        <v>1.6000000000000001E-3</v>
      </c>
    </row>
    <row r="45" spans="1:12">
      <c r="A45" s="115">
        <v>3</v>
      </c>
      <c r="B45" s="85">
        <v>1.5E-3</v>
      </c>
    </row>
    <row r="46" spans="1:12">
      <c r="A46" s="115">
        <v>4</v>
      </c>
      <c r="B46" s="85">
        <v>1.4E-3</v>
      </c>
    </row>
    <row r="47" spans="1:12">
      <c r="A47" s="115">
        <v>5</v>
      </c>
      <c r="B47" s="85">
        <v>1.2999999999999999E-3</v>
      </c>
    </row>
    <row r="48" spans="1:12">
      <c r="A48" s="115">
        <v>6</v>
      </c>
      <c r="B48" s="85">
        <v>1.1999999999999999E-3</v>
      </c>
    </row>
    <row r="49" spans="1:2">
      <c r="A49" s="115">
        <v>7</v>
      </c>
      <c r="B49" s="85">
        <v>1.1000000000000001E-3</v>
      </c>
    </row>
    <row r="50" spans="1:2">
      <c r="A50" s="115">
        <v>8</v>
      </c>
      <c r="B50" s="85">
        <v>1E-3</v>
      </c>
    </row>
    <row r="51" spans="1:2">
      <c r="A51" s="115">
        <v>9</v>
      </c>
      <c r="B51" s="85">
        <v>1E-3</v>
      </c>
    </row>
    <row r="52" spans="1:2">
      <c r="A52" s="115">
        <v>10</v>
      </c>
      <c r="B52" s="85">
        <v>1E-3</v>
      </c>
    </row>
    <row r="53" spans="1:2">
      <c r="A53" s="115">
        <v>11</v>
      </c>
      <c r="B53" s="85">
        <v>1E-3</v>
      </c>
    </row>
    <row r="54" spans="1:2" ht="17" thickBot="1">
      <c r="A54" s="116">
        <v>12</v>
      </c>
      <c r="B54" s="86">
        <v>1E-3</v>
      </c>
    </row>
  </sheetData>
  <mergeCells count="8">
    <mergeCell ref="S8:T14"/>
    <mergeCell ref="S15:T19"/>
    <mergeCell ref="C8:E8"/>
    <mergeCell ref="C6:E6"/>
    <mergeCell ref="C7:E7"/>
    <mergeCell ref="F11:K11"/>
    <mergeCell ref="F12:K12"/>
    <mergeCell ref="G15:K22"/>
  </mergeCells>
  <conditionalFormatting sqref="B12:E12">
    <cfRule type="expression" dxfId="3" priority="2">
      <formula>trigger_inflacja="chcę taki sam w kazdym roku"</formula>
    </cfRule>
    <cfRule type="expression" dxfId="2" priority="10">
      <formula>trigger_inflacja&lt;&gt;"chcę taki sam w kazdym roku"</formula>
    </cfRule>
  </conditionalFormatting>
  <conditionalFormatting sqref="B13:E24">
    <cfRule type="expression" dxfId="1" priority="1">
      <formula>trigger_inflacja="chcę taki sam w kazdym roku"</formula>
    </cfRule>
    <cfRule type="expression" dxfId="0" priority="3">
      <formula>trigger_inflacja&lt;&gt;"chcę taki sam w kazdym roku"</formula>
    </cfRule>
  </conditionalFormatting>
  <dataValidations count="2">
    <dataValidation type="custom" showInputMessage="1" showErrorMessage="1" sqref="B7" xr:uid="{7DC0B0B7-4F43-453F-A95F-34DFC08C1678}">
      <formula1>B6*100</formula1>
    </dataValidation>
    <dataValidation type="list" allowBlank="1" showInputMessage="1" showErrorMessage="1" sqref="A11" xr:uid="{3E5BF3D7-A784-40E9-AA08-FE76BE348A4B}">
      <formula1>"chcę taki sam w kazdym roku,chcę sam ustawić każdy rok"</formula1>
    </dataValidation>
  </dataValidations>
  <hyperlinks>
    <hyperlink ref="C42" r:id="rId1" xr:uid="{11ECAA2E-BD04-44B5-ADBB-3D3ADDD76D17}"/>
    <hyperlink ref="B11" r:id="rId2" xr:uid="{98BB9E4F-67E0-874E-A5B7-210A4F9156BE}"/>
    <hyperlink ref="C11" r:id="rId3" xr:uid="{C7B2D472-96BD-7440-80E8-3EBAF813BE67}"/>
    <hyperlink ref="D11" r:id="rId4" xr:uid="{0138A047-6187-464A-83E9-1FF5697023C4}"/>
    <hyperlink ref="E11" r:id="rId5" xr:uid="{2BAC6DB1-008B-1E4C-802B-6D4AFF2F9CA3}"/>
  </hyperlinks>
  <pageMargins left="0.7" right="0.7" top="0.75" bottom="0.75" header="0.3" footer="0.3"/>
  <pageSetup paperSize="9" orientation="portrait" verticalDpi="30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4244B-5AE9-4853-B561-1FE5AE6EF191}">
  <dimension ref="A1:EJ188"/>
  <sheetViews>
    <sheetView zoomScale="130" zoomScaleNormal="130" workbookViewId="0">
      <selection activeCell="J5" sqref="J5"/>
    </sheetView>
  </sheetViews>
  <sheetFormatPr baseColWidth="10" defaultColWidth="8.6640625" defaultRowHeight="15"/>
  <cols>
    <col min="1" max="1" width="2.5" style="19" customWidth="1"/>
    <col min="2" max="2" width="28.83203125" style="19" customWidth="1"/>
    <col min="3" max="11" width="15.1640625" style="19" customWidth="1"/>
    <col min="12" max="12" width="3" style="19" customWidth="1"/>
    <col min="13" max="13" width="4.33203125" style="19" hidden="1" customWidth="1"/>
    <col min="14" max="25" width="20.33203125" style="19" customWidth="1"/>
    <col min="26" max="26" width="8.6640625" style="19"/>
    <col min="27" max="27" width="8.33203125" style="19" bestFit="1" customWidth="1"/>
    <col min="28" max="28" width="14.5" style="19" bestFit="1" customWidth="1"/>
    <col min="29" max="29" width="22.5" style="19" customWidth="1"/>
    <col min="30" max="30" width="15.33203125" style="19" bestFit="1" customWidth="1"/>
    <col min="31" max="31" width="10.1640625" style="19" bestFit="1" customWidth="1"/>
    <col min="32" max="33" width="13.5" style="19" bestFit="1" customWidth="1"/>
    <col min="34" max="34" width="13.83203125" style="19" bestFit="1" customWidth="1"/>
    <col min="35" max="36" width="13.5" style="19" bestFit="1" customWidth="1"/>
    <col min="37" max="37" width="14.33203125" style="19" bestFit="1" customWidth="1"/>
    <col min="38" max="38" width="12.1640625" style="19" bestFit="1" customWidth="1"/>
    <col min="39" max="39" width="13.5" style="19" bestFit="1" customWidth="1"/>
    <col min="40" max="40" width="11.5" style="19" bestFit="1" customWidth="1"/>
    <col min="41" max="41" width="17.6640625" style="19" bestFit="1" customWidth="1"/>
    <col min="42" max="43" width="13.5" style="19" bestFit="1" customWidth="1"/>
    <col min="44" max="44" width="3.83203125" style="19" customWidth="1"/>
    <col min="45" max="45" width="16.1640625" style="19" customWidth="1"/>
    <col min="46" max="46" width="15.33203125" style="19" bestFit="1" customWidth="1"/>
    <col min="47" max="47" width="10.1640625" style="19" bestFit="1" customWidth="1"/>
    <col min="48" max="49" width="13.5" style="19" bestFit="1" customWidth="1"/>
    <col min="50" max="50" width="13.83203125" style="19" bestFit="1" customWidth="1"/>
    <col min="51" max="52" width="13.5" style="19" bestFit="1" customWidth="1"/>
    <col min="53" max="53" width="14.33203125" style="19" bestFit="1" customWidth="1"/>
    <col min="54" max="54" width="12.1640625" style="19" bestFit="1" customWidth="1"/>
    <col min="55" max="55" width="13.5" style="19" bestFit="1" customWidth="1"/>
    <col min="56" max="56" width="11.5" style="19" bestFit="1" customWidth="1"/>
    <col min="57" max="57" width="17.6640625" style="19" bestFit="1" customWidth="1"/>
    <col min="58" max="58" width="12.1640625" style="19" bestFit="1" customWidth="1"/>
    <col min="59" max="59" width="13.5" style="19" bestFit="1" customWidth="1"/>
    <col min="60" max="60" width="3.83203125" style="19" customWidth="1"/>
    <col min="61" max="61" width="22.5" style="19" customWidth="1"/>
    <col min="62" max="62" width="15.33203125" style="19" bestFit="1" customWidth="1"/>
    <col min="63" max="63" width="10.1640625" style="19" bestFit="1" customWidth="1"/>
    <col min="64" max="65" width="13.5" style="19" bestFit="1" customWidth="1"/>
    <col min="66" max="66" width="13.83203125" style="19" bestFit="1" customWidth="1"/>
    <col min="67" max="68" width="13.5" style="19" bestFit="1" customWidth="1"/>
    <col min="69" max="69" width="14.33203125" style="19" bestFit="1" customWidth="1"/>
    <col min="70" max="70" width="12.1640625" style="19" bestFit="1" customWidth="1"/>
    <col min="71" max="71" width="13.5" style="19" bestFit="1" customWidth="1"/>
    <col min="72" max="72" width="11.5" style="19" bestFit="1" customWidth="1"/>
    <col min="73" max="73" width="17.6640625" style="19" bestFit="1" customWidth="1"/>
    <col min="74" max="74" width="12.1640625" style="19" bestFit="1" customWidth="1"/>
    <col min="75" max="75" width="13.5" style="19" bestFit="1" customWidth="1"/>
    <col min="76" max="76" width="3.83203125" style="19" customWidth="1"/>
    <col min="77" max="77" width="15.5" style="19" bestFit="1" customWidth="1"/>
    <col min="78" max="78" width="8.83203125" style="19" bestFit="1" customWidth="1"/>
    <col min="79" max="83" width="13.5" style="19" bestFit="1" customWidth="1"/>
    <col min="84" max="84" width="12.6640625" style="19" bestFit="1" customWidth="1"/>
    <col min="85" max="85" width="12.83203125" style="19" bestFit="1" customWidth="1"/>
    <col min="86" max="86" width="13.5" style="19" bestFit="1" customWidth="1"/>
    <col min="87" max="88" width="18" style="19" customWidth="1"/>
    <col min="89" max="89" width="13.5" style="19" bestFit="1" customWidth="1"/>
    <col min="90" max="90" width="14.83203125" style="19" bestFit="1" customWidth="1"/>
    <col min="91" max="91" width="3.83203125" style="19" customWidth="1"/>
    <col min="92" max="92" width="21.5" style="19" customWidth="1"/>
    <col min="93" max="95" width="13.5" style="19" bestFit="1" customWidth="1"/>
    <col min="96" max="96" width="10.1640625" style="19" bestFit="1" customWidth="1"/>
    <col min="97" max="97" width="13.5" style="19" bestFit="1" customWidth="1"/>
    <col min="98" max="98" width="14.33203125" style="19" bestFit="1" customWidth="1"/>
    <col min="99" max="99" width="12.1640625" style="19" bestFit="1" customWidth="1"/>
    <col min="100" max="100" width="13.5" style="19" bestFit="1" customWidth="1"/>
    <col min="101" max="101" width="9.33203125" style="19" bestFit="1" customWidth="1"/>
    <col min="102" max="102" width="9.5" style="19" customWidth="1"/>
    <col min="103" max="103" width="9.5" style="19" bestFit="1" customWidth="1"/>
    <col min="104" max="104" width="14.83203125" style="19" bestFit="1" customWidth="1"/>
    <col min="105" max="105" width="3.1640625" style="19" customWidth="1"/>
    <col min="106" max="106" width="9.1640625" style="19" bestFit="1" customWidth="1"/>
    <col min="107" max="109" width="12.5" style="19" bestFit="1" customWidth="1"/>
    <col min="110" max="110" width="10.83203125" style="19" bestFit="1" customWidth="1"/>
    <col min="111" max="111" width="12.5" style="19" bestFit="1" customWidth="1"/>
    <col min="112" max="112" width="12.6640625" style="19" bestFit="1" customWidth="1"/>
    <col min="113" max="113" width="12.83203125" style="19" bestFit="1" customWidth="1"/>
    <col min="114" max="114" width="12.5" style="19" bestFit="1" customWidth="1"/>
    <col min="115" max="115" width="9.5" style="19" bestFit="1" customWidth="1"/>
    <col min="116" max="116" width="9.5" style="19" customWidth="1"/>
    <col min="117" max="117" width="9.5" style="19" bestFit="1" customWidth="1"/>
    <col min="118" max="118" width="14.83203125" style="19" bestFit="1" customWidth="1"/>
    <col min="119" max="119" width="3.5" style="19" customWidth="1"/>
    <col min="120" max="120" width="9.1640625" style="19" bestFit="1" customWidth="1"/>
    <col min="121" max="123" width="12.5" style="19" bestFit="1" customWidth="1"/>
    <col min="124" max="124" width="12.33203125" style="19" bestFit="1" customWidth="1"/>
    <col min="125" max="125" width="12.83203125" style="19" bestFit="1" customWidth="1"/>
    <col min="126" max="126" width="12.6640625" style="19" bestFit="1" customWidth="1"/>
    <col min="127" max="127" width="12.33203125" style="19" bestFit="1" customWidth="1"/>
    <col min="128" max="128" width="12.6640625" style="19" customWidth="1"/>
    <col min="129" max="129" width="9.5" style="19" bestFit="1" customWidth="1"/>
    <col min="130" max="130" width="9.5" style="19" customWidth="1"/>
    <col min="131" max="131" width="14.83203125" style="19" bestFit="1" customWidth="1"/>
    <col min="132" max="132" width="13.1640625" style="19" customWidth="1"/>
    <col min="133" max="133" width="9.83203125" style="19" bestFit="1" customWidth="1"/>
    <col min="134" max="134" width="11.1640625" style="19" bestFit="1" customWidth="1"/>
    <col min="135" max="140" width="15.1640625" style="19" customWidth="1"/>
    <col min="141" max="16384" width="8.6640625" style="19"/>
  </cols>
  <sheetData>
    <row r="1" spans="1:11" ht="14.25" customHeight="1" thickBot="1">
      <c r="A1" s="154"/>
    </row>
    <row r="2" spans="1:11" ht="30" customHeight="1" thickBot="1">
      <c r="A2" s="154"/>
      <c r="B2" s="219" t="s">
        <v>113</v>
      </c>
      <c r="C2" s="220"/>
      <c r="D2" s="220"/>
      <c r="E2" s="220"/>
      <c r="F2" s="220"/>
      <c r="G2" s="220"/>
      <c r="H2" s="220"/>
      <c r="I2" s="220"/>
      <c r="J2" s="220"/>
      <c r="K2" s="221"/>
    </row>
    <row r="3" spans="1:11" ht="64.5" customHeight="1">
      <c r="B3" s="198" t="s">
        <v>130</v>
      </c>
      <c r="C3" s="157" t="s">
        <v>89</v>
      </c>
      <c r="D3" s="158" t="s">
        <v>96</v>
      </c>
      <c r="E3" s="159" t="s">
        <v>103</v>
      </c>
      <c r="F3" s="160" t="s">
        <v>54</v>
      </c>
      <c r="G3" s="161" t="s">
        <v>55</v>
      </c>
      <c r="H3" s="162" t="s">
        <v>56</v>
      </c>
      <c r="I3" s="163" t="s">
        <v>57</v>
      </c>
      <c r="J3" s="164" t="s">
        <v>116</v>
      </c>
      <c r="K3" s="189" t="s">
        <v>111</v>
      </c>
    </row>
    <row r="4" spans="1:11" ht="31.5" customHeight="1" thickBot="1">
      <c r="B4" s="190">
        <v>50</v>
      </c>
      <c r="C4" s="191">
        <f>INDEX(wyniki_ROR_obl,MATCH(zakup_domyslny_mc,wyniki_mc,0))</f>
        <v>114805.54142379112</v>
      </c>
      <c r="D4" s="191">
        <f>INDEX(wyniki_DOR_obl,MATCH(zakup_domyslny_mc,wyniki_mc,0))</f>
        <v>114263.64119833701</v>
      </c>
      <c r="E4" s="191">
        <f>INDEX(wyniki_TOS_obl,MATCH(zakup_domyslny_mc,wyniki_mc,0))</f>
        <v>115035.37108130699</v>
      </c>
      <c r="F4" s="191">
        <f>INDEX(wyniki_COI_obl,MATCH(zakup_domyslny_mc,wyniki_mc,0))</f>
        <v>115814.26007336329</v>
      </c>
      <c r="G4" s="191">
        <f>INDEX(wyniki_EDO_obl,MATCH(zakup_domyslny_mc,wyniki_mc,0))</f>
        <v>116478.76934479266</v>
      </c>
      <c r="H4" s="191">
        <f>INDEX(wyniki_ROS_obl,MATCH(zakup_domyslny_mc,wyniki_mc,0))</f>
        <v>116956.84652304916</v>
      </c>
      <c r="I4" s="191">
        <f>INDEX(wyniki_ROD_obl,MATCH(zakup_domyslny_mc,wyniki_mc,0))</f>
        <v>118235.89957183901</v>
      </c>
      <c r="J4" s="191">
        <f>INDEX(J44:J188,MATCH(zakup_domyslny_mc,B44:B188,0))</f>
        <v>112902.29539841811</v>
      </c>
      <c r="K4" s="192">
        <f>INDEX(wyniki_skumulowana_inflacja,MATCH(zakup_domyslny_mc,wyniki_mc,0))</f>
        <v>113572.3832306525</v>
      </c>
    </row>
    <row r="5" spans="1:11" ht="31.5" customHeight="1" thickBot="1"/>
    <row r="6" spans="1:11" ht="26.25" customHeight="1">
      <c r="B6" s="216" t="s">
        <v>110</v>
      </c>
      <c r="C6" s="217"/>
      <c r="D6" s="217"/>
      <c r="E6" s="217"/>
      <c r="F6" s="217"/>
      <c r="G6" s="217"/>
      <c r="H6" s="217"/>
      <c r="I6" s="217"/>
      <c r="J6" s="217"/>
      <c r="K6" s="218"/>
    </row>
    <row r="7" spans="1:11" ht="51">
      <c r="B7" s="165" t="s">
        <v>109</v>
      </c>
      <c r="C7" s="94" t="s">
        <v>89</v>
      </c>
      <c r="D7" s="99" t="s">
        <v>96</v>
      </c>
      <c r="E7" s="100" t="s">
        <v>103</v>
      </c>
      <c r="F7" s="101" t="s">
        <v>54</v>
      </c>
      <c r="G7" s="102" t="s">
        <v>55</v>
      </c>
      <c r="H7" s="104" t="s">
        <v>56</v>
      </c>
      <c r="I7" s="105" t="s">
        <v>57</v>
      </c>
      <c r="J7" s="148" t="s">
        <v>116</v>
      </c>
      <c r="K7" s="166" t="s">
        <v>111</v>
      </c>
    </row>
    <row r="8" spans="1:11">
      <c r="B8" s="167" t="s">
        <v>112</v>
      </c>
      <c r="C8" s="152">
        <f t="shared" ref="C8:E8" si="0">zakup_domyslny_wartosc</f>
        <v>100000</v>
      </c>
      <c r="D8" s="152">
        <f t="shared" si="0"/>
        <v>100000</v>
      </c>
      <c r="E8" s="152">
        <f t="shared" si="0"/>
        <v>100000</v>
      </c>
      <c r="F8" s="152">
        <f t="shared" ref="F8:K8" si="1">zakup_domyslny_wartosc</f>
        <v>100000</v>
      </c>
      <c r="G8" s="152">
        <f t="shared" si="1"/>
        <v>100000</v>
      </c>
      <c r="H8" s="152">
        <f t="shared" si="1"/>
        <v>100000</v>
      </c>
      <c r="I8" s="152">
        <f t="shared" si="1"/>
        <v>100000</v>
      </c>
      <c r="J8" s="152">
        <f t="shared" si="1"/>
        <v>100000</v>
      </c>
      <c r="K8" s="168">
        <f t="shared" si="1"/>
        <v>100000</v>
      </c>
    </row>
    <row r="9" spans="1:11">
      <c r="B9" s="169">
        <v>1</v>
      </c>
      <c r="C9" s="152">
        <f t="shared" ref="C9:C20" si="2">INDEX(wyniki_ROR_obl,MATCH(B9*12,wyniki_mc,0))</f>
        <v>103095.75841088484</v>
      </c>
      <c r="D9" s="152">
        <f t="shared" ref="D9:D20" si="3">INDEX(wyniki_DOR_obl,MATCH(B9*12,wyniki_mc,0))</f>
        <v>102651.8954837449</v>
      </c>
      <c r="E9" s="152">
        <f t="shared" ref="E9:E20" si="4">INDEX(wyniki_TOS_obl,MATCH(B9*12,wyniki_mc,0))</f>
        <v>102754</v>
      </c>
      <c r="F9" s="152">
        <f t="shared" ref="F9:F20" si="5">INDEX(wyniki_COI_obl,MATCH(B9*12,wyniki_mc,0))</f>
        <v>102227.50000000001</v>
      </c>
      <c r="G9" s="152">
        <f t="shared" ref="G9:G20" si="6">INDEX(wyniki_EDO_obl,MATCH(B9*12,wyniki_mc,0))</f>
        <v>101903.50000000001</v>
      </c>
      <c r="H9" s="152">
        <f t="shared" ref="H9:H20" si="7">INDEX(wyniki_ROS_obl,MATCH(B9*12,wyniki_mc,0))</f>
        <v>102430</v>
      </c>
      <c r="I9" s="152">
        <f t="shared" ref="I9:I20" si="8">INDEX(wyniki_ROD_obl,MATCH(B9*12,wyniki_mc,0))</f>
        <v>102106</v>
      </c>
      <c r="J9" s="152">
        <f t="shared" ref="J9:J20" si="9">FV(INDEX(scenariusz_I_konto,MATCH(B9,scenariusz_I_rok,0))/12*(1-podatek_Belki),12,0,-J8,1)</f>
        <v>102955.28974864181</v>
      </c>
      <c r="K9" s="168">
        <f t="shared" ref="K9:K20" si="10">INDEX(wyniki_skumulowana_inflacja,MATCH(B9*12,wyniki_mc,0))</f>
        <v>103099.99999999999</v>
      </c>
    </row>
    <row r="10" spans="1:11">
      <c r="B10" s="169">
        <v>2</v>
      </c>
      <c r="C10" s="152">
        <f t="shared" si="2"/>
        <v>106700.01436739908</v>
      </c>
      <c r="D10" s="152">
        <f t="shared" si="3"/>
        <v>106515.58706635753</v>
      </c>
      <c r="E10" s="152">
        <f t="shared" si="4"/>
        <v>106474.81600000001</v>
      </c>
      <c r="F10" s="152">
        <f t="shared" si="5"/>
        <v>106067.20477307901</v>
      </c>
      <c r="G10" s="152">
        <f t="shared" si="6"/>
        <v>106255.50850000001</v>
      </c>
      <c r="H10" s="152">
        <f t="shared" si="7"/>
        <v>106767.55</v>
      </c>
      <c r="I10" s="152">
        <f t="shared" si="8"/>
        <v>106896.016</v>
      </c>
      <c r="J10" s="152">
        <f t="shared" si="9"/>
        <v>105997.91687226789</v>
      </c>
      <c r="K10" s="168">
        <f t="shared" si="10"/>
        <v>106296.09999999998</v>
      </c>
    </row>
    <row r="11" spans="1:11">
      <c r="B11" s="169">
        <v>3</v>
      </c>
      <c r="C11" s="152">
        <f t="shared" si="2"/>
        <v>110419.48435106546</v>
      </c>
      <c r="D11" s="152">
        <f t="shared" si="3"/>
        <v>109751.33580261402</v>
      </c>
      <c r="E11" s="152">
        <f t="shared" si="4"/>
        <v>111169.34790400001</v>
      </c>
      <c r="F11" s="152">
        <f t="shared" si="5"/>
        <v>110020.38394769491</v>
      </c>
      <c r="G11" s="152">
        <f t="shared" si="6"/>
        <v>110829.46943349999</v>
      </c>
      <c r="H11" s="152">
        <f t="shared" si="7"/>
        <v>111326.31504999999</v>
      </c>
      <c r="I11" s="152">
        <f t="shared" si="8"/>
        <v>111954.27289600001</v>
      </c>
      <c r="J11" s="152">
        <f t="shared" si="9"/>
        <v>109130.46244336788</v>
      </c>
      <c r="K11" s="168">
        <f t="shared" si="10"/>
        <v>109591.27909999997</v>
      </c>
    </row>
    <row r="12" spans="1:11">
      <c r="B12" s="169">
        <v>4</v>
      </c>
      <c r="C12" s="152">
        <f t="shared" si="2"/>
        <v>114257.88213608663</v>
      </c>
      <c r="D12" s="152">
        <f t="shared" si="3"/>
        <v>113882.10853124423</v>
      </c>
      <c r="E12" s="152">
        <f t="shared" si="4"/>
        <v>114345.37632794966</v>
      </c>
      <c r="F12" s="152">
        <f t="shared" si="5"/>
        <v>115710.39102120369</v>
      </c>
      <c r="G12" s="152">
        <f t="shared" si="6"/>
        <v>115636.70237460849</v>
      </c>
      <c r="H12" s="152">
        <f t="shared" si="7"/>
        <v>116117.57711754998</v>
      </c>
      <c r="I12" s="152">
        <f t="shared" si="8"/>
        <v>117295.79217817602</v>
      </c>
      <c r="J12" s="152">
        <f t="shared" si="9"/>
        <v>112355.58381260214</v>
      </c>
      <c r="K12" s="168">
        <f t="shared" si="10"/>
        <v>112988.60875209997</v>
      </c>
    </row>
    <row r="13" spans="1:11">
      <c r="B13" s="169">
        <v>5</v>
      </c>
      <c r="C13" s="152">
        <f t="shared" si="2"/>
        <v>118218.86285224656</v>
      </c>
      <c r="D13" s="152">
        <f t="shared" si="3"/>
        <v>117320.51545483913</v>
      </c>
      <c r="E13" s="152">
        <f t="shared" si="4"/>
        <v>118485.37449232429</v>
      </c>
      <c r="F13" s="152">
        <f t="shared" si="5"/>
        <v>118394.05540699854</v>
      </c>
      <c r="G13" s="152">
        <f t="shared" si="6"/>
        <v>120689.10419571352</v>
      </c>
      <c r="H13" s="152">
        <f t="shared" si="7"/>
        <v>121153.19355054502</v>
      </c>
      <c r="I13" s="152">
        <f t="shared" si="8"/>
        <v>122936.43654015388</v>
      </c>
      <c r="J13" s="152">
        <f t="shared" si="9"/>
        <v>115676.01686304263</v>
      </c>
      <c r="K13" s="168">
        <f t="shared" si="10"/>
        <v>116491.25562341507</v>
      </c>
    </row>
    <row r="14" spans="1:11">
      <c r="B14" s="169">
        <v>6</v>
      </c>
      <c r="C14" s="152">
        <f t="shared" si="2"/>
        <v>122409.52883136789</v>
      </c>
      <c r="D14" s="152">
        <f t="shared" si="3"/>
        <v>121735.57161040515</v>
      </c>
      <c r="E14" s="152">
        <f t="shared" si="4"/>
        <v>123708.21716937167</v>
      </c>
      <c r="F14" s="152">
        <f t="shared" si="5"/>
        <v>122840.86531408429</v>
      </c>
      <c r="G14" s="152">
        <f t="shared" si="6"/>
        <v>125999.1785096949</v>
      </c>
      <c r="H14" s="152">
        <f t="shared" si="7"/>
        <v>128065.62642162282</v>
      </c>
      <c r="I14" s="152">
        <f t="shared" si="8"/>
        <v>128892.95698640251</v>
      </c>
      <c r="J14" s="152">
        <f t="shared" si="9"/>
        <v>119094.57833103331</v>
      </c>
      <c r="K14" s="168">
        <f t="shared" si="10"/>
        <v>120102.48454774093</v>
      </c>
    </row>
    <row r="15" spans="1:11">
      <c r="B15" s="169">
        <v>7</v>
      </c>
      <c r="C15" s="152">
        <f t="shared" si="2"/>
        <v>126734.1619832639</v>
      </c>
      <c r="D15" s="152">
        <f t="shared" si="3"/>
        <v>125492.27060800041</v>
      </c>
      <c r="E15" s="152">
        <f t="shared" si="4"/>
        <v>127242.5137039548</v>
      </c>
      <c r="F15" s="152">
        <f t="shared" si="5"/>
        <v>127419.09133849572</v>
      </c>
      <c r="G15" s="152">
        <f t="shared" si="6"/>
        <v>131580.06661368933</v>
      </c>
      <c r="H15" s="152">
        <f t="shared" si="7"/>
        <v>131177.96587253342</v>
      </c>
      <c r="I15" s="152">
        <f t="shared" si="8"/>
        <v>135183.04257764106</v>
      </c>
      <c r="J15" s="152">
        <f t="shared" si="9"/>
        <v>122614.16819563853</v>
      </c>
      <c r="K15" s="168">
        <f t="shared" si="10"/>
        <v>123825.66156872088</v>
      </c>
    </row>
    <row r="16" spans="1:11">
      <c r="B16" s="169">
        <v>8</v>
      </c>
      <c r="C16" s="152">
        <f t="shared" si="2"/>
        <v>131197.06780529994</v>
      </c>
      <c r="D16" s="152">
        <f t="shared" si="3"/>
        <v>130215.22825697954</v>
      </c>
      <c r="E16" s="152">
        <f t="shared" si="4"/>
        <v>131849.17684353082</v>
      </c>
      <c r="F16" s="152">
        <f t="shared" si="5"/>
        <v>134008.57720727622</v>
      </c>
      <c r="G16" s="152">
        <f t="shared" si="6"/>
        <v>137445.58001098747</v>
      </c>
      <c r="H16" s="152">
        <f t="shared" si="7"/>
        <v>136732.026639838</v>
      </c>
      <c r="I16" s="152">
        <f t="shared" si="8"/>
        <v>141825.37296198896</v>
      </c>
      <c r="J16" s="152">
        <f t="shared" si="9"/>
        <v>126237.77213870666</v>
      </c>
      <c r="K16" s="168">
        <f t="shared" si="10"/>
        <v>127664.25707735121</v>
      </c>
    </row>
    <row r="17" spans="1:140">
      <c r="B17" s="169">
        <v>9</v>
      </c>
      <c r="C17" s="152">
        <f t="shared" si="2"/>
        <v>135802.61359284623</v>
      </c>
      <c r="D17" s="152">
        <f t="shared" si="3"/>
        <v>134205.07654412443</v>
      </c>
      <c r="E17" s="152">
        <f t="shared" si="4"/>
        <v>137660.44517422552</v>
      </c>
      <c r="F17" s="152">
        <f t="shared" si="5"/>
        <v>137116.70515713282</v>
      </c>
      <c r="G17" s="152">
        <f t="shared" si="6"/>
        <v>143610.23459154784</v>
      </c>
      <c r="H17" s="152">
        <f t="shared" si="7"/>
        <v>142569.30168140196</v>
      </c>
      <c r="I17" s="152">
        <f t="shared" si="8"/>
        <v>148839.67384786037</v>
      </c>
      <c r="J17" s="152">
        <f t="shared" si="9"/>
        <v>129968.46407763565</v>
      </c>
      <c r="K17" s="168">
        <f t="shared" si="10"/>
        <v>131621.84904674906</v>
      </c>
    </row>
    <row r="18" spans="1:140">
      <c r="B18" s="170">
        <v>10</v>
      </c>
      <c r="C18" s="153">
        <f t="shared" si="2"/>
        <v>140555.36114942277</v>
      </c>
      <c r="D18" s="153">
        <f t="shared" si="3"/>
        <v>139256.07545803348</v>
      </c>
      <c r="E18" s="153">
        <f t="shared" si="4"/>
        <v>141593.40198295706</v>
      </c>
      <c r="F18" s="153">
        <f t="shared" si="5"/>
        <v>142266.62484094576</v>
      </c>
      <c r="G18" s="153">
        <f t="shared" si="6"/>
        <v>152519.28655571677</v>
      </c>
      <c r="H18" s="153">
        <f t="shared" si="7"/>
        <v>148704.23365961362</v>
      </c>
      <c r="I18" s="153">
        <f t="shared" si="8"/>
        <v>156246.77558334055</v>
      </c>
      <c r="J18" s="153">
        <f t="shared" si="9"/>
        <v>133809.40877298923</v>
      </c>
      <c r="K18" s="171">
        <f t="shared" si="10"/>
        <v>135702.12636719827</v>
      </c>
    </row>
    <row r="19" spans="1:140" ht="21">
      <c r="A19" s="155"/>
      <c r="B19" s="169">
        <v>11</v>
      </c>
      <c r="C19" s="152">
        <f t="shared" si="2"/>
        <v>145459.90413777149</v>
      </c>
      <c r="D19" s="152">
        <f t="shared" si="3"/>
        <v>143494.5526914894</v>
      </c>
      <c r="E19" s="152">
        <f t="shared" si="4"/>
        <v>146719.27057514511</v>
      </c>
      <c r="F19" s="152">
        <f t="shared" si="5"/>
        <v>147568.73957323769</v>
      </c>
      <c r="G19" s="152">
        <f t="shared" si="6"/>
        <v>155578.75201172853</v>
      </c>
      <c r="H19" s="152">
        <f t="shared" si="7"/>
        <v>155152.00177524067</v>
      </c>
      <c r="I19" s="152">
        <f t="shared" si="8"/>
        <v>164068.67501600762</v>
      </c>
      <c r="J19" s="152">
        <f t="shared" si="9"/>
        <v>137763.86451317559</v>
      </c>
      <c r="K19" s="172">
        <f t="shared" si="10"/>
        <v>139908.89228458141</v>
      </c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140" ht="16" thickBot="1">
      <c r="A20" s="155"/>
      <c r="B20" s="173">
        <v>12</v>
      </c>
      <c r="C20" s="174">
        <f t="shared" si="2"/>
        <v>150521.25291400295</v>
      </c>
      <c r="D20" s="174">
        <f t="shared" si="3"/>
        <v>148894.78529915755</v>
      </c>
      <c r="E20" s="174">
        <f t="shared" si="4"/>
        <v>153185.1503303831</v>
      </c>
      <c r="F20" s="174">
        <f t="shared" si="5"/>
        <v>155199.96715867429</v>
      </c>
      <c r="G20" s="174">
        <f t="shared" si="6"/>
        <v>162222.10422257101</v>
      </c>
      <c r="H20" s="174">
        <f t="shared" si="7"/>
        <v>164002.15932978262</v>
      </c>
      <c r="I20" s="174">
        <f t="shared" si="8"/>
        <v>174758.60081690404</v>
      </c>
      <c r="J20" s="174">
        <f t="shared" si="9"/>
        <v>141835.18587846626</v>
      </c>
      <c r="K20" s="175">
        <f t="shared" si="10"/>
        <v>144246.06794540343</v>
      </c>
    </row>
    <row r="21" spans="1:140" ht="31.5" customHeight="1" thickBot="1"/>
    <row r="22" spans="1:140" ht="31.5" customHeight="1">
      <c r="B22" s="222" t="s">
        <v>114</v>
      </c>
      <c r="C22" s="223"/>
      <c r="D22" s="223"/>
      <c r="E22" s="223"/>
      <c r="F22" s="223"/>
      <c r="G22" s="223"/>
      <c r="H22" s="223"/>
      <c r="I22" s="223"/>
      <c r="J22" s="223"/>
      <c r="K22" s="224"/>
    </row>
    <row r="23" spans="1:140" ht="31.5" customHeight="1">
      <c r="B23" s="165" t="s">
        <v>109</v>
      </c>
      <c r="C23" s="94" t="s">
        <v>89</v>
      </c>
      <c r="D23" s="99" t="s">
        <v>96</v>
      </c>
      <c r="E23" s="100" t="s">
        <v>103</v>
      </c>
      <c r="F23" s="101" t="s">
        <v>54</v>
      </c>
      <c r="G23" s="102" t="s">
        <v>55</v>
      </c>
      <c r="H23" s="104" t="s">
        <v>56</v>
      </c>
      <c r="I23" s="105" t="s">
        <v>57</v>
      </c>
      <c r="J23" s="148" t="s">
        <v>116</v>
      </c>
      <c r="K23" s="176" t="s">
        <v>115</v>
      </c>
      <c r="O23" s="50"/>
      <c r="P23" s="50"/>
      <c r="Q23" s="50"/>
      <c r="R23" s="50"/>
      <c r="S23" s="50"/>
      <c r="T23" s="50"/>
      <c r="U23" s="50"/>
      <c r="V23" s="50"/>
      <c r="W23" s="50"/>
      <c r="X23" s="50"/>
    </row>
    <row r="24" spans="1:140" ht="21">
      <c r="B24" s="177">
        <v>0</v>
      </c>
      <c r="C24" s="149">
        <f t="shared" ref="C24:K24" si="11">C8/zakup_domyslny_wartosc-1</f>
        <v>0</v>
      </c>
      <c r="D24" s="149">
        <f t="shared" si="11"/>
        <v>0</v>
      </c>
      <c r="E24" s="149">
        <f t="shared" si="11"/>
        <v>0</v>
      </c>
      <c r="F24" s="149">
        <f t="shared" si="11"/>
        <v>0</v>
      </c>
      <c r="G24" s="149">
        <f t="shared" si="11"/>
        <v>0</v>
      </c>
      <c r="H24" s="149">
        <f t="shared" si="11"/>
        <v>0</v>
      </c>
      <c r="I24" s="149">
        <f t="shared" si="11"/>
        <v>0</v>
      </c>
      <c r="J24" s="149">
        <f t="shared" si="11"/>
        <v>0</v>
      </c>
      <c r="K24" s="178">
        <f t="shared" si="11"/>
        <v>0</v>
      </c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140">
      <c r="B25" s="179">
        <v>1</v>
      </c>
      <c r="C25" s="149">
        <f t="shared" ref="C25:K25" si="12">C9/zakup_domyslny_wartosc-1</f>
        <v>3.0957584108848302E-2</v>
      </c>
      <c r="D25" s="149">
        <f t="shared" si="12"/>
        <v>2.6518954837448927E-2</v>
      </c>
      <c r="E25" s="149">
        <f t="shared" si="12"/>
        <v>2.7539999999999898E-2</v>
      </c>
      <c r="F25" s="149">
        <f t="shared" si="12"/>
        <v>2.2275000000000045E-2</v>
      </c>
      <c r="G25" s="149">
        <f t="shared" si="12"/>
        <v>1.9035000000000135E-2</v>
      </c>
      <c r="H25" s="149">
        <f t="shared" si="12"/>
        <v>2.4299999999999988E-2</v>
      </c>
      <c r="I25" s="149">
        <f t="shared" si="12"/>
        <v>2.1060000000000079E-2</v>
      </c>
      <c r="J25" s="149">
        <f t="shared" si="12"/>
        <v>2.9552897486418095E-2</v>
      </c>
      <c r="K25" s="178">
        <f t="shared" si="12"/>
        <v>3.0999999999999917E-2</v>
      </c>
    </row>
    <row r="26" spans="1:140" ht="19">
      <c r="B26" s="179">
        <v>2</v>
      </c>
      <c r="C26" s="149">
        <f t="shared" ref="C26:K26" si="13">C10/zakup_domyslny_wartosc-1</f>
        <v>6.7000143673990875E-2</v>
      </c>
      <c r="D26" s="149">
        <f t="shared" si="13"/>
        <v>6.515587066357531E-2</v>
      </c>
      <c r="E26" s="149">
        <f t="shared" si="13"/>
        <v>6.4748160000000166E-2</v>
      </c>
      <c r="F26" s="149">
        <f t="shared" si="13"/>
        <v>6.0672047730790046E-2</v>
      </c>
      <c r="G26" s="149">
        <f t="shared" si="13"/>
        <v>6.2555085000000066E-2</v>
      </c>
      <c r="H26" s="149">
        <f t="shared" si="13"/>
        <v>6.76755E-2</v>
      </c>
      <c r="I26" s="149">
        <f t="shared" si="13"/>
        <v>6.8960160000000048E-2</v>
      </c>
      <c r="J26" s="149">
        <f t="shared" si="13"/>
        <v>5.9979168722678944E-2</v>
      </c>
      <c r="K26" s="178">
        <f t="shared" si="13"/>
        <v>6.2960999999999823E-2</v>
      </c>
      <c r="M26" s="34"/>
      <c r="T26" s="75"/>
    </row>
    <row r="27" spans="1:140" ht="51">
      <c r="B27" s="179">
        <v>3</v>
      </c>
      <c r="C27" s="149">
        <f t="shared" ref="C27:K27" si="14">C11/zakup_domyslny_wartosc-1</f>
        <v>0.10419484351065456</v>
      </c>
      <c r="D27" s="149">
        <f t="shared" si="14"/>
        <v>9.7513358026140251E-2</v>
      </c>
      <c r="E27" s="149">
        <f t="shared" si="14"/>
        <v>0.11169347904000015</v>
      </c>
      <c r="F27" s="149">
        <f t="shared" si="14"/>
        <v>0.10020383947694911</v>
      </c>
      <c r="G27" s="149">
        <f t="shared" si="14"/>
        <v>0.10829469433500005</v>
      </c>
      <c r="H27" s="149">
        <f t="shared" si="14"/>
        <v>0.11326315049999991</v>
      </c>
      <c r="I27" s="149">
        <f t="shared" si="14"/>
        <v>0.11954272896000018</v>
      </c>
      <c r="J27" s="149">
        <f t="shared" si="14"/>
        <v>9.1304624433678816E-2</v>
      </c>
      <c r="K27" s="178">
        <f t="shared" si="14"/>
        <v>9.591279099999972E-2</v>
      </c>
      <c r="M27" s="35"/>
      <c r="T27" s="77"/>
      <c r="EE27" s="95" t="s">
        <v>7</v>
      </c>
      <c r="EF27" s="95" t="s">
        <v>6</v>
      </c>
      <c r="EG27" s="147" t="s">
        <v>52</v>
      </c>
      <c r="EH27" s="95" t="s">
        <v>81</v>
      </c>
      <c r="EI27" s="95" t="s">
        <v>82</v>
      </c>
      <c r="EJ27" s="147" t="s">
        <v>102</v>
      </c>
    </row>
    <row r="28" spans="1:140" ht="16">
      <c r="B28" s="179">
        <v>4</v>
      </c>
      <c r="C28" s="149">
        <f t="shared" ref="C28:K28" si="15">C12/zakup_domyslny_wartosc-1</f>
        <v>0.1425788213608663</v>
      </c>
      <c r="D28" s="149">
        <f t="shared" si="15"/>
        <v>0.1388210853124423</v>
      </c>
      <c r="E28" s="149">
        <f t="shared" si="15"/>
        <v>0.14345376327949655</v>
      </c>
      <c r="F28" s="149">
        <f t="shared" si="15"/>
        <v>0.15710391021203685</v>
      </c>
      <c r="G28" s="149">
        <f t="shared" si="15"/>
        <v>0.1563670237460848</v>
      </c>
      <c r="H28" s="149">
        <f t="shared" si="15"/>
        <v>0.16117577117549975</v>
      </c>
      <c r="I28" s="149">
        <f t="shared" si="15"/>
        <v>0.17295792178176028</v>
      </c>
      <c r="J28" s="149">
        <f t="shared" si="15"/>
        <v>0.12355583812602133</v>
      </c>
      <c r="K28" s="178">
        <f t="shared" si="15"/>
        <v>0.12988608752099973</v>
      </c>
      <c r="M28" s="35"/>
      <c r="T28" s="77"/>
      <c r="U28" s="75"/>
      <c r="V28" s="76"/>
      <c r="EE28" s="95">
        <v>1</v>
      </c>
      <c r="EF28" s="103">
        <f>IF(trigger_inflacja="chcę taki sam w kazdym roku",'WPISZ ZAŁOŻENIA'!$B$12,'WPISZ ZAŁOŻENIA'!B13)</f>
        <v>3.1E-2</v>
      </c>
      <c r="EG28" s="103">
        <f>EF28</f>
        <v>3.1E-2</v>
      </c>
      <c r="EH28" s="103">
        <f>IF(trigger_inflacja="chcę taki sam w kazdym roku",'WPISZ ZAŁOŻENIA'!$C$12,'WPISZ ZAŁOŻENIA'!C13)</f>
        <v>3.7499999999999999E-2</v>
      </c>
      <c r="EI28" s="103">
        <f>IF(trigger_inflacja="chcę taki sam w kazdym roku",'WPISZ ZAŁOŻENIA'!$D$12,'WPISZ ZAŁOŻENIA'!D13)</f>
        <v>3.9100000000000003E-2</v>
      </c>
      <c r="EJ28" s="103">
        <f>IF(trigger_inflacja="chcę taki sam w kazdym roku",'WPISZ ZAŁOŻENIA'!$E$12,'WPISZ ZAŁOŻENIA'!E13)</f>
        <v>3.5999999999999997E-2</v>
      </c>
    </row>
    <row r="29" spans="1:140" ht="16">
      <c r="B29" s="179">
        <v>5</v>
      </c>
      <c r="C29" s="149">
        <f t="shared" ref="C29:K29" si="16">C13/zakup_domyslny_wartosc-1</f>
        <v>0.18218862852246565</v>
      </c>
      <c r="D29" s="149">
        <f t="shared" si="16"/>
        <v>0.17320515454839125</v>
      </c>
      <c r="E29" s="149">
        <f t="shared" si="16"/>
        <v>0.18485374492324302</v>
      </c>
      <c r="F29" s="149">
        <f t="shared" si="16"/>
        <v>0.18394055406998544</v>
      </c>
      <c r="G29" s="149">
        <f t="shared" si="16"/>
        <v>0.20689104195713526</v>
      </c>
      <c r="H29" s="149">
        <f t="shared" si="16"/>
        <v>0.21153193550545013</v>
      </c>
      <c r="I29" s="149">
        <f t="shared" si="16"/>
        <v>0.22936436540153871</v>
      </c>
      <c r="J29" s="149">
        <f t="shared" si="16"/>
        <v>0.1567601686304263</v>
      </c>
      <c r="K29" s="178">
        <f t="shared" si="16"/>
        <v>0.16491255623415069</v>
      </c>
      <c r="M29" s="36"/>
      <c r="T29" s="77"/>
      <c r="U29" s="75"/>
      <c r="V29" s="76"/>
      <c r="EE29" s="95">
        <v>2</v>
      </c>
      <c r="EF29" s="103">
        <f>IF(trigger_inflacja="chcę taki sam w kazdym roku",'WPISZ ZAŁOŻENIA'!$B$12,'WPISZ ZAŁOŻENIA'!B14)</f>
        <v>3.1E-2</v>
      </c>
      <c r="EG29" s="103">
        <f t="shared" ref="EG29:EG39" si="17">(1+EG28)*(1+EF29)-1</f>
        <v>6.2960999999999823E-2</v>
      </c>
      <c r="EH29" s="103">
        <f>IF(trigger_inflacja="chcę taki sam w kazdym roku",'WPISZ ZAŁOŻENIA'!$C$12,'WPISZ ZAŁOŻENIA'!C14)</f>
        <v>3.7499999999999999E-2</v>
      </c>
      <c r="EI29" s="103">
        <f>IF(trigger_inflacja="chcę taki sam w kazdym roku",'WPISZ ZAŁOŻENIA'!$D$12,'WPISZ ZAŁOŻENIA'!D14)</f>
        <v>3.9100000000000003E-2</v>
      </c>
      <c r="EJ29" s="103">
        <f>IF(trigger_inflacja="chcę taki sam w kazdym roku",'WPISZ ZAŁOŻENIA'!$E$12,'WPISZ ZAŁOŻENIA'!E14)</f>
        <v>3.5999999999999997E-2</v>
      </c>
    </row>
    <row r="30" spans="1:140" ht="16">
      <c r="B30" s="179">
        <v>6</v>
      </c>
      <c r="C30" s="149">
        <f t="shared" ref="C30:K30" si="18">C14/zakup_domyslny_wartosc-1</f>
        <v>0.22409528831367886</v>
      </c>
      <c r="D30" s="149">
        <f t="shared" si="18"/>
        <v>0.21735571610405158</v>
      </c>
      <c r="E30" s="149">
        <f t="shared" si="18"/>
        <v>0.23708217169371659</v>
      </c>
      <c r="F30" s="149">
        <f t="shared" si="18"/>
        <v>0.22840865314084291</v>
      </c>
      <c r="G30" s="149">
        <f t="shared" si="18"/>
        <v>0.25999178509694909</v>
      </c>
      <c r="H30" s="149">
        <f t="shared" si="18"/>
        <v>0.28065626421622825</v>
      </c>
      <c r="I30" s="149">
        <f t="shared" si="18"/>
        <v>0.28892956986402507</v>
      </c>
      <c r="J30" s="149">
        <f t="shared" si="18"/>
        <v>0.19094578331033296</v>
      </c>
      <c r="K30" s="178">
        <f t="shared" si="18"/>
        <v>0.20102484547740929</v>
      </c>
      <c r="M30" s="36"/>
      <c r="T30" s="77"/>
      <c r="U30" s="75"/>
      <c r="V30" s="76"/>
      <c r="EE30" s="95">
        <v>3</v>
      </c>
      <c r="EF30" s="103">
        <f>IF(trigger_inflacja="chcę taki sam w kazdym roku",'WPISZ ZAŁOŻENIA'!$B$12,'WPISZ ZAŁOŻENIA'!B15)</f>
        <v>3.1E-2</v>
      </c>
      <c r="EG30" s="103">
        <f t="shared" si="17"/>
        <v>9.591279099999972E-2</v>
      </c>
      <c r="EH30" s="103">
        <f>IF(trigger_inflacja="chcę taki sam w kazdym roku",'WPISZ ZAŁOŻENIA'!$C$12,'WPISZ ZAŁOŻENIA'!C15)</f>
        <v>3.7499999999999999E-2</v>
      </c>
      <c r="EI30" s="103">
        <f>IF(trigger_inflacja="chcę taki sam w kazdym roku",'WPISZ ZAŁOŻENIA'!$D$12,'WPISZ ZAŁOŻENIA'!D15)</f>
        <v>3.9100000000000003E-2</v>
      </c>
      <c r="EJ30" s="103">
        <f>IF(trigger_inflacja="chcę taki sam w kazdym roku",'WPISZ ZAŁOŻENIA'!$E$12,'WPISZ ZAŁOŻENIA'!E15)</f>
        <v>3.5999999999999997E-2</v>
      </c>
    </row>
    <row r="31" spans="1:140" ht="16">
      <c r="B31" s="179">
        <v>7</v>
      </c>
      <c r="C31" s="149">
        <f t="shared" ref="C31:K31" si="19">C15/zakup_domyslny_wartosc-1</f>
        <v>0.26734161983263904</v>
      </c>
      <c r="D31" s="149">
        <f t="shared" si="19"/>
        <v>0.25492270608000411</v>
      </c>
      <c r="E31" s="149">
        <f t="shared" si="19"/>
        <v>0.27242513703954807</v>
      </c>
      <c r="F31" s="149">
        <f t="shared" si="19"/>
        <v>0.27419091338495716</v>
      </c>
      <c r="G31" s="149">
        <f t="shared" si="19"/>
        <v>0.31580066613689328</v>
      </c>
      <c r="H31" s="149">
        <f t="shared" si="19"/>
        <v>0.31177965872533409</v>
      </c>
      <c r="I31" s="149">
        <f t="shared" si="19"/>
        <v>0.35183042577641066</v>
      </c>
      <c r="J31" s="149">
        <f t="shared" si="19"/>
        <v>0.22614168195638529</v>
      </c>
      <c r="K31" s="178">
        <f t="shared" si="19"/>
        <v>0.23825661568720879</v>
      </c>
      <c r="M31" s="36"/>
      <c r="T31" s="77"/>
      <c r="U31" s="75"/>
      <c r="V31" s="76"/>
      <c r="EE31" s="95">
        <v>4</v>
      </c>
      <c r="EF31" s="103">
        <f>IF(trigger_inflacja="chcę taki sam w kazdym roku",'WPISZ ZAŁOŻENIA'!$B$12,'WPISZ ZAŁOŻENIA'!B16)</f>
        <v>3.1E-2</v>
      </c>
      <c r="EG31" s="103">
        <f t="shared" si="17"/>
        <v>0.12988608752099973</v>
      </c>
      <c r="EH31" s="103">
        <f>IF(trigger_inflacja="chcę taki sam w kazdym roku",'WPISZ ZAŁOŻENIA'!$C$12,'WPISZ ZAŁOŻENIA'!C16)</f>
        <v>3.7499999999999999E-2</v>
      </c>
      <c r="EI31" s="103">
        <f>IF(trigger_inflacja="chcę taki sam w kazdym roku",'WPISZ ZAŁOŻENIA'!$D$12,'WPISZ ZAŁOŻENIA'!D16)</f>
        <v>3.9100000000000003E-2</v>
      </c>
      <c r="EJ31" s="103">
        <f>IF(trigger_inflacja="chcę taki sam w kazdym roku",'WPISZ ZAŁOŻENIA'!$E$12,'WPISZ ZAŁOŻENIA'!E16)</f>
        <v>3.5999999999999997E-2</v>
      </c>
    </row>
    <row r="32" spans="1:140" ht="16">
      <c r="B32" s="179">
        <v>8</v>
      </c>
      <c r="C32" s="149">
        <f t="shared" ref="C32:K32" si="20">C16/zakup_domyslny_wartosc-1</f>
        <v>0.31197067805299938</v>
      </c>
      <c r="D32" s="149">
        <f t="shared" si="20"/>
        <v>0.30215228256979532</v>
      </c>
      <c r="E32" s="149">
        <f t="shared" si="20"/>
        <v>0.31849176843530813</v>
      </c>
      <c r="F32" s="149">
        <f t="shared" si="20"/>
        <v>0.34008577207276214</v>
      </c>
      <c r="G32" s="149">
        <f t="shared" si="20"/>
        <v>0.37445580010987478</v>
      </c>
      <c r="H32" s="149">
        <f t="shared" si="20"/>
        <v>0.36732026639838011</v>
      </c>
      <c r="I32" s="149">
        <f t="shared" si="20"/>
        <v>0.4182537296198896</v>
      </c>
      <c r="J32" s="149">
        <f t="shared" si="20"/>
        <v>0.26237772138706661</v>
      </c>
      <c r="K32" s="178">
        <f t="shared" si="20"/>
        <v>0.27664257077351206</v>
      </c>
      <c r="M32" s="36"/>
      <c r="T32" s="77"/>
      <c r="U32" s="75"/>
      <c r="V32" s="76"/>
      <c r="EE32" s="95">
        <v>5</v>
      </c>
      <c r="EF32" s="103">
        <f>IF(trigger_inflacja="chcę taki sam w kazdym roku",'WPISZ ZAŁOŻENIA'!$B$12,'WPISZ ZAŁOŻENIA'!B17)</f>
        <v>3.1E-2</v>
      </c>
      <c r="EG32" s="103">
        <f t="shared" si="17"/>
        <v>0.16491255623415069</v>
      </c>
      <c r="EH32" s="103">
        <f>IF(trigger_inflacja="chcę taki sam w kazdym roku",'WPISZ ZAŁOŻENIA'!$C$12,'WPISZ ZAŁOŻENIA'!C17)</f>
        <v>3.7499999999999999E-2</v>
      </c>
      <c r="EI32" s="103">
        <f>IF(trigger_inflacja="chcę taki sam w kazdym roku",'WPISZ ZAŁOŻENIA'!$D$12,'WPISZ ZAŁOŻENIA'!D17)</f>
        <v>3.9100000000000003E-2</v>
      </c>
      <c r="EJ32" s="103">
        <f>IF(trigger_inflacja="chcę taki sam w kazdym roku",'WPISZ ZAŁOŻENIA'!$E$12,'WPISZ ZAŁOŻENIA'!E17)</f>
        <v>3.5999999999999997E-2</v>
      </c>
    </row>
    <row r="33" spans="1:140" ht="16">
      <c r="B33" s="179">
        <v>9</v>
      </c>
      <c r="C33" s="149">
        <f t="shared" ref="C33:K33" si="21">C17/zakup_domyslny_wartosc-1</f>
        <v>0.35802613592846222</v>
      </c>
      <c r="D33" s="149">
        <f t="shared" si="21"/>
        <v>0.34205076544124435</v>
      </c>
      <c r="E33" s="149">
        <f t="shared" si="21"/>
        <v>0.3766044517422551</v>
      </c>
      <c r="F33" s="149">
        <f t="shared" si="21"/>
        <v>0.37116705157132812</v>
      </c>
      <c r="G33" s="149">
        <f t="shared" si="21"/>
        <v>0.43610234591547847</v>
      </c>
      <c r="H33" s="149">
        <f t="shared" si="21"/>
        <v>0.42569301681401961</v>
      </c>
      <c r="I33" s="149">
        <f t="shared" si="21"/>
        <v>0.48839673847860365</v>
      </c>
      <c r="J33" s="149">
        <f t="shared" si="21"/>
        <v>0.29968464077635648</v>
      </c>
      <c r="K33" s="178">
        <f t="shared" si="21"/>
        <v>0.31621849046749073</v>
      </c>
      <c r="M33" s="36"/>
      <c r="T33" s="77"/>
      <c r="U33" s="75"/>
      <c r="V33" s="76"/>
      <c r="EE33" s="95">
        <v>6</v>
      </c>
      <c r="EF33" s="103">
        <f>IF(trigger_inflacja="chcę taki sam w kazdym roku",'WPISZ ZAŁOŻENIA'!$B$12,'WPISZ ZAŁOŻENIA'!B18)</f>
        <v>3.1E-2</v>
      </c>
      <c r="EG33" s="103">
        <f t="shared" si="17"/>
        <v>0.20102484547740929</v>
      </c>
      <c r="EH33" s="103">
        <f>IF(trigger_inflacja="chcę taki sam w kazdym roku",'WPISZ ZAŁOŻENIA'!$C$12,'WPISZ ZAŁOŻENIA'!C18)</f>
        <v>3.7499999999999999E-2</v>
      </c>
      <c r="EI33" s="103">
        <f>IF(trigger_inflacja="chcę taki sam w kazdym roku",'WPISZ ZAŁOŻENIA'!$D$12,'WPISZ ZAŁOŻENIA'!D18)</f>
        <v>3.9100000000000003E-2</v>
      </c>
      <c r="EJ33" s="103">
        <f>IF(trigger_inflacja="chcę taki sam w kazdym roku",'WPISZ ZAŁOŻENIA'!$E$12,'WPISZ ZAŁOŻENIA'!E18)</f>
        <v>3.5999999999999997E-2</v>
      </c>
    </row>
    <row r="34" spans="1:140" ht="16">
      <c r="B34" s="180">
        <v>10</v>
      </c>
      <c r="C34" s="150">
        <f t="shared" ref="C34:K34" si="22">C18/zakup_domyslny_wartosc-1</f>
        <v>0.40555361149422775</v>
      </c>
      <c r="D34" s="150">
        <f t="shared" si="22"/>
        <v>0.39256075458033468</v>
      </c>
      <c r="E34" s="150">
        <f t="shared" si="22"/>
        <v>0.41593401982957068</v>
      </c>
      <c r="F34" s="150">
        <f t="shared" si="22"/>
        <v>0.42266624840945766</v>
      </c>
      <c r="G34" s="150">
        <f t="shared" si="22"/>
        <v>0.5251928655571676</v>
      </c>
      <c r="H34" s="150">
        <f t="shared" si="22"/>
        <v>0.48704233659613605</v>
      </c>
      <c r="I34" s="150">
        <f t="shared" si="22"/>
        <v>0.56246775583340547</v>
      </c>
      <c r="J34" s="150">
        <f t="shared" si="22"/>
        <v>0.33809408772989236</v>
      </c>
      <c r="K34" s="181">
        <f t="shared" si="22"/>
        <v>0.35702126367198272</v>
      </c>
      <c r="M34" s="36"/>
      <c r="T34" s="77"/>
      <c r="U34" s="75"/>
      <c r="V34" s="76"/>
      <c r="EE34" s="95">
        <v>7</v>
      </c>
      <c r="EF34" s="103">
        <f>IF(trigger_inflacja="chcę taki sam w kazdym roku",'WPISZ ZAŁOŻENIA'!$B$12,'WPISZ ZAŁOŻENIA'!B19)</f>
        <v>3.1E-2</v>
      </c>
      <c r="EG34" s="103">
        <f t="shared" si="17"/>
        <v>0.23825661568720879</v>
      </c>
      <c r="EH34" s="103">
        <f>IF(trigger_inflacja="chcę taki sam w kazdym roku",'WPISZ ZAŁOŻENIA'!$C$12,'WPISZ ZAŁOŻENIA'!C19)</f>
        <v>3.7499999999999999E-2</v>
      </c>
      <c r="EI34" s="103">
        <f>IF(trigger_inflacja="chcę taki sam w kazdym roku",'WPISZ ZAŁOŻENIA'!$D$12,'WPISZ ZAŁOŻENIA'!D19)</f>
        <v>3.9100000000000003E-2</v>
      </c>
      <c r="EJ34" s="103">
        <f>IF(trigger_inflacja="chcę taki sam w kazdym roku",'WPISZ ZAŁOŻENIA'!$E$12,'WPISZ ZAŁOŻENIA'!E19)</f>
        <v>3.5999999999999997E-2</v>
      </c>
    </row>
    <row r="35" spans="1:140" ht="16">
      <c r="B35" s="179">
        <v>11</v>
      </c>
      <c r="C35" s="149">
        <f t="shared" ref="C35:K35" si="23">C19/zakup_domyslny_wartosc-1</f>
        <v>0.45459904137771479</v>
      </c>
      <c r="D35" s="149">
        <f t="shared" si="23"/>
        <v>0.43494552691489408</v>
      </c>
      <c r="E35" s="149">
        <f t="shared" si="23"/>
        <v>0.46719270575145111</v>
      </c>
      <c r="F35" s="149">
        <f t="shared" si="23"/>
        <v>0.47568739573237684</v>
      </c>
      <c r="G35" s="149">
        <f t="shared" si="23"/>
        <v>0.55578752011728527</v>
      </c>
      <c r="H35" s="149">
        <f t="shared" si="23"/>
        <v>0.55152001775240667</v>
      </c>
      <c r="I35" s="149">
        <f t="shared" si="23"/>
        <v>0.64068675016007615</v>
      </c>
      <c r="J35" s="149">
        <f t="shared" si="23"/>
        <v>0.37763864513175593</v>
      </c>
      <c r="K35" s="178">
        <f t="shared" si="23"/>
        <v>0.3990889228458141</v>
      </c>
      <c r="M35" s="36"/>
      <c r="T35" s="77"/>
      <c r="U35" s="75"/>
      <c r="V35" s="76"/>
      <c r="EE35" s="95">
        <v>8</v>
      </c>
      <c r="EF35" s="103">
        <f>IF(trigger_inflacja="chcę taki sam w kazdym roku",'WPISZ ZAŁOŻENIA'!$B$12,'WPISZ ZAŁOŻENIA'!B20)</f>
        <v>3.1E-2</v>
      </c>
      <c r="EG35" s="103">
        <f t="shared" si="17"/>
        <v>0.27664257077351206</v>
      </c>
      <c r="EH35" s="103">
        <f>IF(trigger_inflacja="chcę taki sam w kazdym roku",'WPISZ ZAŁOŻENIA'!$C$12,'WPISZ ZAŁOŻENIA'!C20)</f>
        <v>3.7499999999999999E-2</v>
      </c>
      <c r="EI35" s="103">
        <f>IF(trigger_inflacja="chcę taki sam w kazdym roku",'WPISZ ZAŁOŻENIA'!$D$12,'WPISZ ZAŁOŻENIA'!D20)</f>
        <v>3.9100000000000003E-2</v>
      </c>
      <c r="EJ35" s="103">
        <f>IF(trigger_inflacja="chcę taki sam w kazdym roku",'WPISZ ZAŁOŻENIA'!$E$12,'WPISZ ZAŁOŻENIA'!E20)</f>
        <v>3.5999999999999997E-2</v>
      </c>
    </row>
    <row r="36" spans="1:140" ht="17" thickBot="1">
      <c r="B36" s="182">
        <v>12</v>
      </c>
      <c r="C36" s="183">
        <f t="shared" ref="C36:K36" si="24">C20/zakup_domyslny_wartosc-1</f>
        <v>0.50521252914002956</v>
      </c>
      <c r="D36" s="183">
        <f t="shared" si="24"/>
        <v>0.48894785299157539</v>
      </c>
      <c r="E36" s="183">
        <f t="shared" si="24"/>
        <v>0.53185150330383091</v>
      </c>
      <c r="F36" s="183">
        <f t="shared" si="24"/>
        <v>0.55199967158674301</v>
      </c>
      <c r="G36" s="183">
        <f t="shared" si="24"/>
        <v>0.62222104222571017</v>
      </c>
      <c r="H36" s="183">
        <f t="shared" si="24"/>
        <v>0.64002159329782615</v>
      </c>
      <c r="I36" s="183">
        <f t="shared" si="24"/>
        <v>0.74758600816904042</v>
      </c>
      <c r="J36" s="183">
        <f t="shared" si="24"/>
        <v>0.41835185878466263</v>
      </c>
      <c r="K36" s="184">
        <f t="shared" si="24"/>
        <v>0.44246067945403422</v>
      </c>
      <c r="M36" s="36"/>
      <c r="T36" s="77"/>
      <c r="U36" s="75"/>
      <c r="V36" s="76"/>
      <c r="EE36" s="95">
        <v>9</v>
      </c>
      <c r="EF36" s="103">
        <f>IF(trigger_inflacja="chcę taki sam w kazdym roku",'WPISZ ZAŁOŻENIA'!$B$12,'WPISZ ZAŁOŻENIA'!B21)</f>
        <v>3.1E-2</v>
      </c>
      <c r="EG36" s="103">
        <f t="shared" si="17"/>
        <v>0.31621849046749073</v>
      </c>
      <c r="EH36" s="103">
        <f>IF(trigger_inflacja="chcę taki sam w kazdym roku",'WPISZ ZAŁOŻENIA'!$C$12,'WPISZ ZAŁOŻENIA'!C21)</f>
        <v>3.7499999999999999E-2</v>
      </c>
      <c r="EI36" s="103">
        <f>IF(trigger_inflacja="chcę taki sam w kazdym roku",'WPISZ ZAŁOŻENIA'!$D$12,'WPISZ ZAŁOŻENIA'!D21)</f>
        <v>3.9100000000000003E-2</v>
      </c>
      <c r="EJ36" s="103">
        <f>IF(trigger_inflacja="chcę taki sam w kazdym roku",'WPISZ ZAŁOŻENIA'!$E$12,'WPISZ ZAŁOŻENIA'!E21)</f>
        <v>3.5999999999999997E-2</v>
      </c>
    </row>
    <row r="37" spans="1:140" ht="21" customHeight="1">
      <c r="M37" s="36"/>
      <c r="EE37" s="95">
        <v>10</v>
      </c>
      <c r="EF37" s="103">
        <f>IF(trigger_inflacja="chcę taki sam w kazdym roku",'WPISZ ZAŁOŻENIA'!$B$12,'WPISZ ZAŁOŻENIA'!B22)</f>
        <v>3.1E-2</v>
      </c>
      <c r="EG37" s="103">
        <f t="shared" si="17"/>
        <v>0.35702126367198272</v>
      </c>
      <c r="EH37" s="103">
        <f>IF(trigger_inflacja="chcę taki sam w kazdym roku",'WPISZ ZAŁOŻENIA'!$C$12,'WPISZ ZAŁOŻENIA'!C22)</f>
        <v>3.7499999999999999E-2</v>
      </c>
      <c r="EI37" s="103">
        <f>IF(trigger_inflacja="chcę taki sam w kazdym roku",'WPISZ ZAŁOŻENIA'!$D$12,'WPISZ ZAŁOŻENIA'!D22)</f>
        <v>3.9100000000000003E-2</v>
      </c>
      <c r="EJ37" s="103">
        <f>IF(trigger_inflacja="chcę taki sam w kazdym roku",'WPISZ ZAŁOŻENIA'!$E$12,'WPISZ ZAŁOŻENIA'!E22)</f>
        <v>3.5999999999999997E-2</v>
      </c>
    </row>
    <row r="38" spans="1:140" ht="21" customHeight="1">
      <c r="M38" s="36"/>
      <c r="Y38" s="50"/>
      <c r="AI38" s="68"/>
      <c r="AY38" s="68"/>
      <c r="BO38" s="68"/>
      <c r="CD38" s="68"/>
      <c r="EE38" s="95">
        <v>11</v>
      </c>
      <c r="EF38" s="103">
        <f>IF(trigger_inflacja="chcę taki sam w kazdym roku",'WPISZ ZAŁOŻENIA'!$B$12,'WPISZ ZAŁOŻENIA'!B23)</f>
        <v>3.1E-2</v>
      </c>
      <c r="EG38" s="103">
        <f t="shared" si="17"/>
        <v>0.3990889228458141</v>
      </c>
      <c r="EH38" s="103">
        <f>IF(trigger_inflacja="chcę taki sam w kazdym roku",'WPISZ ZAŁOŻENIA'!$C$12,'WPISZ ZAŁOŻENIA'!C23)</f>
        <v>3.7499999999999999E-2</v>
      </c>
      <c r="EI38" s="103">
        <f>IF(trigger_inflacja="chcę taki sam w kazdym roku",'WPISZ ZAŁOŻENIA'!$D$12,'WPISZ ZAŁOŻENIA'!D23)</f>
        <v>3.9100000000000003E-2</v>
      </c>
      <c r="EJ38" s="103">
        <f>IF(trigger_inflacja="chcę taki sam w kazdym roku",'WPISZ ZAŁOŻENIA'!$E$12,'WPISZ ZAŁOŻENIA'!E23)</f>
        <v>3.5999999999999997E-2</v>
      </c>
    </row>
    <row r="39" spans="1:140" ht="21" customHeight="1">
      <c r="M39" s="36"/>
      <c r="Y39" s="50"/>
      <c r="AY39" s="68"/>
      <c r="BO39" s="68"/>
      <c r="CD39" s="68"/>
      <c r="EE39" s="95">
        <v>12</v>
      </c>
      <c r="EF39" s="103">
        <f>IF(trigger_inflacja="chcę taki sam w kazdym roku",'WPISZ ZAŁOŻENIA'!$B$12,'WPISZ ZAŁOŻENIA'!B24)</f>
        <v>3.1E-2</v>
      </c>
      <c r="EG39" s="103">
        <f t="shared" si="17"/>
        <v>0.44246067945403422</v>
      </c>
      <c r="EH39" s="103">
        <f>IF(trigger_inflacja="chcę taki sam w kazdym roku",'WPISZ ZAŁOŻENIA'!$C$12,'WPISZ ZAŁOŻENIA'!C24)</f>
        <v>3.7499999999999999E-2</v>
      </c>
      <c r="EI39" s="103">
        <f>IF(trigger_inflacja="chcę taki sam w kazdym roku",'WPISZ ZAŁOŻENIA'!$D$12,'WPISZ ZAŁOŻENIA'!D24)</f>
        <v>3.9100000000000003E-2</v>
      </c>
      <c r="EJ39" s="103">
        <f>IF(trigger_inflacja="chcę taki sam w kazdym roku",'WPISZ ZAŁOŻENIA'!$E$12,'WPISZ ZAŁOŻENIA'!E24)</f>
        <v>3.5999999999999997E-2</v>
      </c>
    </row>
    <row r="40" spans="1:140" ht="21" customHeight="1">
      <c r="M40" s="36"/>
    </row>
    <row r="41" spans="1:140" ht="30" customHeight="1" thickBot="1">
      <c r="B41" s="226" t="s">
        <v>117</v>
      </c>
      <c r="C41" s="226"/>
      <c r="D41" s="226"/>
      <c r="E41" s="226"/>
      <c r="F41" s="226"/>
      <c r="G41" s="226"/>
      <c r="H41" s="226"/>
      <c r="I41" s="226"/>
      <c r="J41" s="226"/>
      <c r="K41" s="226"/>
      <c r="M41" s="36"/>
      <c r="AB41" s="72" t="s">
        <v>88</v>
      </c>
      <c r="AS41" s="72" t="s">
        <v>97</v>
      </c>
      <c r="BI41" s="72" t="s">
        <v>108</v>
      </c>
      <c r="BY41" s="72" t="s">
        <v>58</v>
      </c>
      <c r="CN41" s="72" t="s">
        <v>59</v>
      </c>
      <c r="DB41" s="72" t="s">
        <v>60</v>
      </c>
      <c r="DP41" s="72" t="s">
        <v>61</v>
      </c>
    </row>
    <row r="42" spans="1:140" ht="86.5" customHeight="1" thickBot="1">
      <c r="A42" s="156"/>
      <c r="B42" s="226" t="s">
        <v>118</v>
      </c>
      <c r="C42" s="226"/>
      <c r="D42" s="226"/>
      <c r="E42" s="226"/>
      <c r="F42" s="226"/>
      <c r="G42" s="226"/>
      <c r="H42" s="226"/>
      <c r="I42" s="226"/>
      <c r="J42" s="226"/>
      <c r="K42" s="226"/>
      <c r="N42" s="213" t="s">
        <v>119</v>
      </c>
      <c r="O42" s="214"/>
      <c r="P42" s="214"/>
      <c r="Q42" s="214"/>
      <c r="R42" s="214"/>
      <c r="S42" s="214"/>
      <c r="T42" s="214"/>
      <c r="U42" s="214"/>
      <c r="V42" s="214"/>
      <c r="W42" s="215"/>
      <c r="X42" s="73"/>
      <c r="AA42" s="122" t="s">
        <v>13</v>
      </c>
      <c r="AB42" s="123" t="s">
        <v>21</v>
      </c>
      <c r="AC42" s="122" t="s">
        <v>13</v>
      </c>
      <c r="AD42" s="122" t="s">
        <v>82</v>
      </c>
      <c r="AE42" s="122" t="s">
        <v>25</v>
      </c>
      <c r="AF42" s="122" t="s">
        <v>23</v>
      </c>
      <c r="AG42" s="122" t="s">
        <v>14</v>
      </c>
      <c r="AH42" s="122" t="s">
        <v>15</v>
      </c>
      <c r="AI42" s="122" t="s">
        <v>17</v>
      </c>
      <c r="AJ42" s="122" t="s">
        <v>18</v>
      </c>
      <c r="AK42" s="122" t="s">
        <v>8</v>
      </c>
      <c r="AL42" s="122" t="s">
        <v>16</v>
      </c>
      <c r="AM42" s="122" t="s">
        <v>19</v>
      </c>
      <c r="AN42" s="122" t="s">
        <v>22</v>
      </c>
      <c r="AO42" s="122" t="s">
        <v>63</v>
      </c>
      <c r="AP42" s="122" t="s">
        <v>10</v>
      </c>
      <c r="AQ42" s="122" t="s">
        <v>20</v>
      </c>
      <c r="AS42" s="134" t="s">
        <v>13</v>
      </c>
      <c r="AT42" s="135" t="s">
        <v>82</v>
      </c>
      <c r="AU42" s="135" t="s">
        <v>25</v>
      </c>
      <c r="AV42" s="135" t="s">
        <v>23</v>
      </c>
      <c r="AW42" s="135" t="s">
        <v>14</v>
      </c>
      <c r="AX42" s="135" t="s">
        <v>15</v>
      </c>
      <c r="AY42" s="135" t="s">
        <v>17</v>
      </c>
      <c r="AZ42" s="135" t="s">
        <v>18</v>
      </c>
      <c r="BA42" s="134" t="s">
        <v>8</v>
      </c>
      <c r="BB42" s="135" t="s">
        <v>16</v>
      </c>
      <c r="BC42" s="135" t="s">
        <v>19</v>
      </c>
      <c r="BD42" s="135" t="s">
        <v>22</v>
      </c>
      <c r="BE42" s="135" t="s">
        <v>63</v>
      </c>
      <c r="BF42" s="135" t="s">
        <v>10</v>
      </c>
      <c r="BG42" s="135" t="s">
        <v>20</v>
      </c>
      <c r="BI42" s="136" t="s">
        <v>13</v>
      </c>
      <c r="BJ42" s="137" t="s">
        <v>82</v>
      </c>
      <c r="BK42" s="137" t="s">
        <v>25</v>
      </c>
      <c r="BL42" s="137" t="s">
        <v>23</v>
      </c>
      <c r="BM42" s="137" t="s">
        <v>14</v>
      </c>
      <c r="BN42" s="137" t="s">
        <v>15</v>
      </c>
      <c r="BO42" s="137" t="s">
        <v>17</v>
      </c>
      <c r="BP42" s="137" t="s">
        <v>18</v>
      </c>
      <c r="BQ42" s="136" t="s">
        <v>8</v>
      </c>
      <c r="BR42" s="137" t="s">
        <v>16</v>
      </c>
      <c r="BS42" s="137" t="s">
        <v>19</v>
      </c>
      <c r="BT42" s="137" t="s">
        <v>22</v>
      </c>
      <c r="BU42" s="137" t="s">
        <v>63</v>
      </c>
      <c r="BV42" s="137" t="s">
        <v>10</v>
      </c>
      <c r="BW42" s="137" t="s">
        <v>20</v>
      </c>
      <c r="BY42" s="138" t="s">
        <v>12</v>
      </c>
      <c r="BZ42" s="138" t="s">
        <v>25</v>
      </c>
      <c r="CA42" s="138" t="s">
        <v>23</v>
      </c>
      <c r="CB42" s="138" t="s">
        <v>14</v>
      </c>
      <c r="CC42" s="138" t="s">
        <v>15</v>
      </c>
      <c r="CD42" s="138" t="s">
        <v>17</v>
      </c>
      <c r="CE42" s="138" t="s">
        <v>18</v>
      </c>
      <c r="CF42" s="139" t="s">
        <v>8</v>
      </c>
      <c r="CG42" s="138" t="s">
        <v>16</v>
      </c>
      <c r="CH42" s="138" t="s">
        <v>19</v>
      </c>
      <c r="CI42" s="138" t="s">
        <v>22</v>
      </c>
      <c r="CJ42" s="138" t="s">
        <v>63</v>
      </c>
      <c r="CK42" s="138" t="s">
        <v>10</v>
      </c>
      <c r="CL42" s="138" t="s">
        <v>20</v>
      </c>
      <c r="CN42" s="140" t="s">
        <v>25</v>
      </c>
      <c r="CO42" s="140" t="s">
        <v>23</v>
      </c>
      <c r="CP42" s="140" t="s">
        <v>14</v>
      </c>
      <c r="CQ42" s="140" t="s">
        <v>15</v>
      </c>
      <c r="CR42" s="140" t="s">
        <v>17</v>
      </c>
      <c r="CS42" s="140" t="s">
        <v>18</v>
      </c>
      <c r="CT42" s="141" t="s">
        <v>8</v>
      </c>
      <c r="CU42" s="140" t="s">
        <v>16</v>
      </c>
      <c r="CV42" s="140" t="s">
        <v>19</v>
      </c>
      <c r="CW42" s="140" t="s">
        <v>9</v>
      </c>
      <c r="CX42" s="140" t="s">
        <v>63</v>
      </c>
      <c r="CY42" s="140" t="s">
        <v>10</v>
      </c>
      <c r="CZ42" s="140" t="s">
        <v>20</v>
      </c>
      <c r="DA42" s="20"/>
      <c r="DB42" s="143" t="s">
        <v>25</v>
      </c>
      <c r="DC42" s="143" t="s">
        <v>23</v>
      </c>
      <c r="DD42" s="143" t="s">
        <v>14</v>
      </c>
      <c r="DE42" s="143" t="s">
        <v>15</v>
      </c>
      <c r="DF42" s="143" t="s">
        <v>17</v>
      </c>
      <c r="DG42" s="143" t="s">
        <v>18</v>
      </c>
      <c r="DH42" s="144" t="s">
        <v>8</v>
      </c>
      <c r="DI42" s="143" t="s">
        <v>16</v>
      </c>
      <c r="DJ42" s="143" t="s">
        <v>19</v>
      </c>
      <c r="DK42" s="143" t="s">
        <v>9</v>
      </c>
      <c r="DL42" s="143" t="s">
        <v>63</v>
      </c>
      <c r="DM42" s="143" t="s">
        <v>10</v>
      </c>
      <c r="DN42" s="143" t="s">
        <v>20</v>
      </c>
      <c r="DP42" s="145" t="s">
        <v>25</v>
      </c>
      <c r="DQ42" s="145" t="s">
        <v>23</v>
      </c>
      <c r="DR42" s="145" t="s">
        <v>14</v>
      </c>
      <c r="DS42" s="145" t="s">
        <v>15</v>
      </c>
      <c r="DT42" s="145" t="s">
        <v>17</v>
      </c>
      <c r="DU42" s="145" t="s">
        <v>18</v>
      </c>
      <c r="DV42" s="146" t="s">
        <v>8</v>
      </c>
      <c r="DW42" s="145" t="s">
        <v>16</v>
      </c>
      <c r="DX42" s="145" t="s">
        <v>19</v>
      </c>
      <c r="DY42" s="145" t="s">
        <v>9</v>
      </c>
      <c r="DZ42" s="145" t="s">
        <v>63</v>
      </c>
      <c r="EA42" s="145" t="s">
        <v>10</v>
      </c>
      <c r="EB42" s="145" t="s">
        <v>20</v>
      </c>
    </row>
    <row r="43" spans="1:140" ht="48" customHeight="1">
      <c r="A43" s="225"/>
      <c r="B43" s="124" t="s">
        <v>13</v>
      </c>
      <c r="C43" s="94" t="s">
        <v>89</v>
      </c>
      <c r="D43" s="99" t="s">
        <v>96</v>
      </c>
      <c r="E43" s="100" t="s">
        <v>103</v>
      </c>
      <c r="F43" s="101" t="s">
        <v>54</v>
      </c>
      <c r="G43" s="102" t="s">
        <v>55</v>
      </c>
      <c r="H43" s="104" t="s">
        <v>56</v>
      </c>
      <c r="I43" s="105" t="s">
        <v>57</v>
      </c>
      <c r="J43" s="148" t="s">
        <v>116</v>
      </c>
      <c r="K43" s="151" t="s">
        <v>111</v>
      </c>
      <c r="N43" s="22" t="s">
        <v>13</v>
      </c>
      <c r="O43" s="22" t="s">
        <v>79</v>
      </c>
      <c r="P43" s="22" t="s">
        <v>80</v>
      </c>
      <c r="Q43" s="22" t="s">
        <v>107</v>
      </c>
      <c r="R43" s="22" t="s">
        <v>0</v>
      </c>
      <c r="S43" s="22" t="s">
        <v>1</v>
      </c>
      <c r="T43" s="22" t="s">
        <v>2</v>
      </c>
      <c r="U43" s="22" t="s">
        <v>3</v>
      </c>
      <c r="V43" s="55" t="s">
        <v>65</v>
      </c>
      <c r="W43" s="33" t="s">
        <v>52</v>
      </c>
      <c r="X43" s="74"/>
      <c r="AA43" s="124"/>
      <c r="AB43" s="125"/>
      <c r="AC43" s="124"/>
      <c r="AD43" s="126"/>
      <c r="AE43" s="127"/>
      <c r="AF43" s="127"/>
      <c r="AG43" s="128"/>
      <c r="AH43" s="128"/>
      <c r="AI43" s="128"/>
      <c r="AJ43" s="128"/>
      <c r="AK43" s="124"/>
      <c r="AL43" s="124"/>
      <c r="AM43" s="124"/>
      <c r="AN43" s="128"/>
      <c r="AO43" s="128"/>
      <c r="AP43" s="128"/>
      <c r="AQ43" s="128"/>
      <c r="AS43" s="124"/>
      <c r="AT43" s="126"/>
      <c r="AU43" s="127"/>
      <c r="AV43" s="127"/>
      <c r="AW43" s="128"/>
      <c r="AX43" s="128"/>
      <c r="AY43" s="128"/>
      <c r="AZ43" s="128"/>
      <c r="BA43" s="124"/>
      <c r="BB43" s="124"/>
      <c r="BC43" s="124"/>
      <c r="BD43" s="128"/>
      <c r="BE43" s="128"/>
      <c r="BF43" s="128"/>
      <c r="BG43" s="128"/>
      <c r="BI43" s="124"/>
      <c r="BJ43" s="126"/>
      <c r="BK43" s="127"/>
      <c r="BL43" s="127"/>
      <c r="BM43" s="128"/>
      <c r="BN43" s="128"/>
      <c r="BO43" s="128"/>
      <c r="BP43" s="128"/>
      <c r="BQ43" s="124"/>
      <c r="BR43" s="124"/>
      <c r="BS43" s="124"/>
      <c r="BT43" s="128"/>
      <c r="BU43" s="128"/>
      <c r="BV43" s="128"/>
      <c r="BW43" s="128"/>
      <c r="BY43" s="126"/>
      <c r="BZ43" s="127"/>
      <c r="CA43" s="127"/>
      <c r="CB43" s="128"/>
      <c r="CC43" s="128"/>
      <c r="CD43" s="128"/>
      <c r="CE43" s="128"/>
      <c r="CF43" s="124"/>
      <c r="CG43" s="124"/>
      <c r="CH43" s="124"/>
      <c r="CI43" s="128"/>
      <c r="CJ43" s="128"/>
      <c r="CK43" s="128"/>
      <c r="CL43" s="128"/>
      <c r="CN43" s="127"/>
      <c r="CO43" s="127"/>
      <c r="CP43" s="128"/>
      <c r="CQ43" s="128"/>
      <c r="CR43" s="128"/>
      <c r="CS43" s="128"/>
      <c r="CT43" s="124"/>
      <c r="CU43" s="124"/>
      <c r="CV43" s="124"/>
      <c r="CW43" s="128"/>
      <c r="CX43" s="128"/>
      <c r="CY43" s="128"/>
      <c r="CZ43" s="128"/>
      <c r="DA43" s="20"/>
      <c r="DB43" s="127"/>
      <c r="DC43" s="127"/>
      <c r="DD43" s="128"/>
      <c r="DE43" s="128"/>
      <c r="DF43" s="128"/>
      <c r="DG43" s="128"/>
      <c r="DH43" s="124"/>
      <c r="DI43" s="124"/>
      <c r="DJ43" s="124"/>
      <c r="DK43" s="128"/>
      <c r="DL43" s="128"/>
      <c r="DM43" s="128"/>
      <c r="DN43" s="128"/>
      <c r="DP43" s="127"/>
      <c r="DQ43" s="127"/>
      <c r="DR43" s="128"/>
      <c r="DS43" s="128"/>
      <c r="DT43" s="128"/>
      <c r="DU43" s="128"/>
      <c r="DV43" s="124"/>
      <c r="DW43" s="124"/>
      <c r="DX43" s="124"/>
      <c r="DY43" s="128"/>
      <c r="DZ43" s="128"/>
      <c r="EA43" s="128"/>
      <c r="EB43" s="128"/>
    </row>
    <row r="44" spans="1:140">
      <c r="A44" s="225"/>
      <c r="B44" s="124" t="s">
        <v>64</v>
      </c>
      <c r="C44" s="128">
        <f t="shared" ref="C44" si="25">zakup_domyslny_wartosc</f>
        <v>100000</v>
      </c>
      <c r="D44" s="128">
        <f t="shared" ref="D44:K44" si="26">zakup_domyslny_wartosc</f>
        <v>100000</v>
      </c>
      <c r="E44" s="128">
        <f t="shared" si="26"/>
        <v>100000</v>
      </c>
      <c r="F44" s="128">
        <f t="shared" si="26"/>
        <v>100000</v>
      </c>
      <c r="G44" s="128">
        <f t="shared" si="26"/>
        <v>100000</v>
      </c>
      <c r="H44" s="128">
        <f t="shared" si="26"/>
        <v>100000</v>
      </c>
      <c r="I44" s="128">
        <f t="shared" si="26"/>
        <v>100000</v>
      </c>
      <c r="J44" s="128">
        <f t="shared" si="26"/>
        <v>100000</v>
      </c>
      <c r="K44" s="128">
        <f t="shared" si="26"/>
        <v>100000</v>
      </c>
      <c r="N44" s="22" t="s">
        <v>64</v>
      </c>
      <c r="O44" s="25">
        <f t="shared" ref="O44" si="27">C44/zakup_domyslny_wartosc-1</f>
        <v>0</v>
      </c>
      <c r="P44" s="25">
        <f t="shared" ref="P44" si="28">D44/zakup_domyslny_wartosc-1</f>
        <v>0</v>
      </c>
      <c r="Q44" s="25">
        <f t="shared" ref="Q44" si="29">E44/zakup_domyslny_wartosc-1</f>
        <v>0</v>
      </c>
      <c r="R44" s="25">
        <f t="shared" ref="R44:R75" si="30">F44/zakup_domyslny_wartosc-1</f>
        <v>0</v>
      </c>
      <c r="S44" s="25">
        <f t="shared" ref="S44:S75" si="31">G44/zakup_domyslny_wartosc-1</f>
        <v>0</v>
      </c>
      <c r="T44" s="25">
        <f t="shared" ref="T44:T75" si="32">H44/zakup_domyslny_wartosc-1</f>
        <v>0</v>
      </c>
      <c r="U44" s="25">
        <f t="shared" ref="U44:U75" si="33">I44/zakup_domyslny_wartosc-1</f>
        <v>0</v>
      </c>
      <c r="V44" s="25">
        <f t="shared" ref="V44:V75" si="34">J44/zakup_domyslny_wartosc-1</f>
        <v>0</v>
      </c>
      <c r="W44" s="25">
        <f>K44/zakup_domyslny_wartosc-1</f>
        <v>0</v>
      </c>
      <c r="X44" s="36"/>
      <c r="AA44" s="124">
        <v>1</v>
      </c>
      <c r="AB44" s="128">
        <f t="shared" ref="AB44:AB75" si="35">zakup_domyslny_wartosc*IFERROR((INDEX(scenariusz_I_inflacja_skumulowana,MATCH(ROUNDDOWN(AA44/12,0),scenariusz_I_rok,0))+1),1)
*(1+MOD(AA44,12)*INDEX(scenariusz_I_inflacja,MATCH(ROUNDUP(AA44/12,0),scenariusz_I_rok,0))/12)</f>
        <v>100258.33333333334</v>
      </c>
      <c r="AC44" s="124">
        <v>1</v>
      </c>
      <c r="AD44" s="129"/>
      <c r="AE44" s="127">
        <f>zakup_domyslny_ilosc</f>
        <v>1000</v>
      </c>
      <c r="AF44" s="128">
        <f>zakup_domyslny_wartosc</f>
        <v>100000</v>
      </c>
      <c r="AG44" s="128">
        <f>zakup_domyslny_wartosc</f>
        <v>100000</v>
      </c>
      <c r="AH44" s="128">
        <f>AG44</f>
        <v>100000</v>
      </c>
      <c r="AI44" s="130">
        <f t="shared" ref="AI44:AI75" si="36">IF(AND(MOD($AA44,zapadalnosc_ROR)&lt;=zmiana_oprocentowania_co_ile_mc_ROR,MOD($AA44,zapadalnosc_ROR)&lt;&gt;0),proc_I_okres_ROR,(marza_ROR+AD44))</f>
        <v>0.04</v>
      </c>
      <c r="AJ44" s="128">
        <f t="shared" ref="AJ44:AJ75" si="37">AH44*(1+AI44*IF(MOD($AA44,wyplata_odsetek_ROR)&lt;&gt;0,MOD($AA44,wyplata_odsetek_ROR),wyplata_odsetek_ROR)/12)</f>
        <v>100333.33333333334</v>
      </c>
      <c r="AK44" s="128" t="str">
        <f t="shared" ref="AK44:AK75" si="38">IF(MOD($AA44,zapadalnosc_ROR)=0,"tak","nie")</f>
        <v>nie</v>
      </c>
      <c r="AL44" s="128">
        <f t="shared" ref="AL44:AL75" si="39">IF(MOD($AA44,zapadalnosc_ROR)=0,0,
IF(AND(MOD($AA44,zapadalnosc_ROR)&lt;zapadalnosc_ROR,MOD($AA44,zapadalnosc_ROR)&lt;=koszt_wczesniejszy_wykup_ochrona_ROR),
MIN(AJ44-AG44,AE44*koszt_wczesniejszy_wykup_ROR),AE44*koszt_wczesniejszy_wykup_ROR))</f>
        <v>333.33333333334303</v>
      </c>
      <c r="AM44" s="128">
        <f t="shared" ref="AM44:AM55" si="40">AJ44-AL44
-(AJ44-AG44-AL44)*podatek_Belki</f>
        <v>100000</v>
      </c>
      <c r="AN44" s="128">
        <f t="shared" ref="AN44:AN75" si="41">IF(MOD($AA44,wyplata_odsetek_ROR)=0, (AJ44-AG44)*(1-podatek_Belki),0)
+IF(AK44="tak",ROUNDDOWN(AJ44/zamiana_ROR,0)*(100-zamiana_ROR),0)</f>
        <v>270.0000000000079</v>
      </c>
      <c r="AO44" s="130">
        <f t="shared" ref="AO44:AO75" si="42">INDEX(scenariusz_I_konto,MATCH(ROUNDUP($AA44/12,0),scenariusz_I_rok,0))</f>
        <v>3.5999999999999997E-2</v>
      </c>
      <c r="AP44" s="128">
        <f t="shared" ref="AP44:AP75" si="43">(AP43-IF(AK43="tak",ROUNDDOWN(AP43/100,0)*100,0))*
(1+AO44/12*(1-podatek_Belki))+AN44</f>
        <v>270.0000000000079</v>
      </c>
      <c r="AQ44" s="128">
        <f t="shared" ref="AQ44:AQ55" si="44">AP43*(1+AO44/12*(1-podatek_Belki))+AM44</f>
        <v>100000</v>
      </c>
      <c r="AS44" s="124">
        <v>1</v>
      </c>
      <c r="AT44" s="129"/>
      <c r="AU44" s="127">
        <f>zakup_domyslny_ilosc</f>
        <v>1000</v>
      </c>
      <c r="AV44" s="128">
        <f>zakup_domyslny_wartosc</f>
        <v>100000</v>
      </c>
      <c r="AW44" s="128">
        <f>zakup_domyslny_wartosc</f>
        <v>100000</v>
      </c>
      <c r="AX44" s="128">
        <f>AW44</f>
        <v>100000</v>
      </c>
      <c r="AY44" s="130">
        <f t="shared" ref="AY44:AY75" si="45">IF(AND(MOD($AA44,zapadalnosc_DOR)&lt;=zmiana_oprocentowania_co_ile_mc_DOR,MOD($AA44,zapadalnosc_DOR)&lt;&gt;0),proc_I_okres_DOR,(marza_DOR+AT44))</f>
        <v>4.1500000000000002E-2</v>
      </c>
      <c r="AZ44" s="128">
        <f t="shared" ref="AZ44:AZ75" si="46">AX44*(1+AY44*IF(MOD($AA44,wyplata_odsetek_DOR)&lt;&gt;0,MOD($AA44,wyplata_odsetek_DOR),wyplata_odsetek_DOR)/12)</f>
        <v>100345.83333333333</v>
      </c>
      <c r="BA44" s="128" t="str">
        <f t="shared" ref="BA44:BA75" si="47">IF(MOD($AA44,zapadalnosc_DOR)=0,"tak","nie")</f>
        <v>nie</v>
      </c>
      <c r="BB44" s="128">
        <f t="shared" ref="BB44:BB75" si="48">IF(MOD($AA44,zapadalnosc_DOR)=0,0,
IF(AND(MOD($AA44,zapadalnosc_DOR)&lt;zapadalnosc_DOR,MOD($AA44,zapadalnosc_DOR)&lt;=koszt_wczesniejszy_wykup_ochrona_DOR),
MIN(AZ44-AW44,AU44*koszt_wczesniejszy_wykup_DOR),AU44*koszt_wczesniejszy_wykup_DOR))</f>
        <v>345.83333333332848</v>
      </c>
      <c r="BC44" s="128">
        <f t="shared" ref="BC44:BC55" si="49">AZ44-BB44
-(AZ44-AW44-BB44)*podatek_Belki</f>
        <v>100000</v>
      </c>
      <c r="BD44" s="128">
        <f t="shared" ref="BD44:BD75" si="50">IF(MOD($AA44,wyplata_odsetek_DOR)=0, (AZ44-AW44)*(1-podatek_Belki),0)
+IF(BA44="tak",ROUNDDOWN(AZ44/zamiana_DOR,0)*(100-zamiana_DOR),0)</f>
        <v>280.12499999999608</v>
      </c>
      <c r="BE44" s="130">
        <f t="shared" ref="BE44:BE107" si="51">INDEX(scenariusz_I_konto,MATCH(ROUNDUP($AA44/12,0),scenariusz_I_rok,0))</f>
        <v>3.5999999999999997E-2</v>
      </c>
      <c r="BF44" s="128">
        <f t="shared" ref="BF44:BF75" si="52">(BF43-IF(BA43="tak",ROUNDDOWN(BF43/100,0)*100,0))*
(1+BE44/12*(1-podatek_Belki))+BD44</f>
        <v>280.12499999999608</v>
      </c>
      <c r="BG44" s="128">
        <f t="shared" ref="BG44:BG55" si="53">BF43*(1+BE44/12*(1-podatek_Belki))+BC44</f>
        <v>100000</v>
      </c>
      <c r="BI44" s="124">
        <v>1</v>
      </c>
      <c r="BJ44" s="129"/>
      <c r="BK44" s="127">
        <f>zakup_domyslny_ilosc</f>
        <v>1000</v>
      </c>
      <c r="BL44" s="128">
        <f>zakup_domyslny_wartosc</f>
        <v>100000</v>
      </c>
      <c r="BM44" s="128">
        <f>zakup_domyslny_wartosc</f>
        <v>100000</v>
      </c>
      <c r="BN44" s="128">
        <f>BM44</f>
        <v>100000</v>
      </c>
      <c r="BO44" s="130">
        <f t="shared" ref="BO44:BO75" si="54">IF(AND(MOD($AA44,zapadalnosc_TOS)&lt;=12,MOD($AA44,zapadalnosc_TOS)&lt;&gt;0),proc_I_okres_TOS,(marza_TOS+proc_I_okres_TOS))</f>
        <v>4.3999999999999997E-2</v>
      </c>
      <c r="BP44" s="128">
        <f t="shared" ref="BP44:BP75" si="55">BN44*(1+BO44*IF(MOD($AA44,12)&lt;&gt;0,MOD($AA44,12),12)/12)</f>
        <v>100366.66666666667</v>
      </c>
      <c r="BQ44" s="128" t="str">
        <f t="shared" ref="BQ44:BQ75" si="56">IF(MOD($AA44,zapadalnosc_TOS)=0,"tak","nie")</f>
        <v>nie</v>
      </c>
      <c r="BR44" s="128">
        <f t="shared" ref="BR44:BR75" si="57">IF(MOD($AA44,zapadalnosc_TOS)=0,0,
IF(AND(MOD($AA44,zapadalnosc_TOS)&lt;zapadalnosc_TOS,MOD($AA44,zapadalnosc_TOS)&lt;=koszt_wczesniejszy_wykup_ochrona_TOS),
MIN(BP44-BM44,BK44*koszt_wczesniejszy_wykup_TOS),BK44*koszt_wczesniejszy_wykup_TOS))</f>
        <v>366.66666666667152</v>
      </c>
      <c r="BS44" s="128">
        <f t="shared" ref="BS44:BS55" si="58">BP44-BR44
-(BP44-BM44-BR44)*podatek_Belki</f>
        <v>100000</v>
      </c>
      <c r="BT44" s="128">
        <f>IF(AND(BQ44="tak",BL45&lt;&gt;""),
 BS44-BL45,
0)</f>
        <v>0</v>
      </c>
      <c r="BU44" s="130">
        <f t="shared" ref="BU44:BU75" si="59">INDEX(scenariusz_I_konto,MATCH(ROUNDUP($AA44/12,0),scenariusz_I_rok,0))</f>
        <v>3.5999999999999997E-2</v>
      </c>
      <c r="BV44" s="128">
        <f t="shared" ref="BV44:BV107" si="60">BV43*(1+BU44/12*(1-podatek_Belki))+BT44</f>
        <v>0</v>
      </c>
      <c r="BW44" s="128">
        <f t="shared" ref="BW44:BW87" si="61">BV43*(1+BU44/12*(1-podatek_Belki))+BS44</f>
        <v>100000</v>
      </c>
      <c r="BY44" s="129"/>
      <c r="BZ44" s="127">
        <f>zakup_domyslny_ilosc</f>
        <v>1000</v>
      </c>
      <c r="CA44" s="128">
        <f>zakup_domyslny_wartosc</f>
        <v>100000</v>
      </c>
      <c r="CB44" s="128">
        <f>zakup_domyslny_wartosc</f>
        <v>100000</v>
      </c>
      <c r="CC44" s="128">
        <f>CB44</f>
        <v>100000</v>
      </c>
      <c r="CD44" s="130">
        <f t="shared" ref="CD44:CD75" si="62">IF(AND(MOD($AA44,zapadalnosc_COI)&lt;=zmiana_oprocentowania_co_ile_mc_COI,MOD($AA44,zapadalnosc_COI)&lt;&gt;0),proc_I_okres_COI,(marza_COI+BY44))</f>
        <v>4.7500000000000001E-2</v>
      </c>
      <c r="CE44" s="128">
        <f t="shared" ref="CE44:CE75" si="63">CC44*(1+CD44*IF(MOD($AA44,wyplata_odsetek_COI)&lt;&gt;0,MOD($AA44,wyplata_odsetek_COI),wyplata_odsetek_COI)/12)</f>
        <v>100395.83333333333</v>
      </c>
      <c r="CF44" s="128" t="str">
        <f t="shared" ref="CF44:CF75" si="64">IF(MOD($AA44,zapadalnosc_COI)=0,"tak","nie")</f>
        <v>nie</v>
      </c>
      <c r="CG44" s="128">
        <f t="shared" ref="CG44:CG75" si="65">IF(MOD($AA44,zapadalnosc_COI)=0,0,
IF(AND(MOD($AA44,zapadalnosc_COI)&lt;zapadalnosc_COI,MOD($AA44,zapadalnosc_COI)&lt;=koszt_wczesniejszy_wykup_ochrona_COI),
MIN(CE44-CB44,BZ44*koszt_wczesniejszy_wykup_COI),BZ44*koszt_wczesniejszy_wykup_COI))</f>
        <v>395.83333333332848</v>
      </c>
      <c r="CH44" s="128">
        <f t="shared" ref="CH44:CH55" si="66">CE44-CG44
-(CE44-CB44-CG44)*podatek_Belki</f>
        <v>100000</v>
      </c>
      <c r="CI44" s="128">
        <f t="shared" ref="CI44:CI75" si="67" xml:space="preserve"> IF(CF44="tak",
CH44-ROUNDDOWN(CH44/zamiana_COI,0)*zamiana_COI,
IF(MOD($AA44,wyplata_odsetek_COI)=0, (CE44-CB44)*(1-podatek_Belki),0))</f>
        <v>0</v>
      </c>
      <c r="CJ44" s="130">
        <f t="shared" ref="CJ44:CJ107" si="68">INDEX(scenariusz_I_konto,MATCH(ROUNDUP($AA44/12,0),scenariusz_I_rok,0))</f>
        <v>3.5999999999999997E-2</v>
      </c>
      <c r="CK44" s="128">
        <f t="shared" ref="CK44:CK75" si="69">(CK43-IF(CF43="tak",ROUNDDOWN(CK43/100,0)*100,0))*
(1+CJ44/12*(1-podatek_Belki))+CI44</f>
        <v>0</v>
      </c>
      <c r="CL44" s="128">
        <f t="shared" ref="CL44:CL75" si="70">(CK43-IF(MOD($AA43,zapadalnosc_COI)=0,ROUNDDOWN(CK43/100,0)*100,0))*(1+CJ44/12*(1-podatek_Belki))+CH44</f>
        <v>100000</v>
      </c>
      <c r="CN44" s="127">
        <f>zakup_domyslny_ilosc</f>
        <v>1000</v>
      </c>
      <c r="CO44" s="128">
        <f>zakup_domyslny_wartosc</f>
        <v>100000</v>
      </c>
      <c r="CP44" s="128">
        <f>zakup_domyslny_wartosc</f>
        <v>100000</v>
      </c>
      <c r="CQ44" s="128">
        <f>zakup_domyslny_wartosc</f>
        <v>100000</v>
      </c>
      <c r="CR44" s="130">
        <f t="shared" ref="CR44:CR75" si="71">IF(AND(MOD($AA44,zapadalnosc_EDO)&lt;=12,MOD($AA44,zapadalnosc_EDO)&lt;&gt;0),proc_I_okres_EDO,(marza_EDO+$BY44))</f>
        <v>5.3499999999999999E-2</v>
      </c>
      <c r="CS44" s="128">
        <f t="shared" ref="CS44:CS75" si="72">CQ44*(1+CR44*IF(MOD($AA44,12)&lt;&gt;0,MOD($AA44,12),12)/12)</f>
        <v>100445.83333333333</v>
      </c>
      <c r="CT44" s="128" t="str">
        <f t="shared" ref="CT44:CT75" si="73">IF(MOD($AA44,zapadalnosc_EDO)=0,"tak","nie")</f>
        <v>nie</v>
      </c>
      <c r="CU44" s="128">
        <f t="shared" ref="CU44:CU75" si="74">IF(AND(MOD($AA44,zapadalnosc_EDO)&lt;zapadalnosc_EDO,MOD($AA44,zapadalnosc_EDO)&lt;&gt;0),MIN(CS44-CP44,CN44*koszt_wczesniejszy_wykup_EDO),0)</f>
        <v>445.83333333332848</v>
      </c>
      <c r="CV44" s="128">
        <f t="shared" ref="CV44:CV75" si="75">CS44-CU44
-(CS44-CP44-CU44)*podatek_Belki</f>
        <v>100000</v>
      </c>
      <c r="CW44" s="128">
        <f t="shared" ref="CW44:CW107" si="76">IF(AND(CT44="tak",CO45&lt;&gt;""),
 CV44-CO45,
0)</f>
        <v>0</v>
      </c>
      <c r="CX44" s="130">
        <f t="shared" ref="CX44:CX75" si="77">INDEX(scenariusz_I_konto,MATCH(ROUNDUP($AA44/12,0),scenariusz_I_rok,0))</f>
        <v>3.5999999999999997E-2</v>
      </c>
      <c r="CY44" s="128">
        <f t="shared" ref="CY44:CY75" si="78">CY43*(1+CX44/12*(1-podatek_Belki))+CW44</f>
        <v>0</v>
      </c>
      <c r="CZ44" s="128">
        <f t="shared" ref="CZ44:CZ75" si="79">CY43*(1+CX44/12*(1-podatek_Belki))+CV44</f>
        <v>100000</v>
      </c>
      <c r="DA44" s="20"/>
      <c r="DB44" s="127">
        <f>zakup_domyslny_ilosc</f>
        <v>1000</v>
      </c>
      <c r="DC44" s="128">
        <f>zakup_domyslny_wartosc</f>
        <v>100000</v>
      </c>
      <c r="DD44" s="128">
        <f>zakup_domyslny_wartosc</f>
        <v>100000</v>
      </c>
      <c r="DE44" s="128">
        <f>zakup_domyslny_wartosc</f>
        <v>100000</v>
      </c>
      <c r="DF44" s="130">
        <f t="shared" ref="DF44:DF75" si="80">IF(AND(MOD($AA44,zapadalnosc_ROS)&lt;=12,MOD($AA44,zapadalnosc_ROS)&lt;&gt;0),proc_I_okres_ROS,(marza_ROS+$BY44))</f>
        <v>0.05</v>
      </c>
      <c r="DG44" s="128">
        <f t="shared" ref="DG44:DG75" si="81">DE44*(1+DF44*IF(MOD($AA44,12)&lt;&gt;0,MOD($AA44,12),12)/12)</f>
        <v>100416.66666666667</v>
      </c>
      <c r="DH44" s="128" t="str">
        <f t="shared" ref="DH44:DH75" si="82">IF(MOD($AA44,zapadalnosc_ROS)=0,"tak","nie")</f>
        <v>nie</v>
      </c>
      <c r="DI44" s="128">
        <f t="shared" ref="DI44:DI75" si="83">IF(AND(MOD($AA44,zapadalnosc_ROS)&lt;zapadalnosc_ROS,MOD($AA44,zapadalnosc_ROS)&lt;&gt;0),MIN(DG44-DD44,DB44*koszt_wczesniejszy_wykup_ROS),0)</f>
        <v>416.66666666667152</v>
      </c>
      <c r="DJ44" s="128">
        <f t="shared" ref="DJ44:DJ75" si="84">DG44-DI44
-(DG44-DD44-DI44)*podatek_Belki</f>
        <v>100000</v>
      </c>
      <c r="DK44" s="128">
        <f t="shared" ref="DK44:DK107" si="85">IF(AND(DH44="tak",DC45&lt;&gt;""),
 DJ44-DC45,
0)</f>
        <v>0</v>
      </c>
      <c r="DL44" s="130">
        <f t="shared" ref="DL44:DL75" si="86">INDEX(scenariusz_I_konto,MATCH(ROUNDUP($AA44/12,0),scenariusz_I_rok,0))</f>
        <v>3.5999999999999997E-2</v>
      </c>
      <c r="DM44" s="128">
        <f t="shared" ref="DM44:DM75" si="87">DM43*(1+DL44/12*(1-podatek_Belki))+DK44</f>
        <v>0</v>
      </c>
      <c r="DN44" s="128">
        <f t="shared" ref="DN44:DN75" si="88">DM43*(1+DL44/12*(1-podatek_Belki))+DJ44</f>
        <v>100000</v>
      </c>
      <c r="DP44" s="127">
        <f>zakup_domyslny_ilosc</f>
        <v>1000</v>
      </c>
      <c r="DQ44" s="128">
        <f>zakup_domyslny_wartosc</f>
        <v>100000</v>
      </c>
      <c r="DR44" s="128">
        <f>zakup_domyslny_wartosc</f>
        <v>100000</v>
      </c>
      <c r="DS44" s="128">
        <f>zakup_domyslny_wartosc</f>
        <v>100000</v>
      </c>
      <c r="DT44" s="130">
        <f t="shared" ref="DT44:DT75" si="89">IF(AND(MOD($AA44,zapadalnosc_ROD)&lt;=12,MOD($AA44,zapadalnosc_ROD)&lt;&gt;0),proc_I_okres_ROD,(marza_ROD+$BY44))</f>
        <v>5.6000000000000001E-2</v>
      </c>
      <c r="DU44" s="128">
        <f t="shared" ref="DU44:DU75" si="90">DS44*(1+DT44*IF(MOD($AA44,12)&lt;&gt;0,MOD($AA44,12),12)/12)</f>
        <v>100466.66666666666</v>
      </c>
      <c r="DV44" s="128" t="str">
        <f t="shared" ref="DV44:DV75" si="91">IF(MOD($AA44,zapadalnosc_ROD)=0,"tak","nie")</f>
        <v>nie</v>
      </c>
      <c r="DW44" s="128">
        <f t="shared" ref="DW44:DW75" si="92">IF(AND(MOD($AA44,zapadalnosc_ROD)&lt;zapadalnosc_ROD,MOD($AA44,zapadalnosc_ROD)&lt;&gt;0),MIN(DU44-DR44,DP44*koszt_wczesniejszy_wykup_ROD),0)</f>
        <v>466.66666666665697</v>
      </c>
      <c r="DX44" s="128">
        <f t="shared" ref="DX44:DX107" si="93">DU44-DW44
-(DU44-DR44-DW44)*podatek_Belki</f>
        <v>100000</v>
      </c>
      <c r="DY44" s="128">
        <f t="shared" ref="DY44:DY107" si="94">IF(AND(DV44="tak",DQ45&lt;&gt;""),
 DX44-DQ45,
0)</f>
        <v>0</v>
      </c>
      <c r="DZ44" s="130">
        <f t="shared" ref="DZ44:DZ75" si="95">INDEX(scenariusz_I_konto,MATCH(ROUNDUP($AA44/12,0),scenariusz_I_rok,0))</f>
        <v>3.5999999999999997E-2</v>
      </c>
      <c r="EA44" s="128">
        <f t="shared" ref="EA44:EA75" si="96">EA43*(1+DZ44/12*(1-podatek_Belki))+DY44</f>
        <v>0</v>
      </c>
      <c r="EB44" s="128">
        <f t="shared" ref="EB44:EB75" si="97">EA43*(1+DZ44/12*(1-podatek_Belki))+DX44</f>
        <v>100000</v>
      </c>
    </row>
    <row r="45" spans="1:140" ht="14.5" customHeight="1">
      <c r="A45" s="212">
        <f>ROUNDUP(B56/12,0)</f>
        <v>1</v>
      </c>
      <c r="B45" s="188">
        <f t="shared" ref="B45:B76" si="98">AA44</f>
        <v>1</v>
      </c>
      <c r="C45" s="128">
        <f t="shared" ref="C45:C76" si="99">AQ44</f>
        <v>100000</v>
      </c>
      <c r="D45" s="128">
        <f t="shared" ref="D45:D76" si="100">BG44</f>
        <v>100000</v>
      </c>
      <c r="E45" s="128">
        <f t="shared" ref="E45:E76" si="101">BW44</f>
        <v>100000</v>
      </c>
      <c r="F45" s="128">
        <f t="shared" ref="F45:F76" si="102">CL44</f>
        <v>100000</v>
      </c>
      <c r="G45" s="128">
        <f t="shared" ref="G45:G76" si="103">CZ44</f>
        <v>100000</v>
      </c>
      <c r="H45" s="128">
        <f t="shared" ref="H45:H76" si="104">DN44</f>
        <v>100000</v>
      </c>
      <c r="I45" s="128">
        <f t="shared" ref="I45:I76" si="105">EB44</f>
        <v>100000</v>
      </c>
      <c r="J45" s="128">
        <f t="shared" ref="J45:J76" si="106">FV(INDEX(scenariusz_I_konto,MATCH(ROUNDUP(B45/12,0),scenariusz_I_rok,0))/12*(1-podatek_Belki),1,0,-J44,1)</f>
        <v>100243</v>
      </c>
      <c r="K45" s="128">
        <f t="shared" ref="K45:K76" si="107">AB44</f>
        <v>100258.33333333334</v>
      </c>
      <c r="M45" s="36"/>
      <c r="N45" s="32">
        <f t="shared" ref="N45:N76" si="108">B45</f>
        <v>1</v>
      </c>
      <c r="O45" s="25">
        <f t="shared" ref="O45:O108" si="109">C45/zakup_domyslny_wartosc-1</f>
        <v>0</v>
      </c>
      <c r="P45" s="25">
        <f t="shared" ref="P45:P108" si="110">D45/zakup_domyslny_wartosc-1</f>
        <v>0</v>
      </c>
      <c r="Q45" s="25">
        <f t="shared" ref="Q45:Q108" si="111">E45/zakup_domyslny_wartosc-1</f>
        <v>0</v>
      </c>
      <c r="R45" s="25">
        <f t="shared" si="30"/>
        <v>0</v>
      </c>
      <c r="S45" s="25">
        <f t="shared" si="31"/>
        <v>0</v>
      </c>
      <c r="T45" s="25">
        <f t="shared" si="32"/>
        <v>0</v>
      </c>
      <c r="U45" s="25">
        <f t="shared" si="33"/>
        <v>0</v>
      </c>
      <c r="V45" s="25">
        <f t="shared" si="34"/>
        <v>2.4299999999999322E-3</v>
      </c>
      <c r="W45" s="25">
        <f t="shared" ref="W45:W75" si="112">K45/zakup_domyslny_wartosc-1</f>
        <v>2.5833333333333819E-3</v>
      </c>
      <c r="X45" s="36"/>
      <c r="AA45" s="124">
        <f t="shared" ref="AA45:AA108" si="113">AA44+1</f>
        <v>2</v>
      </c>
      <c r="AB45" s="128">
        <f t="shared" si="35"/>
        <v>100516.66666666667</v>
      </c>
      <c r="AC45" s="124">
        <f t="shared" ref="AC45:AC108" si="114">AC44+1</f>
        <v>2</v>
      </c>
      <c r="AD45" s="130">
        <f t="shared" ref="AD45:AD76" si="115">MAX(INDEX(scenariusz_I_stopa_NBP,MATCH(ROUNDUP(AC45/12,0),scenariusz_I_rok,0)),0)</f>
        <v>3.7499999999999999E-2</v>
      </c>
      <c r="AE45" s="127">
        <f t="shared" ref="AE45:AE76" si="116">IF(AK44="tak",
ROUNDDOWN(AM44/zamiana_ROR,0)+ROUNDDOWN(AP44/100,0),
AE44)</f>
        <v>1000</v>
      </c>
      <c r="AF45" s="128">
        <f t="shared" ref="AF45:AF76" si="117">IF(AK44="tak",
ROUNDDOWN(AM44/zamiana_ROR,0)*zamiana_ROR+ROUNDDOWN(AP44/100,0)*100,
AF44)</f>
        <v>100000</v>
      </c>
      <c r="AG45" s="128">
        <f>IF(AK44="tak",
AE45*100,
AG44)</f>
        <v>100000</v>
      </c>
      <c r="AH45" s="128">
        <f t="shared" ref="AH45:AH108" si="118">AG45</f>
        <v>100000</v>
      </c>
      <c r="AI45" s="130">
        <f t="shared" si="36"/>
        <v>3.7499999999999999E-2</v>
      </c>
      <c r="AJ45" s="128">
        <f t="shared" si="37"/>
        <v>100312.5</v>
      </c>
      <c r="AK45" s="128" t="str">
        <f t="shared" si="38"/>
        <v>nie</v>
      </c>
      <c r="AL45" s="128">
        <f t="shared" si="39"/>
        <v>500</v>
      </c>
      <c r="AM45" s="128">
        <f t="shared" si="40"/>
        <v>99848.125</v>
      </c>
      <c r="AN45" s="128">
        <f t="shared" si="41"/>
        <v>253.12500000000003</v>
      </c>
      <c r="AO45" s="130">
        <f t="shared" si="42"/>
        <v>3.5999999999999997E-2</v>
      </c>
      <c r="AP45" s="128">
        <f t="shared" si="43"/>
        <v>523.78110000000788</v>
      </c>
      <c r="AQ45" s="128">
        <f t="shared" si="44"/>
        <v>100118.78110000001</v>
      </c>
      <c r="AS45" s="124">
        <f t="shared" ref="AS45:AS108" si="119">AS44+1</f>
        <v>2</v>
      </c>
      <c r="AT45" s="130">
        <f t="shared" ref="AT45:AT108" si="120">MAX(INDEX(scenariusz_I_stopa_NBP,MATCH(ROUNDUP(AS45/12,0),scenariusz_I_rok,0)),0)</f>
        <v>3.7499999999999999E-2</v>
      </c>
      <c r="AU45" s="127">
        <f t="shared" ref="AU45:AU76" si="121">IF(BA44="tak",
ROUNDDOWN(BC44/zamiana_DOR,0)+ROUNDDOWN(BF44/100,0),
AU44)</f>
        <v>1000</v>
      </c>
      <c r="AV45" s="128">
        <f t="shared" ref="AV45:AV76" si="122">IF(BA44="tak",
ROUNDDOWN(BC44/zamiana_DOR,0)*zamiana_DOR+ROUNDDOWN(BF44/100,0)*100,
AV44)</f>
        <v>100000</v>
      </c>
      <c r="AW45" s="128">
        <f>IF(BA44="tak",
AU45*100,
AW44)</f>
        <v>100000</v>
      </c>
      <c r="AX45" s="128">
        <f t="shared" ref="AX45:AX108" si="123">AW45</f>
        <v>100000</v>
      </c>
      <c r="AY45" s="130">
        <f t="shared" si="45"/>
        <v>3.9E-2</v>
      </c>
      <c r="AZ45" s="128">
        <f t="shared" si="46"/>
        <v>100325</v>
      </c>
      <c r="BA45" s="128" t="str">
        <f t="shared" si="47"/>
        <v>nie</v>
      </c>
      <c r="BB45" s="128">
        <f t="shared" si="48"/>
        <v>700</v>
      </c>
      <c r="BC45" s="128">
        <f t="shared" si="49"/>
        <v>99696.25</v>
      </c>
      <c r="BD45" s="128">
        <f t="shared" si="50"/>
        <v>263.25</v>
      </c>
      <c r="BE45" s="130">
        <f t="shared" si="51"/>
        <v>3.5999999999999997E-2</v>
      </c>
      <c r="BF45" s="128">
        <f t="shared" si="52"/>
        <v>544.05570374999604</v>
      </c>
      <c r="BG45" s="128">
        <f t="shared" si="53"/>
        <v>99977.055703749997</v>
      </c>
      <c r="BI45" s="124">
        <f t="shared" ref="BI45:BI108" si="124">BI44+1</f>
        <v>2</v>
      </c>
      <c r="BJ45" s="129"/>
      <c r="BK45" s="127">
        <f t="shared" ref="BK45:BK76" si="125">IF(BQ44="tak",
ROUNDDOWN(BS44/zamiana_TOS,0),
BK44)</f>
        <v>1000</v>
      </c>
      <c r="BL45" s="128">
        <f t="shared" ref="BL45:BL76" si="126">IF(BQ44="tak",
BK45*zamiana_TOS,
BL44)</f>
        <v>100000</v>
      </c>
      <c r="BM45" s="128">
        <f>IF(BQ44="tak",
BK45*100,
BM44)</f>
        <v>100000</v>
      </c>
      <c r="BN45" s="128">
        <f t="shared" ref="BN45:BN76" si="127">IF(BQ44="tak",
 BM45,
IF(MOD($AA45,kapitalizacja_odsetek_mc_ROS)&lt;&gt;1,BN44,BP44))</f>
        <v>100000</v>
      </c>
      <c r="BO45" s="130">
        <f t="shared" si="54"/>
        <v>4.3999999999999997E-2</v>
      </c>
      <c r="BP45" s="128">
        <f t="shared" si="55"/>
        <v>100733.33333333334</v>
      </c>
      <c r="BQ45" s="128" t="str">
        <f t="shared" si="56"/>
        <v>nie</v>
      </c>
      <c r="BR45" s="128">
        <f t="shared" si="57"/>
        <v>733.33333333334303</v>
      </c>
      <c r="BS45" s="128">
        <f t="shared" si="58"/>
        <v>100000</v>
      </c>
      <c r="BT45" s="128">
        <f t="shared" ref="BT45:BT108" si="128">IF(AND(BQ45="tak",BL46&lt;&gt;""),
 BS45-BL46,
0)</f>
        <v>0</v>
      </c>
      <c r="BU45" s="130">
        <f t="shared" si="59"/>
        <v>3.5999999999999997E-2</v>
      </c>
      <c r="BV45" s="128">
        <f t="shared" si="60"/>
        <v>0</v>
      </c>
      <c r="BW45" s="128">
        <f t="shared" si="61"/>
        <v>100000</v>
      </c>
      <c r="BY45" s="129"/>
      <c r="BZ45" s="127">
        <f t="shared" ref="BZ45:BZ76" si="129">IF(CF44="tak",
ROUNDDOWN(CH44/zamiana_COI,0)+ROUNDDOWN(CK44/100,0),
BZ44)</f>
        <v>1000</v>
      </c>
      <c r="CA45" s="128">
        <f t="shared" ref="CA45:CA76" si="130">IF(CF44="tak",
ROUNDDOWN(CH44/zamiana_COI,0)*zamiana_COI+ROUNDDOWN(CK44/100,0)*100,
CA44)</f>
        <v>100000</v>
      </c>
      <c r="CB45" s="128">
        <f>IF(CF44="tak",
BZ45*100,
CB44)</f>
        <v>100000</v>
      </c>
      <c r="CC45" s="128">
        <f t="shared" ref="CC45:CC108" si="131">CB45</f>
        <v>100000</v>
      </c>
      <c r="CD45" s="130">
        <f t="shared" si="62"/>
        <v>4.7500000000000001E-2</v>
      </c>
      <c r="CE45" s="128">
        <f t="shared" si="63"/>
        <v>100791.66666666666</v>
      </c>
      <c r="CF45" s="128" t="str">
        <f t="shared" si="64"/>
        <v>nie</v>
      </c>
      <c r="CG45" s="128">
        <f t="shared" si="65"/>
        <v>791.66666666665697</v>
      </c>
      <c r="CH45" s="128">
        <f t="shared" si="66"/>
        <v>100000</v>
      </c>
      <c r="CI45" s="128">
        <f t="shared" si="67"/>
        <v>0</v>
      </c>
      <c r="CJ45" s="130">
        <f t="shared" si="68"/>
        <v>3.5999999999999997E-2</v>
      </c>
      <c r="CK45" s="128">
        <f t="shared" si="69"/>
        <v>0</v>
      </c>
      <c r="CL45" s="128">
        <f t="shared" si="70"/>
        <v>100000</v>
      </c>
      <c r="CN45" s="127">
        <f t="shared" ref="CN45:CN76" si="132">IF(CT44="tak",
ROUNDDOWN(CV44/zamiana_EDO,0),
CN44)</f>
        <v>1000</v>
      </c>
      <c r="CO45" s="128">
        <f t="shared" ref="CO45:CO76" si="133">IF(CT44="tak",
CN45*zamiana_EDO,
CO44)</f>
        <v>100000</v>
      </c>
      <c r="CP45" s="128">
        <f t="shared" ref="CP45:CP108" si="134">IF(CT44="tak",
CN45*100,
CP44)</f>
        <v>100000</v>
      </c>
      <c r="CQ45" s="128">
        <f t="shared" ref="CQ45:CQ76" si="135">IF(CT44="tak",
 CP45,
IF(MOD($AA45,kapitalizacja_odsetek_mc_EDO)&lt;&gt;1,CQ44,CS44))</f>
        <v>100000</v>
      </c>
      <c r="CR45" s="130">
        <f t="shared" si="71"/>
        <v>5.3499999999999999E-2</v>
      </c>
      <c r="CS45" s="128">
        <f t="shared" si="72"/>
        <v>100891.66666666667</v>
      </c>
      <c r="CT45" s="128" t="str">
        <f t="shared" si="73"/>
        <v>nie</v>
      </c>
      <c r="CU45" s="128">
        <f t="shared" si="74"/>
        <v>891.66666666667152</v>
      </c>
      <c r="CV45" s="128">
        <f t="shared" si="75"/>
        <v>100000</v>
      </c>
      <c r="CW45" s="128">
        <f t="shared" si="76"/>
        <v>0</v>
      </c>
      <c r="CX45" s="130">
        <f t="shared" si="77"/>
        <v>3.5999999999999997E-2</v>
      </c>
      <c r="CY45" s="128">
        <f t="shared" si="78"/>
        <v>0</v>
      </c>
      <c r="CZ45" s="128">
        <f t="shared" si="79"/>
        <v>100000</v>
      </c>
      <c r="DA45" s="20"/>
      <c r="DB45" s="127">
        <f>IF(DH44="tak",
ROUNDDOWN(DJ44/100,0),
DB44)</f>
        <v>1000</v>
      </c>
      <c r="DC45" s="128">
        <f>IF(DH44="tak",
DB45*100,
DC44)</f>
        <v>100000</v>
      </c>
      <c r="DD45" s="128">
        <f t="shared" ref="DD45:DD108" si="136">IF(DH44="tak",
DB45*100,
DD44)</f>
        <v>100000</v>
      </c>
      <c r="DE45" s="128">
        <f t="shared" ref="DE45:DE76" si="137">IF(DH44="tak",
 DD45,
IF(MOD($AA45,kapitalizacja_odsetek_mc_ROS)&lt;&gt;1,DE44,DG44))</f>
        <v>100000</v>
      </c>
      <c r="DF45" s="130">
        <f t="shared" si="80"/>
        <v>0.05</v>
      </c>
      <c r="DG45" s="128">
        <f t="shared" si="81"/>
        <v>100833.33333333333</v>
      </c>
      <c r="DH45" s="128" t="str">
        <f t="shared" si="82"/>
        <v>nie</v>
      </c>
      <c r="DI45" s="128">
        <f t="shared" si="83"/>
        <v>833.33333333332848</v>
      </c>
      <c r="DJ45" s="128">
        <f t="shared" si="84"/>
        <v>100000</v>
      </c>
      <c r="DK45" s="128">
        <f t="shared" si="85"/>
        <v>0</v>
      </c>
      <c r="DL45" s="130">
        <f t="shared" si="86"/>
        <v>3.5999999999999997E-2</v>
      </c>
      <c r="DM45" s="128">
        <f t="shared" si="87"/>
        <v>0</v>
      </c>
      <c r="DN45" s="128">
        <f>DM44*(1+DL45/12*(1-podatek_Belki))+DJ45</f>
        <v>100000</v>
      </c>
      <c r="DP45" s="127">
        <f>IF(DV44="tak",
ROUNDDOWN(DX44/100,0),
DP44)</f>
        <v>1000</v>
      </c>
      <c r="DQ45" s="128">
        <f>IF(DV44="tak",
DP45*100,
DQ44)</f>
        <v>100000</v>
      </c>
      <c r="DR45" s="128">
        <f t="shared" ref="DR45:DR108" si="138">IF(DV44="tak",
DP45*100,
DR44)</f>
        <v>100000</v>
      </c>
      <c r="DS45" s="128">
        <f t="shared" ref="DS45:DS76" si="139">IF(DV44="tak",
 DR45,
IF(MOD($AA45,kapitalizacja_odsetek_mc_ROD)&lt;&gt;1,DS44,DU44))</f>
        <v>100000</v>
      </c>
      <c r="DT45" s="130">
        <f t="shared" si="89"/>
        <v>5.6000000000000001E-2</v>
      </c>
      <c r="DU45" s="128">
        <f t="shared" si="90"/>
        <v>100933.33333333334</v>
      </c>
      <c r="DV45" s="128" t="str">
        <f t="shared" si="91"/>
        <v>nie</v>
      </c>
      <c r="DW45" s="128">
        <f t="shared" si="92"/>
        <v>933.33333333334303</v>
      </c>
      <c r="DX45" s="128">
        <f t="shared" si="93"/>
        <v>100000</v>
      </c>
      <c r="DY45" s="128">
        <f t="shared" si="94"/>
        <v>0</v>
      </c>
      <c r="DZ45" s="130">
        <f t="shared" si="95"/>
        <v>3.5999999999999997E-2</v>
      </c>
      <c r="EA45" s="128">
        <f t="shared" si="96"/>
        <v>0</v>
      </c>
      <c r="EB45" s="128">
        <f t="shared" si="97"/>
        <v>100000</v>
      </c>
    </row>
    <row r="46" spans="1:140">
      <c r="A46" s="212"/>
      <c r="B46" s="188">
        <f t="shared" si="98"/>
        <v>2</v>
      </c>
      <c r="C46" s="128">
        <f t="shared" si="99"/>
        <v>100118.78110000001</v>
      </c>
      <c r="D46" s="128">
        <f t="shared" si="100"/>
        <v>99977.055703749997</v>
      </c>
      <c r="E46" s="128">
        <f t="shared" si="101"/>
        <v>100000</v>
      </c>
      <c r="F46" s="128">
        <f t="shared" si="102"/>
        <v>100000</v>
      </c>
      <c r="G46" s="128">
        <f t="shared" si="103"/>
        <v>100000</v>
      </c>
      <c r="H46" s="128">
        <f t="shared" si="104"/>
        <v>100000</v>
      </c>
      <c r="I46" s="128">
        <f t="shared" si="105"/>
        <v>100000</v>
      </c>
      <c r="J46" s="128">
        <f t="shared" si="106"/>
        <v>100486.59048999999</v>
      </c>
      <c r="K46" s="128">
        <f t="shared" si="107"/>
        <v>100516.66666666667</v>
      </c>
      <c r="M46" s="36"/>
      <c r="N46" s="32">
        <f t="shared" si="108"/>
        <v>2</v>
      </c>
      <c r="O46" s="25">
        <f t="shared" si="109"/>
        <v>1.1878110000000941E-3</v>
      </c>
      <c r="P46" s="25">
        <f t="shared" si="110"/>
        <v>-2.2944296250004825E-4</v>
      </c>
      <c r="Q46" s="25">
        <f t="shared" si="111"/>
        <v>0</v>
      </c>
      <c r="R46" s="25">
        <f t="shared" si="30"/>
        <v>0</v>
      </c>
      <c r="S46" s="25">
        <f t="shared" si="31"/>
        <v>0</v>
      </c>
      <c r="T46" s="25">
        <f t="shared" si="32"/>
        <v>0</v>
      </c>
      <c r="U46" s="25">
        <f t="shared" si="33"/>
        <v>0</v>
      </c>
      <c r="V46" s="25">
        <f t="shared" si="34"/>
        <v>4.8659048999999399E-3</v>
      </c>
      <c r="W46" s="25">
        <f t="shared" si="112"/>
        <v>5.1666666666667638E-3</v>
      </c>
      <c r="X46" s="36"/>
      <c r="AA46" s="124">
        <f t="shared" si="113"/>
        <v>3</v>
      </c>
      <c r="AB46" s="128">
        <f t="shared" si="35"/>
        <v>100774.99999999999</v>
      </c>
      <c r="AC46" s="124">
        <f t="shared" si="114"/>
        <v>3</v>
      </c>
      <c r="AD46" s="130">
        <f t="shared" si="115"/>
        <v>3.7499999999999999E-2</v>
      </c>
      <c r="AE46" s="127">
        <f t="shared" si="116"/>
        <v>1000</v>
      </c>
      <c r="AF46" s="128">
        <f t="shared" si="117"/>
        <v>100000</v>
      </c>
      <c r="AG46" s="128">
        <f t="shared" ref="AG46:AG109" si="140">IF(AK45="tak",
AE46*100,
AG45)</f>
        <v>100000</v>
      </c>
      <c r="AH46" s="128">
        <f t="shared" si="118"/>
        <v>100000</v>
      </c>
      <c r="AI46" s="130">
        <f t="shared" si="36"/>
        <v>3.7499999999999999E-2</v>
      </c>
      <c r="AJ46" s="128">
        <f t="shared" si="37"/>
        <v>100312.5</v>
      </c>
      <c r="AK46" s="128" t="str">
        <f t="shared" si="38"/>
        <v>nie</v>
      </c>
      <c r="AL46" s="128">
        <f t="shared" si="39"/>
        <v>500</v>
      </c>
      <c r="AM46" s="128">
        <f t="shared" si="40"/>
        <v>99848.125</v>
      </c>
      <c r="AN46" s="128">
        <f t="shared" si="41"/>
        <v>253.12500000000003</v>
      </c>
      <c r="AO46" s="130">
        <f t="shared" si="42"/>
        <v>3.5999999999999997E-2</v>
      </c>
      <c r="AP46" s="128">
        <f t="shared" si="43"/>
        <v>778.1788880730079</v>
      </c>
      <c r="AQ46" s="128">
        <f t="shared" si="44"/>
        <v>100373.178888073</v>
      </c>
      <c r="AS46" s="124">
        <f t="shared" si="119"/>
        <v>3</v>
      </c>
      <c r="AT46" s="130">
        <f t="shared" si="120"/>
        <v>3.7499999999999999E-2</v>
      </c>
      <c r="AU46" s="127">
        <f t="shared" si="121"/>
        <v>1000</v>
      </c>
      <c r="AV46" s="128">
        <f t="shared" si="122"/>
        <v>100000</v>
      </c>
      <c r="AW46" s="128">
        <f t="shared" ref="AW46:AW55" si="141">IF(BA45="tak",
AU46*100,
AW45)</f>
        <v>100000</v>
      </c>
      <c r="AX46" s="128">
        <f t="shared" si="123"/>
        <v>100000</v>
      </c>
      <c r="AY46" s="130">
        <f t="shared" si="45"/>
        <v>3.9E-2</v>
      </c>
      <c r="AZ46" s="128">
        <f t="shared" si="46"/>
        <v>100325</v>
      </c>
      <c r="BA46" s="128" t="str">
        <f t="shared" si="47"/>
        <v>nie</v>
      </c>
      <c r="BB46" s="128">
        <f t="shared" si="48"/>
        <v>700</v>
      </c>
      <c r="BC46" s="128">
        <f t="shared" si="49"/>
        <v>99696.25</v>
      </c>
      <c r="BD46" s="128">
        <f t="shared" si="50"/>
        <v>263.25</v>
      </c>
      <c r="BE46" s="130">
        <f t="shared" si="51"/>
        <v>3.5999999999999997E-2</v>
      </c>
      <c r="BF46" s="128">
        <f t="shared" si="52"/>
        <v>808.62775911010851</v>
      </c>
      <c r="BG46" s="128">
        <f t="shared" si="53"/>
        <v>100241.62775911011</v>
      </c>
      <c r="BI46" s="124">
        <f t="shared" si="124"/>
        <v>3</v>
      </c>
      <c r="BJ46" s="129"/>
      <c r="BK46" s="127">
        <f t="shared" si="125"/>
        <v>1000</v>
      </c>
      <c r="BL46" s="128">
        <f t="shared" si="126"/>
        <v>100000</v>
      </c>
      <c r="BM46" s="128">
        <f t="shared" ref="BM46:BM109" si="142">IF(BQ45="tak",
BK46*100,
BM45)</f>
        <v>100000</v>
      </c>
      <c r="BN46" s="128">
        <f t="shared" si="127"/>
        <v>100000</v>
      </c>
      <c r="BO46" s="130">
        <f t="shared" si="54"/>
        <v>4.3999999999999997E-2</v>
      </c>
      <c r="BP46" s="128">
        <f t="shared" si="55"/>
        <v>101099.99999999999</v>
      </c>
      <c r="BQ46" s="128" t="str">
        <f t="shared" si="56"/>
        <v>nie</v>
      </c>
      <c r="BR46" s="128">
        <f t="shared" si="57"/>
        <v>1000</v>
      </c>
      <c r="BS46" s="128">
        <f t="shared" si="58"/>
        <v>100080.99999999999</v>
      </c>
      <c r="BT46" s="128">
        <f t="shared" si="128"/>
        <v>0</v>
      </c>
      <c r="BU46" s="130">
        <f t="shared" si="59"/>
        <v>3.5999999999999997E-2</v>
      </c>
      <c r="BV46" s="128">
        <f t="shared" si="60"/>
        <v>0</v>
      </c>
      <c r="BW46" s="128">
        <f t="shared" si="61"/>
        <v>100080.99999999999</v>
      </c>
      <c r="BY46" s="129"/>
      <c r="BZ46" s="127">
        <f t="shared" si="129"/>
        <v>1000</v>
      </c>
      <c r="CA46" s="128">
        <f t="shared" si="130"/>
        <v>100000</v>
      </c>
      <c r="CB46" s="128">
        <f t="shared" ref="CB46:CB55" si="143">IF(CF45="tak",
BZ46*100,
CB45)</f>
        <v>100000</v>
      </c>
      <c r="CC46" s="128">
        <f t="shared" si="131"/>
        <v>100000</v>
      </c>
      <c r="CD46" s="130">
        <f t="shared" si="62"/>
        <v>4.7500000000000001E-2</v>
      </c>
      <c r="CE46" s="128">
        <f t="shared" si="63"/>
        <v>101187.50000000001</v>
      </c>
      <c r="CF46" s="128" t="str">
        <f t="shared" si="64"/>
        <v>nie</v>
      </c>
      <c r="CG46" s="128">
        <f t="shared" si="65"/>
        <v>1187.5000000000146</v>
      </c>
      <c r="CH46" s="128">
        <f t="shared" si="66"/>
        <v>100000</v>
      </c>
      <c r="CI46" s="128">
        <f t="shared" si="67"/>
        <v>0</v>
      </c>
      <c r="CJ46" s="130">
        <f t="shared" si="68"/>
        <v>3.5999999999999997E-2</v>
      </c>
      <c r="CK46" s="128">
        <f t="shared" si="69"/>
        <v>0</v>
      </c>
      <c r="CL46" s="128">
        <f t="shared" si="70"/>
        <v>100000</v>
      </c>
      <c r="CN46" s="127">
        <f t="shared" si="132"/>
        <v>1000</v>
      </c>
      <c r="CO46" s="128">
        <f t="shared" si="133"/>
        <v>100000</v>
      </c>
      <c r="CP46" s="128">
        <f t="shared" si="134"/>
        <v>100000</v>
      </c>
      <c r="CQ46" s="128">
        <f t="shared" si="135"/>
        <v>100000</v>
      </c>
      <c r="CR46" s="130">
        <f t="shared" si="71"/>
        <v>5.3499999999999999E-2</v>
      </c>
      <c r="CS46" s="128">
        <f t="shared" si="72"/>
        <v>101337.49999999999</v>
      </c>
      <c r="CT46" s="128" t="str">
        <f t="shared" si="73"/>
        <v>nie</v>
      </c>
      <c r="CU46" s="128">
        <f t="shared" si="74"/>
        <v>1337.4999999999854</v>
      </c>
      <c r="CV46" s="128">
        <f t="shared" si="75"/>
        <v>100000</v>
      </c>
      <c r="CW46" s="128">
        <f t="shared" si="76"/>
        <v>0</v>
      </c>
      <c r="CX46" s="130">
        <f t="shared" si="77"/>
        <v>3.5999999999999997E-2</v>
      </c>
      <c r="CY46" s="128">
        <f t="shared" si="78"/>
        <v>0</v>
      </c>
      <c r="CZ46" s="128">
        <f t="shared" si="79"/>
        <v>100000</v>
      </c>
      <c r="DA46" s="20"/>
      <c r="DB46" s="127">
        <f t="shared" ref="DB46:DB109" si="144">IF(DH45="tak",
ROUNDDOWN(DJ45/100,0),
DB45)</f>
        <v>1000</v>
      </c>
      <c r="DC46" s="128">
        <f t="shared" ref="DC46:DC109" si="145">IF(DH45="tak",
DB46*100,
DC45)</f>
        <v>100000</v>
      </c>
      <c r="DD46" s="128">
        <f t="shared" si="136"/>
        <v>100000</v>
      </c>
      <c r="DE46" s="128">
        <f t="shared" si="137"/>
        <v>100000</v>
      </c>
      <c r="DF46" s="130">
        <f t="shared" si="80"/>
        <v>0.05</v>
      </c>
      <c r="DG46" s="128">
        <f t="shared" si="81"/>
        <v>101250</v>
      </c>
      <c r="DH46" s="128" t="str">
        <f t="shared" si="82"/>
        <v>nie</v>
      </c>
      <c r="DI46" s="128">
        <f t="shared" si="83"/>
        <v>1250</v>
      </c>
      <c r="DJ46" s="128">
        <f t="shared" si="84"/>
        <v>100000</v>
      </c>
      <c r="DK46" s="128">
        <f t="shared" si="85"/>
        <v>0</v>
      </c>
      <c r="DL46" s="130">
        <f t="shared" si="86"/>
        <v>3.5999999999999997E-2</v>
      </c>
      <c r="DM46" s="128">
        <f t="shared" si="87"/>
        <v>0</v>
      </c>
      <c r="DN46" s="128">
        <f t="shared" si="88"/>
        <v>100000</v>
      </c>
      <c r="DP46" s="127">
        <f t="shared" ref="DP46:DP109" si="146">IF(DV45="tak",
ROUNDDOWN(DX45/100,0),
DP45)</f>
        <v>1000</v>
      </c>
      <c r="DQ46" s="128">
        <f t="shared" ref="DQ46:DQ109" si="147">IF(DV45="tak",
DP46*100,
DQ45)</f>
        <v>100000</v>
      </c>
      <c r="DR46" s="128">
        <f t="shared" si="138"/>
        <v>100000</v>
      </c>
      <c r="DS46" s="128">
        <f t="shared" si="139"/>
        <v>100000</v>
      </c>
      <c r="DT46" s="130">
        <f t="shared" si="89"/>
        <v>5.6000000000000001E-2</v>
      </c>
      <c r="DU46" s="128">
        <f t="shared" si="90"/>
        <v>101400</v>
      </c>
      <c r="DV46" s="128" t="str">
        <f t="shared" si="91"/>
        <v>nie</v>
      </c>
      <c r="DW46" s="128">
        <f t="shared" si="92"/>
        <v>1400</v>
      </c>
      <c r="DX46" s="128">
        <f t="shared" si="93"/>
        <v>100000</v>
      </c>
      <c r="DY46" s="128">
        <f t="shared" si="94"/>
        <v>0</v>
      </c>
      <c r="DZ46" s="130">
        <f t="shared" si="95"/>
        <v>3.5999999999999997E-2</v>
      </c>
      <c r="EA46" s="128">
        <f t="shared" si="96"/>
        <v>0</v>
      </c>
      <c r="EB46" s="128">
        <f t="shared" si="97"/>
        <v>100000</v>
      </c>
    </row>
    <row r="47" spans="1:140">
      <c r="A47" s="212"/>
      <c r="B47" s="188">
        <f t="shared" si="98"/>
        <v>3</v>
      </c>
      <c r="C47" s="128">
        <f t="shared" si="99"/>
        <v>100373.178888073</v>
      </c>
      <c r="D47" s="128">
        <f t="shared" si="100"/>
        <v>100241.62775911011</v>
      </c>
      <c r="E47" s="128">
        <f t="shared" si="101"/>
        <v>100080.99999999999</v>
      </c>
      <c r="F47" s="128">
        <f t="shared" si="102"/>
        <v>100000</v>
      </c>
      <c r="G47" s="128">
        <f t="shared" si="103"/>
        <v>100000</v>
      </c>
      <c r="H47" s="128">
        <f t="shared" si="104"/>
        <v>100000</v>
      </c>
      <c r="I47" s="128">
        <f t="shared" si="105"/>
        <v>100000</v>
      </c>
      <c r="J47" s="128">
        <f t="shared" si="106"/>
        <v>100730.77290489068</v>
      </c>
      <c r="K47" s="128">
        <f t="shared" si="107"/>
        <v>100774.99999999999</v>
      </c>
      <c r="M47" s="36"/>
      <c r="N47" s="32">
        <f t="shared" si="108"/>
        <v>3</v>
      </c>
      <c r="O47" s="25">
        <f t="shared" si="109"/>
        <v>3.7317888807300026E-3</v>
      </c>
      <c r="P47" s="25">
        <f t="shared" si="110"/>
        <v>2.4162775911011902E-3</v>
      </c>
      <c r="Q47" s="25">
        <f t="shared" si="111"/>
        <v>8.0999999999975536E-4</v>
      </c>
      <c r="R47" s="25">
        <f t="shared" si="30"/>
        <v>0</v>
      </c>
      <c r="S47" s="25">
        <f t="shared" si="31"/>
        <v>0</v>
      </c>
      <c r="T47" s="25">
        <f t="shared" si="32"/>
        <v>0</v>
      </c>
      <c r="U47" s="25">
        <f t="shared" si="33"/>
        <v>0</v>
      </c>
      <c r="V47" s="25">
        <f t="shared" si="34"/>
        <v>7.3077290489067526E-3</v>
      </c>
      <c r="W47" s="25">
        <f t="shared" si="112"/>
        <v>7.7499999999999236E-3</v>
      </c>
      <c r="X47" s="36"/>
      <c r="AA47" s="124">
        <f t="shared" si="113"/>
        <v>4</v>
      </c>
      <c r="AB47" s="128">
        <f t="shared" si="35"/>
        <v>101033.33333333333</v>
      </c>
      <c r="AC47" s="124">
        <f t="shared" si="114"/>
        <v>4</v>
      </c>
      <c r="AD47" s="130">
        <f t="shared" si="115"/>
        <v>3.7499999999999999E-2</v>
      </c>
      <c r="AE47" s="127">
        <f t="shared" si="116"/>
        <v>1000</v>
      </c>
      <c r="AF47" s="128">
        <f t="shared" si="117"/>
        <v>100000</v>
      </c>
      <c r="AG47" s="128">
        <f t="shared" si="140"/>
        <v>100000</v>
      </c>
      <c r="AH47" s="128">
        <f t="shared" si="118"/>
        <v>100000</v>
      </c>
      <c r="AI47" s="130">
        <f t="shared" si="36"/>
        <v>3.7499999999999999E-2</v>
      </c>
      <c r="AJ47" s="128">
        <f t="shared" si="37"/>
        <v>100312.5</v>
      </c>
      <c r="AK47" s="128" t="str">
        <f t="shared" si="38"/>
        <v>nie</v>
      </c>
      <c r="AL47" s="128">
        <f t="shared" si="39"/>
        <v>500</v>
      </c>
      <c r="AM47" s="128">
        <f t="shared" si="40"/>
        <v>99848.125</v>
      </c>
      <c r="AN47" s="128">
        <f t="shared" si="41"/>
        <v>253.12500000000003</v>
      </c>
      <c r="AO47" s="130">
        <f t="shared" si="42"/>
        <v>3.5999999999999997E-2</v>
      </c>
      <c r="AP47" s="128">
        <f t="shared" si="43"/>
        <v>1033.1948627710253</v>
      </c>
      <c r="AQ47" s="128">
        <f t="shared" si="44"/>
        <v>100628.19486277102</v>
      </c>
      <c r="AS47" s="124">
        <f t="shared" si="119"/>
        <v>4</v>
      </c>
      <c r="AT47" s="130">
        <f t="shared" si="120"/>
        <v>3.7499999999999999E-2</v>
      </c>
      <c r="AU47" s="127">
        <f t="shared" si="121"/>
        <v>1000</v>
      </c>
      <c r="AV47" s="128">
        <f t="shared" si="122"/>
        <v>100000</v>
      </c>
      <c r="AW47" s="128">
        <f t="shared" si="141"/>
        <v>100000</v>
      </c>
      <c r="AX47" s="128">
        <f t="shared" si="123"/>
        <v>100000</v>
      </c>
      <c r="AY47" s="130">
        <f t="shared" si="45"/>
        <v>3.9E-2</v>
      </c>
      <c r="AZ47" s="128">
        <f t="shared" si="46"/>
        <v>100325</v>
      </c>
      <c r="BA47" s="128" t="str">
        <f t="shared" si="47"/>
        <v>nie</v>
      </c>
      <c r="BB47" s="128">
        <f t="shared" si="48"/>
        <v>700</v>
      </c>
      <c r="BC47" s="128">
        <f t="shared" si="49"/>
        <v>99696.25</v>
      </c>
      <c r="BD47" s="128">
        <f t="shared" si="50"/>
        <v>263.25</v>
      </c>
      <c r="BE47" s="130">
        <f t="shared" si="51"/>
        <v>3.5999999999999997E-2</v>
      </c>
      <c r="BF47" s="128">
        <f t="shared" si="52"/>
        <v>1073.842724564746</v>
      </c>
      <c r="BG47" s="128">
        <f t="shared" si="53"/>
        <v>100506.84272456475</v>
      </c>
      <c r="BI47" s="124">
        <f t="shared" si="124"/>
        <v>4</v>
      </c>
      <c r="BJ47" s="129"/>
      <c r="BK47" s="127">
        <f t="shared" si="125"/>
        <v>1000</v>
      </c>
      <c r="BL47" s="128">
        <f t="shared" si="126"/>
        <v>100000</v>
      </c>
      <c r="BM47" s="128">
        <f t="shared" si="142"/>
        <v>100000</v>
      </c>
      <c r="BN47" s="128">
        <f t="shared" si="127"/>
        <v>100000</v>
      </c>
      <c r="BO47" s="130">
        <f t="shared" si="54"/>
        <v>4.3999999999999997E-2</v>
      </c>
      <c r="BP47" s="128">
        <f t="shared" si="55"/>
        <v>101466.66666666666</v>
      </c>
      <c r="BQ47" s="128" t="str">
        <f t="shared" si="56"/>
        <v>nie</v>
      </c>
      <c r="BR47" s="128">
        <f t="shared" si="57"/>
        <v>1000</v>
      </c>
      <c r="BS47" s="128">
        <f t="shared" si="58"/>
        <v>100377.99999999999</v>
      </c>
      <c r="BT47" s="128">
        <f t="shared" si="128"/>
        <v>0</v>
      </c>
      <c r="BU47" s="130">
        <f t="shared" si="59"/>
        <v>3.5999999999999997E-2</v>
      </c>
      <c r="BV47" s="128">
        <f t="shared" si="60"/>
        <v>0</v>
      </c>
      <c r="BW47" s="128">
        <f t="shared" si="61"/>
        <v>100377.99999999999</v>
      </c>
      <c r="BY47" s="129"/>
      <c r="BZ47" s="127">
        <f t="shared" si="129"/>
        <v>1000</v>
      </c>
      <c r="CA47" s="128">
        <f t="shared" si="130"/>
        <v>100000</v>
      </c>
      <c r="CB47" s="128">
        <f t="shared" si="143"/>
        <v>100000</v>
      </c>
      <c r="CC47" s="128">
        <f t="shared" si="131"/>
        <v>100000</v>
      </c>
      <c r="CD47" s="130">
        <f t="shared" si="62"/>
        <v>4.7500000000000001E-2</v>
      </c>
      <c r="CE47" s="128">
        <f t="shared" si="63"/>
        <v>101583.33333333334</v>
      </c>
      <c r="CF47" s="128" t="str">
        <f t="shared" si="64"/>
        <v>nie</v>
      </c>
      <c r="CG47" s="128">
        <f t="shared" si="65"/>
        <v>1583.333333333343</v>
      </c>
      <c r="CH47" s="128">
        <f t="shared" si="66"/>
        <v>100000</v>
      </c>
      <c r="CI47" s="128">
        <f t="shared" si="67"/>
        <v>0</v>
      </c>
      <c r="CJ47" s="130">
        <f t="shared" si="68"/>
        <v>3.5999999999999997E-2</v>
      </c>
      <c r="CK47" s="128">
        <f t="shared" si="69"/>
        <v>0</v>
      </c>
      <c r="CL47" s="128">
        <f t="shared" si="70"/>
        <v>100000</v>
      </c>
      <c r="CN47" s="127">
        <f t="shared" si="132"/>
        <v>1000</v>
      </c>
      <c r="CO47" s="128">
        <f t="shared" si="133"/>
        <v>100000</v>
      </c>
      <c r="CP47" s="128">
        <f t="shared" si="134"/>
        <v>100000</v>
      </c>
      <c r="CQ47" s="128">
        <f t="shared" si="135"/>
        <v>100000</v>
      </c>
      <c r="CR47" s="130">
        <f t="shared" si="71"/>
        <v>5.3499999999999999E-2</v>
      </c>
      <c r="CS47" s="128">
        <f t="shared" si="72"/>
        <v>101783.33333333334</v>
      </c>
      <c r="CT47" s="128" t="str">
        <f t="shared" si="73"/>
        <v>nie</v>
      </c>
      <c r="CU47" s="128">
        <f t="shared" si="74"/>
        <v>1783.333333333343</v>
      </c>
      <c r="CV47" s="128">
        <f t="shared" si="75"/>
        <v>100000</v>
      </c>
      <c r="CW47" s="128">
        <f t="shared" si="76"/>
        <v>0</v>
      </c>
      <c r="CX47" s="130">
        <f t="shared" si="77"/>
        <v>3.5999999999999997E-2</v>
      </c>
      <c r="CY47" s="128">
        <f t="shared" si="78"/>
        <v>0</v>
      </c>
      <c r="CZ47" s="128">
        <f t="shared" si="79"/>
        <v>100000</v>
      </c>
      <c r="DA47" s="20"/>
      <c r="DB47" s="127">
        <f t="shared" si="144"/>
        <v>1000</v>
      </c>
      <c r="DC47" s="128">
        <f t="shared" si="145"/>
        <v>100000</v>
      </c>
      <c r="DD47" s="128">
        <f t="shared" si="136"/>
        <v>100000</v>
      </c>
      <c r="DE47" s="128">
        <f t="shared" si="137"/>
        <v>100000</v>
      </c>
      <c r="DF47" s="130">
        <f t="shared" si="80"/>
        <v>0.05</v>
      </c>
      <c r="DG47" s="128">
        <f t="shared" si="81"/>
        <v>101666.66666666666</v>
      </c>
      <c r="DH47" s="128" t="str">
        <f t="shared" si="82"/>
        <v>nie</v>
      </c>
      <c r="DI47" s="128">
        <f t="shared" si="83"/>
        <v>1666.666666666657</v>
      </c>
      <c r="DJ47" s="128">
        <f t="shared" si="84"/>
        <v>100000</v>
      </c>
      <c r="DK47" s="128">
        <f t="shared" si="85"/>
        <v>0</v>
      </c>
      <c r="DL47" s="130">
        <f t="shared" si="86"/>
        <v>3.5999999999999997E-2</v>
      </c>
      <c r="DM47" s="128">
        <f t="shared" si="87"/>
        <v>0</v>
      </c>
      <c r="DN47" s="128">
        <f t="shared" si="88"/>
        <v>100000</v>
      </c>
      <c r="DP47" s="127">
        <f t="shared" si="146"/>
        <v>1000</v>
      </c>
      <c r="DQ47" s="128">
        <f t="shared" si="147"/>
        <v>100000</v>
      </c>
      <c r="DR47" s="128">
        <f t="shared" si="138"/>
        <v>100000</v>
      </c>
      <c r="DS47" s="128">
        <f t="shared" si="139"/>
        <v>100000</v>
      </c>
      <c r="DT47" s="130">
        <f t="shared" si="89"/>
        <v>5.6000000000000001E-2</v>
      </c>
      <c r="DU47" s="128">
        <f t="shared" si="90"/>
        <v>101866.66666666666</v>
      </c>
      <c r="DV47" s="128" t="str">
        <f t="shared" si="91"/>
        <v>nie</v>
      </c>
      <c r="DW47" s="128">
        <f t="shared" si="92"/>
        <v>1866.666666666657</v>
      </c>
      <c r="DX47" s="128">
        <f t="shared" si="93"/>
        <v>100000</v>
      </c>
      <c r="DY47" s="128">
        <f t="shared" si="94"/>
        <v>0</v>
      </c>
      <c r="DZ47" s="130">
        <f t="shared" si="95"/>
        <v>3.5999999999999997E-2</v>
      </c>
      <c r="EA47" s="128">
        <f t="shared" si="96"/>
        <v>0</v>
      </c>
      <c r="EB47" s="128">
        <f t="shared" si="97"/>
        <v>100000</v>
      </c>
    </row>
    <row r="48" spans="1:140">
      <c r="A48" s="212"/>
      <c r="B48" s="188">
        <f t="shared" si="98"/>
        <v>4</v>
      </c>
      <c r="C48" s="128">
        <f t="shared" si="99"/>
        <v>100628.19486277102</v>
      </c>
      <c r="D48" s="128">
        <f t="shared" si="100"/>
        <v>100506.84272456475</v>
      </c>
      <c r="E48" s="128">
        <f t="shared" si="101"/>
        <v>100377.99999999999</v>
      </c>
      <c r="F48" s="128">
        <f t="shared" si="102"/>
        <v>100000</v>
      </c>
      <c r="G48" s="128">
        <f t="shared" si="103"/>
        <v>100000</v>
      </c>
      <c r="H48" s="128">
        <f t="shared" si="104"/>
        <v>100000</v>
      </c>
      <c r="I48" s="128">
        <f t="shared" si="105"/>
        <v>100000</v>
      </c>
      <c r="J48" s="128">
        <f t="shared" si="106"/>
        <v>100975.54868304955</v>
      </c>
      <c r="K48" s="128">
        <f t="shared" si="107"/>
        <v>101033.33333333333</v>
      </c>
      <c r="M48" s="36"/>
      <c r="N48" s="32">
        <f t="shared" si="108"/>
        <v>4</v>
      </c>
      <c r="O48" s="25">
        <f t="shared" si="109"/>
        <v>6.2819486277101433E-3</v>
      </c>
      <c r="P48" s="25">
        <f t="shared" si="110"/>
        <v>5.0684272456473778E-3</v>
      </c>
      <c r="Q48" s="25">
        <f t="shared" si="111"/>
        <v>3.7799999999998946E-3</v>
      </c>
      <c r="R48" s="25">
        <f t="shared" si="30"/>
        <v>0</v>
      </c>
      <c r="S48" s="25">
        <f t="shared" si="31"/>
        <v>0</v>
      </c>
      <c r="T48" s="25">
        <f t="shared" si="32"/>
        <v>0</v>
      </c>
      <c r="U48" s="25">
        <f t="shared" si="33"/>
        <v>0</v>
      </c>
      <c r="V48" s="25">
        <f t="shared" si="34"/>
        <v>9.7554868304954301E-3</v>
      </c>
      <c r="W48" s="25">
        <f t="shared" si="112"/>
        <v>1.0333333333333306E-2</v>
      </c>
      <c r="X48" s="36"/>
      <c r="AA48" s="124">
        <f t="shared" si="113"/>
        <v>5</v>
      </c>
      <c r="AB48" s="128">
        <f t="shared" si="35"/>
        <v>101291.66666666667</v>
      </c>
      <c r="AC48" s="124">
        <f t="shared" si="114"/>
        <v>5</v>
      </c>
      <c r="AD48" s="130">
        <f t="shared" si="115"/>
        <v>3.7499999999999999E-2</v>
      </c>
      <c r="AE48" s="127">
        <f t="shared" si="116"/>
        <v>1000</v>
      </c>
      <c r="AF48" s="128">
        <f t="shared" si="117"/>
        <v>100000</v>
      </c>
      <c r="AG48" s="128">
        <f t="shared" si="140"/>
        <v>100000</v>
      </c>
      <c r="AH48" s="128">
        <f t="shared" si="118"/>
        <v>100000</v>
      </c>
      <c r="AI48" s="130">
        <f t="shared" si="36"/>
        <v>3.7499999999999999E-2</v>
      </c>
      <c r="AJ48" s="128">
        <f t="shared" si="37"/>
        <v>100312.5</v>
      </c>
      <c r="AK48" s="128" t="str">
        <f t="shared" si="38"/>
        <v>nie</v>
      </c>
      <c r="AL48" s="128">
        <f t="shared" si="39"/>
        <v>500</v>
      </c>
      <c r="AM48" s="128">
        <f t="shared" si="40"/>
        <v>99848.125</v>
      </c>
      <c r="AN48" s="128">
        <f t="shared" si="41"/>
        <v>253.12500000000003</v>
      </c>
      <c r="AO48" s="130">
        <f t="shared" si="42"/>
        <v>3.5999999999999997E-2</v>
      </c>
      <c r="AP48" s="128">
        <f t="shared" si="43"/>
        <v>1288.8305262875588</v>
      </c>
      <c r="AQ48" s="128">
        <f t="shared" si="44"/>
        <v>100883.83052628757</v>
      </c>
      <c r="AS48" s="124">
        <f t="shared" si="119"/>
        <v>5</v>
      </c>
      <c r="AT48" s="130">
        <f t="shared" si="120"/>
        <v>3.7499999999999999E-2</v>
      </c>
      <c r="AU48" s="127">
        <f t="shared" si="121"/>
        <v>1000</v>
      </c>
      <c r="AV48" s="128">
        <f t="shared" si="122"/>
        <v>100000</v>
      </c>
      <c r="AW48" s="128">
        <f t="shared" si="141"/>
        <v>100000</v>
      </c>
      <c r="AX48" s="128">
        <f t="shared" si="123"/>
        <v>100000</v>
      </c>
      <c r="AY48" s="130">
        <f t="shared" si="45"/>
        <v>3.9E-2</v>
      </c>
      <c r="AZ48" s="128">
        <f t="shared" si="46"/>
        <v>100325</v>
      </c>
      <c r="BA48" s="128" t="str">
        <f t="shared" si="47"/>
        <v>nie</v>
      </c>
      <c r="BB48" s="128">
        <f t="shared" si="48"/>
        <v>700</v>
      </c>
      <c r="BC48" s="128">
        <f t="shared" si="49"/>
        <v>99696.25</v>
      </c>
      <c r="BD48" s="128">
        <f t="shared" si="50"/>
        <v>263.25</v>
      </c>
      <c r="BE48" s="130">
        <f t="shared" si="51"/>
        <v>3.5999999999999997E-2</v>
      </c>
      <c r="BF48" s="128">
        <f t="shared" si="52"/>
        <v>1339.7021623854382</v>
      </c>
      <c r="BG48" s="128">
        <f t="shared" si="53"/>
        <v>100772.70216238544</v>
      </c>
      <c r="BI48" s="124">
        <f t="shared" si="124"/>
        <v>5</v>
      </c>
      <c r="BJ48" s="129"/>
      <c r="BK48" s="127">
        <f t="shared" si="125"/>
        <v>1000</v>
      </c>
      <c r="BL48" s="128">
        <f t="shared" si="126"/>
        <v>100000</v>
      </c>
      <c r="BM48" s="128">
        <f t="shared" si="142"/>
        <v>100000</v>
      </c>
      <c r="BN48" s="128">
        <f t="shared" si="127"/>
        <v>100000</v>
      </c>
      <c r="BO48" s="130">
        <f t="shared" si="54"/>
        <v>4.3999999999999997E-2</v>
      </c>
      <c r="BP48" s="128">
        <f t="shared" si="55"/>
        <v>101833.33333333333</v>
      </c>
      <c r="BQ48" s="128" t="str">
        <f t="shared" si="56"/>
        <v>nie</v>
      </c>
      <c r="BR48" s="128">
        <f t="shared" si="57"/>
        <v>1000</v>
      </c>
      <c r="BS48" s="128">
        <f t="shared" si="58"/>
        <v>100675</v>
      </c>
      <c r="BT48" s="128">
        <f t="shared" si="128"/>
        <v>0</v>
      </c>
      <c r="BU48" s="130">
        <f t="shared" si="59"/>
        <v>3.5999999999999997E-2</v>
      </c>
      <c r="BV48" s="128">
        <f t="shared" si="60"/>
        <v>0</v>
      </c>
      <c r="BW48" s="128">
        <f t="shared" si="61"/>
        <v>100675</v>
      </c>
      <c r="BY48" s="129"/>
      <c r="BZ48" s="127">
        <f t="shared" si="129"/>
        <v>1000</v>
      </c>
      <c r="CA48" s="128">
        <f t="shared" si="130"/>
        <v>100000</v>
      </c>
      <c r="CB48" s="128">
        <f t="shared" si="143"/>
        <v>100000</v>
      </c>
      <c r="CC48" s="128">
        <f t="shared" si="131"/>
        <v>100000</v>
      </c>
      <c r="CD48" s="130">
        <f t="shared" si="62"/>
        <v>4.7500000000000001E-2</v>
      </c>
      <c r="CE48" s="128">
        <f t="shared" si="63"/>
        <v>101979.16666666667</v>
      </c>
      <c r="CF48" s="128" t="str">
        <f t="shared" si="64"/>
        <v>nie</v>
      </c>
      <c r="CG48" s="128">
        <f t="shared" si="65"/>
        <v>1979.1666666666715</v>
      </c>
      <c r="CH48" s="128">
        <f t="shared" si="66"/>
        <v>100000</v>
      </c>
      <c r="CI48" s="128">
        <f t="shared" si="67"/>
        <v>0</v>
      </c>
      <c r="CJ48" s="130">
        <f t="shared" si="68"/>
        <v>3.5999999999999997E-2</v>
      </c>
      <c r="CK48" s="128">
        <f t="shared" si="69"/>
        <v>0</v>
      </c>
      <c r="CL48" s="128">
        <f t="shared" si="70"/>
        <v>100000</v>
      </c>
      <c r="CN48" s="127">
        <f t="shared" si="132"/>
        <v>1000</v>
      </c>
      <c r="CO48" s="128">
        <f t="shared" si="133"/>
        <v>100000</v>
      </c>
      <c r="CP48" s="128">
        <f t="shared" si="134"/>
        <v>100000</v>
      </c>
      <c r="CQ48" s="128">
        <f t="shared" si="135"/>
        <v>100000</v>
      </c>
      <c r="CR48" s="130">
        <f t="shared" si="71"/>
        <v>5.3499999999999999E-2</v>
      </c>
      <c r="CS48" s="128">
        <f t="shared" si="72"/>
        <v>102229.16666666666</v>
      </c>
      <c r="CT48" s="128" t="str">
        <f t="shared" si="73"/>
        <v>nie</v>
      </c>
      <c r="CU48" s="128">
        <f t="shared" si="74"/>
        <v>2229.166666666657</v>
      </c>
      <c r="CV48" s="128">
        <f t="shared" si="75"/>
        <v>100000</v>
      </c>
      <c r="CW48" s="128">
        <f t="shared" si="76"/>
        <v>0</v>
      </c>
      <c r="CX48" s="130">
        <f t="shared" si="77"/>
        <v>3.5999999999999997E-2</v>
      </c>
      <c r="CY48" s="128">
        <f t="shared" si="78"/>
        <v>0</v>
      </c>
      <c r="CZ48" s="128">
        <f t="shared" si="79"/>
        <v>100000</v>
      </c>
      <c r="DA48" s="20"/>
      <c r="DB48" s="127">
        <f t="shared" si="144"/>
        <v>1000</v>
      </c>
      <c r="DC48" s="128">
        <f t="shared" si="145"/>
        <v>100000</v>
      </c>
      <c r="DD48" s="128">
        <f t="shared" si="136"/>
        <v>100000</v>
      </c>
      <c r="DE48" s="128">
        <f t="shared" si="137"/>
        <v>100000</v>
      </c>
      <c r="DF48" s="130">
        <f t="shared" si="80"/>
        <v>0.05</v>
      </c>
      <c r="DG48" s="128">
        <f t="shared" si="81"/>
        <v>102083.33333333333</v>
      </c>
      <c r="DH48" s="128" t="str">
        <f t="shared" si="82"/>
        <v>nie</v>
      </c>
      <c r="DI48" s="128">
        <f t="shared" si="83"/>
        <v>2000</v>
      </c>
      <c r="DJ48" s="128">
        <f t="shared" si="84"/>
        <v>100067.5</v>
      </c>
      <c r="DK48" s="128">
        <f t="shared" si="85"/>
        <v>0</v>
      </c>
      <c r="DL48" s="130">
        <f t="shared" si="86"/>
        <v>3.5999999999999997E-2</v>
      </c>
      <c r="DM48" s="128">
        <f t="shared" si="87"/>
        <v>0</v>
      </c>
      <c r="DN48" s="128">
        <f t="shared" si="88"/>
        <v>100067.5</v>
      </c>
      <c r="DP48" s="127">
        <f t="shared" si="146"/>
        <v>1000</v>
      </c>
      <c r="DQ48" s="128">
        <f t="shared" si="147"/>
        <v>100000</v>
      </c>
      <c r="DR48" s="128">
        <f t="shared" si="138"/>
        <v>100000</v>
      </c>
      <c r="DS48" s="128">
        <f t="shared" si="139"/>
        <v>100000</v>
      </c>
      <c r="DT48" s="130">
        <f t="shared" si="89"/>
        <v>5.6000000000000001E-2</v>
      </c>
      <c r="DU48" s="128">
        <f t="shared" si="90"/>
        <v>102333.33333333334</v>
      </c>
      <c r="DV48" s="128" t="str">
        <f t="shared" si="91"/>
        <v>nie</v>
      </c>
      <c r="DW48" s="128">
        <f t="shared" si="92"/>
        <v>2333.333333333343</v>
      </c>
      <c r="DX48" s="128">
        <f t="shared" si="93"/>
        <v>100000</v>
      </c>
      <c r="DY48" s="128">
        <f t="shared" si="94"/>
        <v>0</v>
      </c>
      <c r="DZ48" s="130">
        <f t="shared" si="95"/>
        <v>3.5999999999999997E-2</v>
      </c>
      <c r="EA48" s="128">
        <f t="shared" si="96"/>
        <v>0</v>
      </c>
      <c r="EB48" s="128">
        <f t="shared" si="97"/>
        <v>100000</v>
      </c>
    </row>
    <row r="49" spans="1:132">
      <c r="A49" s="212"/>
      <c r="B49" s="188">
        <f t="shared" si="98"/>
        <v>5</v>
      </c>
      <c r="C49" s="128">
        <f t="shared" si="99"/>
        <v>100883.83052628757</v>
      </c>
      <c r="D49" s="128">
        <f t="shared" si="100"/>
        <v>100772.70216238544</v>
      </c>
      <c r="E49" s="128">
        <f t="shared" si="101"/>
        <v>100675</v>
      </c>
      <c r="F49" s="128">
        <f t="shared" si="102"/>
        <v>100000</v>
      </c>
      <c r="G49" s="128">
        <f t="shared" si="103"/>
        <v>100000</v>
      </c>
      <c r="H49" s="128">
        <f t="shared" si="104"/>
        <v>100067.5</v>
      </c>
      <c r="I49" s="128">
        <f t="shared" si="105"/>
        <v>100000</v>
      </c>
      <c r="J49" s="128">
        <f t="shared" si="106"/>
        <v>101220.91926634936</v>
      </c>
      <c r="K49" s="128">
        <f t="shared" si="107"/>
        <v>101291.66666666667</v>
      </c>
      <c r="M49" s="36"/>
      <c r="N49" s="32">
        <f t="shared" si="108"/>
        <v>5</v>
      </c>
      <c r="O49" s="25">
        <f t="shared" si="109"/>
        <v>8.8383052628755454E-3</v>
      </c>
      <c r="P49" s="25">
        <f t="shared" si="110"/>
        <v>7.7270216238543021E-3</v>
      </c>
      <c r="Q49" s="25">
        <f t="shared" si="111"/>
        <v>6.7500000000000338E-3</v>
      </c>
      <c r="R49" s="25">
        <f t="shared" si="30"/>
        <v>0</v>
      </c>
      <c r="S49" s="25">
        <f t="shared" si="31"/>
        <v>0</v>
      </c>
      <c r="T49" s="25">
        <f t="shared" si="32"/>
        <v>6.7499999999998117E-4</v>
      </c>
      <c r="U49" s="25">
        <f t="shared" si="33"/>
        <v>0</v>
      </c>
      <c r="V49" s="25">
        <f t="shared" si="34"/>
        <v>1.2209192663493518E-2</v>
      </c>
      <c r="W49" s="25">
        <f t="shared" si="112"/>
        <v>1.2916666666666687E-2</v>
      </c>
      <c r="X49" s="36"/>
      <c r="AA49" s="124">
        <f t="shared" si="113"/>
        <v>6</v>
      </c>
      <c r="AB49" s="128">
        <f t="shared" si="35"/>
        <v>101550</v>
      </c>
      <c r="AC49" s="124">
        <f t="shared" si="114"/>
        <v>6</v>
      </c>
      <c r="AD49" s="130">
        <f t="shared" si="115"/>
        <v>3.7499999999999999E-2</v>
      </c>
      <c r="AE49" s="127">
        <f t="shared" si="116"/>
        <v>1000</v>
      </c>
      <c r="AF49" s="128">
        <f t="shared" si="117"/>
        <v>100000</v>
      </c>
      <c r="AG49" s="128">
        <f t="shared" si="140"/>
        <v>100000</v>
      </c>
      <c r="AH49" s="128">
        <f t="shared" si="118"/>
        <v>100000</v>
      </c>
      <c r="AI49" s="130">
        <f t="shared" si="36"/>
        <v>3.7499999999999999E-2</v>
      </c>
      <c r="AJ49" s="128">
        <f t="shared" si="37"/>
        <v>100312.5</v>
      </c>
      <c r="AK49" s="128" t="str">
        <f t="shared" si="38"/>
        <v>nie</v>
      </c>
      <c r="AL49" s="128">
        <f t="shared" si="39"/>
        <v>500</v>
      </c>
      <c r="AM49" s="128">
        <f t="shared" si="40"/>
        <v>99848.125</v>
      </c>
      <c r="AN49" s="128">
        <f t="shared" si="41"/>
        <v>253.12500000000003</v>
      </c>
      <c r="AO49" s="130">
        <f t="shared" si="42"/>
        <v>3.5999999999999997E-2</v>
      </c>
      <c r="AP49" s="128">
        <f t="shared" si="43"/>
        <v>1545.0873844664375</v>
      </c>
      <c r="AQ49" s="128">
        <f t="shared" si="44"/>
        <v>101140.08738446643</v>
      </c>
      <c r="AS49" s="124">
        <f t="shared" si="119"/>
        <v>6</v>
      </c>
      <c r="AT49" s="130">
        <f t="shared" si="120"/>
        <v>3.7499999999999999E-2</v>
      </c>
      <c r="AU49" s="127">
        <f t="shared" si="121"/>
        <v>1000</v>
      </c>
      <c r="AV49" s="128">
        <f t="shared" si="122"/>
        <v>100000</v>
      </c>
      <c r="AW49" s="128">
        <f t="shared" si="141"/>
        <v>100000</v>
      </c>
      <c r="AX49" s="128">
        <f t="shared" si="123"/>
        <v>100000</v>
      </c>
      <c r="AY49" s="130">
        <f t="shared" si="45"/>
        <v>3.9E-2</v>
      </c>
      <c r="AZ49" s="128">
        <f t="shared" si="46"/>
        <v>100325</v>
      </c>
      <c r="BA49" s="128" t="str">
        <f t="shared" si="47"/>
        <v>nie</v>
      </c>
      <c r="BB49" s="128">
        <f t="shared" si="48"/>
        <v>700</v>
      </c>
      <c r="BC49" s="128">
        <f t="shared" si="49"/>
        <v>99696.25</v>
      </c>
      <c r="BD49" s="128">
        <f t="shared" si="50"/>
        <v>263.25</v>
      </c>
      <c r="BE49" s="130">
        <f t="shared" si="51"/>
        <v>3.5999999999999997E-2</v>
      </c>
      <c r="BF49" s="128">
        <f t="shared" si="52"/>
        <v>1606.2076386400347</v>
      </c>
      <c r="BG49" s="128">
        <f t="shared" si="53"/>
        <v>101039.20763864003</v>
      </c>
      <c r="BI49" s="124">
        <f t="shared" si="124"/>
        <v>6</v>
      </c>
      <c r="BJ49" s="129"/>
      <c r="BK49" s="127">
        <f t="shared" si="125"/>
        <v>1000</v>
      </c>
      <c r="BL49" s="128">
        <f t="shared" si="126"/>
        <v>100000</v>
      </c>
      <c r="BM49" s="128">
        <f t="shared" si="142"/>
        <v>100000</v>
      </c>
      <c r="BN49" s="128">
        <f t="shared" si="127"/>
        <v>100000</v>
      </c>
      <c r="BO49" s="130">
        <f t="shared" si="54"/>
        <v>4.3999999999999997E-2</v>
      </c>
      <c r="BP49" s="128">
        <f t="shared" si="55"/>
        <v>102200</v>
      </c>
      <c r="BQ49" s="128" t="str">
        <f t="shared" si="56"/>
        <v>nie</v>
      </c>
      <c r="BR49" s="128">
        <f t="shared" si="57"/>
        <v>1000</v>
      </c>
      <c r="BS49" s="128">
        <f t="shared" si="58"/>
        <v>100972</v>
      </c>
      <c r="BT49" s="128">
        <f t="shared" si="128"/>
        <v>0</v>
      </c>
      <c r="BU49" s="130">
        <f t="shared" si="59"/>
        <v>3.5999999999999997E-2</v>
      </c>
      <c r="BV49" s="128">
        <f t="shared" si="60"/>
        <v>0</v>
      </c>
      <c r="BW49" s="128">
        <f t="shared" si="61"/>
        <v>100972</v>
      </c>
      <c r="BY49" s="129"/>
      <c r="BZ49" s="127">
        <f t="shared" si="129"/>
        <v>1000</v>
      </c>
      <c r="CA49" s="128">
        <f t="shared" si="130"/>
        <v>100000</v>
      </c>
      <c r="CB49" s="128">
        <f t="shared" si="143"/>
        <v>100000</v>
      </c>
      <c r="CC49" s="128">
        <f t="shared" si="131"/>
        <v>100000</v>
      </c>
      <c r="CD49" s="130">
        <f t="shared" si="62"/>
        <v>4.7500000000000001E-2</v>
      </c>
      <c r="CE49" s="128">
        <f t="shared" si="63"/>
        <v>102375</v>
      </c>
      <c r="CF49" s="128" t="str">
        <f t="shared" si="64"/>
        <v>nie</v>
      </c>
      <c r="CG49" s="128">
        <f t="shared" si="65"/>
        <v>2000</v>
      </c>
      <c r="CH49" s="128">
        <f t="shared" si="66"/>
        <v>100303.75</v>
      </c>
      <c r="CI49" s="128">
        <f t="shared" si="67"/>
        <v>0</v>
      </c>
      <c r="CJ49" s="130">
        <f t="shared" si="68"/>
        <v>3.5999999999999997E-2</v>
      </c>
      <c r="CK49" s="128">
        <f t="shared" si="69"/>
        <v>0</v>
      </c>
      <c r="CL49" s="128">
        <f t="shared" si="70"/>
        <v>100303.75</v>
      </c>
      <c r="CN49" s="127">
        <f t="shared" si="132"/>
        <v>1000</v>
      </c>
      <c r="CO49" s="128">
        <f t="shared" si="133"/>
        <v>100000</v>
      </c>
      <c r="CP49" s="128">
        <f t="shared" si="134"/>
        <v>100000</v>
      </c>
      <c r="CQ49" s="128">
        <f t="shared" si="135"/>
        <v>100000</v>
      </c>
      <c r="CR49" s="130">
        <f t="shared" si="71"/>
        <v>5.3499999999999999E-2</v>
      </c>
      <c r="CS49" s="128">
        <f t="shared" si="72"/>
        <v>102675</v>
      </c>
      <c r="CT49" s="128" t="str">
        <f t="shared" si="73"/>
        <v>nie</v>
      </c>
      <c r="CU49" s="128">
        <f t="shared" si="74"/>
        <v>2675</v>
      </c>
      <c r="CV49" s="128">
        <f t="shared" si="75"/>
        <v>100000</v>
      </c>
      <c r="CW49" s="128">
        <f t="shared" si="76"/>
        <v>0</v>
      </c>
      <c r="CX49" s="130">
        <f t="shared" si="77"/>
        <v>3.5999999999999997E-2</v>
      </c>
      <c r="CY49" s="128">
        <f t="shared" si="78"/>
        <v>0</v>
      </c>
      <c r="CZ49" s="128">
        <f t="shared" si="79"/>
        <v>100000</v>
      </c>
      <c r="DA49" s="20"/>
      <c r="DB49" s="127">
        <f t="shared" si="144"/>
        <v>1000</v>
      </c>
      <c r="DC49" s="128">
        <f t="shared" si="145"/>
        <v>100000</v>
      </c>
      <c r="DD49" s="128">
        <f t="shared" si="136"/>
        <v>100000</v>
      </c>
      <c r="DE49" s="128">
        <f t="shared" si="137"/>
        <v>100000</v>
      </c>
      <c r="DF49" s="130">
        <f t="shared" si="80"/>
        <v>0.05</v>
      </c>
      <c r="DG49" s="128">
        <f t="shared" si="81"/>
        <v>102499.99999999999</v>
      </c>
      <c r="DH49" s="128" t="str">
        <f t="shared" si="82"/>
        <v>nie</v>
      </c>
      <c r="DI49" s="128">
        <f t="shared" si="83"/>
        <v>2000</v>
      </c>
      <c r="DJ49" s="128">
        <f t="shared" si="84"/>
        <v>100404.99999999999</v>
      </c>
      <c r="DK49" s="128">
        <f t="shared" si="85"/>
        <v>0</v>
      </c>
      <c r="DL49" s="130">
        <f t="shared" si="86"/>
        <v>3.5999999999999997E-2</v>
      </c>
      <c r="DM49" s="128">
        <f t="shared" si="87"/>
        <v>0</v>
      </c>
      <c r="DN49" s="128">
        <f t="shared" si="88"/>
        <v>100404.99999999999</v>
      </c>
      <c r="DP49" s="127">
        <f t="shared" si="146"/>
        <v>1000</v>
      </c>
      <c r="DQ49" s="128">
        <f t="shared" si="147"/>
        <v>100000</v>
      </c>
      <c r="DR49" s="128">
        <f t="shared" si="138"/>
        <v>100000</v>
      </c>
      <c r="DS49" s="128">
        <f t="shared" si="139"/>
        <v>100000</v>
      </c>
      <c r="DT49" s="130">
        <f t="shared" si="89"/>
        <v>5.6000000000000001E-2</v>
      </c>
      <c r="DU49" s="128">
        <f t="shared" si="90"/>
        <v>102800</v>
      </c>
      <c r="DV49" s="128" t="str">
        <f t="shared" si="91"/>
        <v>nie</v>
      </c>
      <c r="DW49" s="128">
        <f t="shared" si="92"/>
        <v>2800</v>
      </c>
      <c r="DX49" s="128">
        <f t="shared" si="93"/>
        <v>100000</v>
      </c>
      <c r="DY49" s="128">
        <f t="shared" si="94"/>
        <v>0</v>
      </c>
      <c r="DZ49" s="130">
        <f t="shared" si="95"/>
        <v>3.5999999999999997E-2</v>
      </c>
      <c r="EA49" s="128">
        <f t="shared" si="96"/>
        <v>0</v>
      </c>
      <c r="EB49" s="128">
        <f t="shared" si="97"/>
        <v>100000</v>
      </c>
    </row>
    <row r="50" spans="1:132">
      <c r="A50" s="212"/>
      <c r="B50" s="188">
        <f t="shared" si="98"/>
        <v>6</v>
      </c>
      <c r="C50" s="128">
        <f t="shared" si="99"/>
        <v>101140.08738446643</v>
      </c>
      <c r="D50" s="128">
        <f t="shared" si="100"/>
        <v>101039.20763864003</v>
      </c>
      <c r="E50" s="128">
        <f t="shared" si="101"/>
        <v>100972</v>
      </c>
      <c r="F50" s="128">
        <f t="shared" si="102"/>
        <v>100303.75</v>
      </c>
      <c r="G50" s="128">
        <f t="shared" si="103"/>
        <v>100000</v>
      </c>
      <c r="H50" s="128">
        <f t="shared" si="104"/>
        <v>100404.99999999999</v>
      </c>
      <c r="I50" s="128">
        <f t="shared" si="105"/>
        <v>100000</v>
      </c>
      <c r="J50" s="128">
        <f t="shared" si="106"/>
        <v>101466.88610016658</v>
      </c>
      <c r="K50" s="128">
        <f t="shared" si="107"/>
        <v>101550</v>
      </c>
      <c r="M50" s="36"/>
      <c r="N50" s="32">
        <f t="shared" si="108"/>
        <v>6</v>
      </c>
      <c r="O50" s="25">
        <f t="shared" si="109"/>
        <v>1.1400873844664261E-2</v>
      </c>
      <c r="P50" s="25">
        <f t="shared" si="110"/>
        <v>1.0392076386400273E-2</v>
      </c>
      <c r="Q50" s="25">
        <f t="shared" si="111"/>
        <v>9.7199999999999509E-3</v>
      </c>
      <c r="R50" s="25">
        <f t="shared" si="30"/>
        <v>3.0375000000000263E-3</v>
      </c>
      <c r="S50" s="25">
        <f t="shared" si="31"/>
        <v>0</v>
      </c>
      <c r="T50" s="25">
        <f t="shared" si="32"/>
        <v>4.049999999999887E-3</v>
      </c>
      <c r="U50" s="25">
        <f t="shared" si="33"/>
        <v>0</v>
      </c>
      <c r="V50" s="25">
        <f t="shared" si="34"/>
        <v>1.4668861001665867E-2</v>
      </c>
      <c r="W50" s="25">
        <f t="shared" si="112"/>
        <v>1.5500000000000069E-2</v>
      </c>
      <c r="X50" s="36"/>
      <c r="AA50" s="124">
        <f t="shared" si="113"/>
        <v>7</v>
      </c>
      <c r="AB50" s="128">
        <f t="shared" si="35"/>
        <v>101808.33333333333</v>
      </c>
      <c r="AC50" s="124">
        <f t="shared" si="114"/>
        <v>7</v>
      </c>
      <c r="AD50" s="130">
        <f t="shared" si="115"/>
        <v>3.7499999999999999E-2</v>
      </c>
      <c r="AE50" s="127">
        <f t="shared" si="116"/>
        <v>1000</v>
      </c>
      <c r="AF50" s="128">
        <f t="shared" si="117"/>
        <v>100000</v>
      </c>
      <c r="AG50" s="128">
        <f t="shared" si="140"/>
        <v>100000</v>
      </c>
      <c r="AH50" s="128">
        <f t="shared" si="118"/>
        <v>100000</v>
      </c>
      <c r="AI50" s="130">
        <f t="shared" si="36"/>
        <v>3.7499999999999999E-2</v>
      </c>
      <c r="AJ50" s="128">
        <f t="shared" si="37"/>
        <v>100312.5</v>
      </c>
      <c r="AK50" s="128" t="str">
        <f t="shared" si="38"/>
        <v>nie</v>
      </c>
      <c r="AL50" s="128">
        <f t="shared" si="39"/>
        <v>500</v>
      </c>
      <c r="AM50" s="128">
        <f t="shared" si="40"/>
        <v>99848.125</v>
      </c>
      <c r="AN50" s="128">
        <f t="shared" si="41"/>
        <v>253.12500000000003</v>
      </c>
      <c r="AO50" s="130">
        <f t="shared" si="42"/>
        <v>3.5999999999999997E-2</v>
      </c>
      <c r="AP50" s="128">
        <f t="shared" si="43"/>
        <v>1801.9669468106908</v>
      </c>
      <c r="AQ50" s="128">
        <f t="shared" si="44"/>
        <v>101396.96694681069</v>
      </c>
      <c r="AS50" s="124">
        <f t="shared" si="119"/>
        <v>7</v>
      </c>
      <c r="AT50" s="130">
        <f t="shared" si="120"/>
        <v>3.7499999999999999E-2</v>
      </c>
      <c r="AU50" s="127">
        <f t="shared" si="121"/>
        <v>1000</v>
      </c>
      <c r="AV50" s="128">
        <f t="shared" si="122"/>
        <v>100000</v>
      </c>
      <c r="AW50" s="128">
        <f t="shared" si="141"/>
        <v>100000</v>
      </c>
      <c r="AX50" s="128">
        <f t="shared" si="123"/>
        <v>100000</v>
      </c>
      <c r="AY50" s="130">
        <f t="shared" si="45"/>
        <v>3.9E-2</v>
      </c>
      <c r="AZ50" s="128">
        <f t="shared" si="46"/>
        <v>100325</v>
      </c>
      <c r="BA50" s="128" t="str">
        <f t="shared" si="47"/>
        <v>nie</v>
      </c>
      <c r="BB50" s="128">
        <f t="shared" si="48"/>
        <v>700</v>
      </c>
      <c r="BC50" s="128">
        <f t="shared" si="49"/>
        <v>99696.25</v>
      </c>
      <c r="BD50" s="128">
        <f t="shared" si="50"/>
        <v>263.25</v>
      </c>
      <c r="BE50" s="130">
        <f t="shared" si="51"/>
        <v>3.5999999999999997E-2</v>
      </c>
      <c r="BF50" s="128">
        <f t="shared" si="52"/>
        <v>1873.3607232019299</v>
      </c>
      <c r="BG50" s="128">
        <f t="shared" si="53"/>
        <v>101306.36072320193</v>
      </c>
      <c r="BI50" s="124">
        <f t="shared" si="124"/>
        <v>7</v>
      </c>
      <c r="BJ50" s="130">
        <f t="shared" ref="BJ50:BJ81" si="148">MAX(INDEX(scenariusz_I_WIBOR6M,MATCH(ROUNDUP(BI50/12,0),scenariusz_I_rok,0)),0)</f>
        <v>3.9100000000000003E-2</v>
      </c>
      <c r="BK50" s="127">
        <f t="shared" si="125"/>
        <v>1000</v>
      </c>
      <c r="BL50" s="128">
        <f t="shared" si="126"/>
        <v>100000</v>
      </c>
      <c r="BM50" s="128">
        <f t="shared" si="142"/>
        <v>100000</v>
      </c>
      <c r="BN50" s="128">
        <f t="shared" si="127"/>
        <v>100000</v>
      </c>
      <c r="BO50" s="130">
        <f t="shared" si="54"/>
        <v>4.3999999999999997E-2</v>
      </c>
      <c r="BP50" s="128">
        <f t="shared" si="55"/>
        <v>102566.66666666667</v>
      </c>
      <c r="BQ50" s="128" t="str">
        <f t="shared" si="56"/>
        <v>nie</v>
      </c>
      <c r="BR50" s="128">
        <f t="shared" si="57"/>
        <v>1000</v>
      </c>
      <c r="BS50" s="128">
        <f t="shared" si="58"/>
        <v>101269</v>
      </c>
      <c r="BT50" s="128">
        <f t="shared" si="128"/>
        <v>0</v>
      </c>
      <c r="BU50" s="130">
        <f t="shared" si="59"/>
        <v>3.5999999999999997E-2</v>
      </c>
      <c r="BV50" s="128">
        <f t="shared" si="60"/>
        <v>0</v>
      </c>
      <c r="BW50" s="128">
        <f t="shared" si="61"/>
        <v>101269</v>
      </c>
      <c r="BY50" s="129"/>
      <c r="BZ50" s="127">
        <f t="shared" si="129"/>
        <v>1000</v>
      </c>
      <c r="CA50" s="128">
        <f t="shared" si="130"/>
        <v>100000</v>
      </c>
      <c r="CB50" s="128">
        <f t="shared" si="143"/>
        <v>100000</v>
      </c>
      <c r="CC50" s="128">
        <f t="shared" si="131"/>
        <v>100000</v>
      </c>
      <c r="CD50" s="130">
        <f t="shared" si="62"/>
        <v>4.7500000000000001E-2</v>
      </c>
      <c r="CE50" s="128">
        <f t="shared" si="63"/>
        <v>102770.83333333334</v>
      </c>
      <c r="CF50" s="128" t="str">
        <f t="shared" si="64"/>
        <v>nie</v>
      </c>
      <c r="CG50" s="128">
        <f t="shared" si="65"/>
        <v>2000</v>
      </c>
      <c r="CH50" s="128">
        <f t="shared" si="66"/>
        <v>100624.37500000001</v>
      </c>
      <c r="CI50" s="128">
        <f t="shared" si="67"/>
        <v>0</v>
      </c>
      <c r="CJ50" s="130">
        <f t="shared" si="68"/>
        <v>3.5999999999999997E-2</v>
      </c>
      <c r="CK50" s="128">
        <f t="shared" si="69"/>
        <v>0</v>
      </c>
      <c r="CL50" s="128">
        <f t="shared" si="70"/>
        <v>100624.37500000001</v>
      </c>
      <c r="CN50" s="127">
        <f t="shared" si="132"/>
        <v>1000</v>
      </c>
      <c r="CO50" s="128">
        <f t="shared" si="133"/>
        <v>100000</v>
      </c>
      <c r="CP50" s="128">
        <f t="shared" si="134"/>
        <v>100000</v>
      </c>
      <c r="CQ50" s="128">
        <f t="shared" si="135"/>
        <v>100000</v>
      </c>
      <c r="CR50" s="130">
        <f t="shared" si="71"/>
        <v>5.3499999999999999E-2</v>
      </c>
      <c r="CS50" s="128">
        <f t="shared" si="72"/>
        <v>103120.83333333333</v>
      </c>
      <c r="CT50" s="128" t="str">
        <f t="shared" si="73"/>
        <v>nie</v>
      </c>
      <c r="CU50" s="128">
        <f t="shared" si="74"/>
        <v>3000</v>
      </c>
      <c r="CV50" s="128">
        <f t="shared" si="75"/>
        <v>100097.875</v>
      </c>
      <c r="CW50" s="128">
        <f t="shared" si="76"/>
        <v>0</v>
      </c>
      <c r="CX50" s="130">
        <f t="shared" si="77"/>
        <v>3.5999999999999997E-2</v>
      </c>
      <c r="CY50" s="128">
        <f t="shared" si="78"/>
        <v>0</v>
      </c>
      <c r="CZ50" s="128">
        <f t="shared" si="79"/>
        <v>100097.875</v>
      </c>
      <c r="DA50" s="20"/>
      <c r="DB50" s="127">
        <f t="shared" si="144"/>
        <v>1000</v>
      </c>
      <c r="DC50" s="128">
        <f t="shared" si="145"/>
        <v>100000</v>
      </c>
      <c r="DD50" s="128">
        <f t="shared" si="136"/>
        <v>100000</v>
      </c>
      <c r="DE50" s="128">
        <f t="shared" si="137"/>
        <v>100000</v>
      </c>
      <c r="DF50" s="130">
        <f t="shared" si="80"/>
        <v>0.05</v>
      </c>
      <c r="DG50" s="128">
        <f t="shared" si="81"/>
        <v>102916.66666666666</v>
      </c>
      <c r="DH50" s="128" t="str">
        <f t="shared" si="82"/>
        <v>nie</v>
      </c>
      <c r="DI50" s="128">
        <f t="shared" si="83"/>
        <v>2000</v>
      </c>
      <c r="DJ50" s="128">
        <f t="shared" si="84"/>
        <v>100742.49999999999</v>
      </c>
      <c r="DK50" s="128">
        <f t="shared" si="85"/>
        <v>0</v>
      </c>
      <c r="DL50" s="130">
        <f t="shared" si="86"/>
        <v>3.5999999999999997E-2</v>
      </c>
      <c r="DM50" s="128">
        <f t="shared" si="87"/>
        <v>0</v>
      </c>
      <c r="DN50" s="128">
        <f t="shared" si="88"/>
        <v>100742.49999999999</v>
      </c>
      <c r="DP50" s="127">
        <f t="shared" si="146"/>
        <v>1000</v>
      </c>
      <c r="DQ50" s="128">
        <f t="shared" si="147"/>
        <v>100000</v>
      </c>
      <c r="DR50" s="128">
        <f t="shared" si="138"/>
        <v>100000</v>
      </c>
      <c r="DS50" s="128">
        <f t="shared" si="139"/>
        <v>100000</v>
      </c>
      <c r="DT50" s="130">
        <f t="shared" si="89"/>
        <v>5.6000000000000001E-2</v>
      </c>
      <c r="DU50" s="128">
        <f t="shared" si="90"/>
        <v>103266.66666666666</v>
      </c>
      <c r="DV50" s="128" t="str">
        <f t="shared" si="91"/>
        <v>nie</v>
      </c>
      <c r="DW50" s="128">
        <f t="shared" si="92"/>
        <v>3000</v>
      </c>
      <c r="DX50" s="128">
        <f t="shared" si="93"/>
        <v>100215.99999999999</v>
      </c>
      <c r="DY50" s="128">
        <f t="shared" si="94"/>
        <v>0</v>
      </c>
      <c r="DZ50" s="130">
        <f t="shared" si="95"/>
        <v>3.5999999999999997E-2</v>
      </c>
      <c r="EA50" s="128">
        <f t="shared" si="96"/>
        <v>0</v>
      </c>
      <c r="EB50" s="128">
        <f t="shared" si="97"/>
        <v>100215.99999999999</v>
      </c>
    </row>
    <row r="51" spans="1:132">
      <c r="A51" s="212"/>
      <c r="B51" s="188">
        <f t="shared" si="98"/>
        <v>7</v>
      </c>
      <c r="C51" s="128">
        <f t="shared" si="99"/>
        <v>101396.96694681069</v>
      </c>
      <c r="D51" s="128">
        <f t="shared" si="100"/>
        <v>101306.36072320193</v>
      </c>
      <c r="E51" s="128">
        <f t="shared" si="101"/>
        <v>101269</v>
      </c>
      <c r="F51" s="128">
        <f t="shared" si="102"/>
        <v>100624.37500000001</v>
      </c>
      <c r="G51" s="128">
        <f t="shared" si="103"/>
        <v>100097.875</v>
      </c>
      <c r="H51" s="128">
        <f t="shared" si="104"/>
        <v>100742.49999999999</v>
      </c>
      <c r="I51" s="128">
        <f t="shared" si="105"/>
        <v>100215.99999999999</v>
      </c>
      <c r="J51" s="128">
        <f t="shared" si="106"/>
        <v>101713.45063338998</v>
      </c>
      <c r="K51" s="128">
        <f t="shared" si="107"/>
        <v>101808.33333333333</v>
      </c>
      <c r="M51" s="36"/>
      <c r="N51" s="32">
        <f t="shared" si="108"/>
        <v>7</v>
      </c>
      <c r="O51" s="25">
        <f t="shared" si="109"/>
        <v>1.3969669468106849E-2</v>
      </c>
      <c r="P51" s="25">
        <f t="shared" si="110"/>
        <v>1.3063607232019381E-2</v>
      </c>
      <c r="Q51" s="25">
        <f t="shared" si="111"/>
        <v>1.269000000000009E-2</v>
      </c>
      <c r="R51" s="25">
        <f t="shared" si="30"/>
        <v>6.2437500000001034E-3</v>
      </c>
      <c r="S51" s="25">
        <f t="shared" si="31"/>
        <v>9.7875000000002821E-4</v>
      </c>
      <c r="T51" s="25">
        <f t="shared" si="32"/>
        <v>7.4249999999997929E-3</v>
      </c>
      <c r="U51" s="25">
        <f t="shared" si="33"/>
        <v>2.1599999999999397E-3</v>
      </c>
      <c r="V51" s="25">
        <f t="shared" si="34"/>
        <v>1.7134506333899679E-2</v>
      </c>
      <c r="W51" s="25">
        <f t="shared" si="112"/>
        <v>1.8083333333333229E-2</v>
      </c>
      <c r="X51" s="36"/>
      <c r="AA51" s="124">
        <f t="shared" si="113"/>
        <v>8</v>
      </c>
      <c r="AB51" s="128">
        <f t="shared" si="35"/>
        <v>102066.66666666666</v>
      </c>
      <c r="AC51" s="124">
        <f t="shared" si="114"/>
        <v>8</v>
      </c>
      <c r="AD51" s="130">
        <f t="shared" si="115"/>
        <v>3.7499999999999999E-2</v>
      </c>
      <c r="AE51" s="127">
        <f t="shared" si="116"/>
        <v>1000</v>
      </c>
      <c r="AF51" s="128">
        <f t="shared" si="117"/>
        <v>100000</v>
      </c>
      <c r="AG51" s="128">
        <f t="shared" si="140"/>
        <v>100000</v>
      </c>
      <c r="AH51" s="128">
        <f t="shared" si="118"/>
        <v>100000</v>
      </c>
      <c r="AI51" s="130">
        <f t="shared" si="36"/>
        <v>3.7499999999999999E-2</v>
      </c>
      <c r="AJ51" s="128">
        <f t="shared" si="37"/>
        <v>100312.5</v>
      </c>
      <c r="AK51" s="128" t="str">
        <f t="shared" si="38"/>
        <v>nie</v>
      </c>
      <c r="AL51" s="128">
        <f t="shared" si="39"/>
        <v>500</v>
      </c>
      <c r="AM51" s="128">
        <f t="shared" si="40"/>
        <v>99848.125</v>
      </c>
      <c r="AN51" s="128">
        <f t="shared" si="41"/>
        <v>253.12500000000003</v>
      </c>
      <c r="AO51" s="130">
        <f t="shared" si="42"/>
        <v>3.5999999999999997E-2</v>
      </c>
      <c r="AP51" s="128">
        <f t="shared" si="43"/>
        <v>2059.4707264914409</v>
      </c>
      <c r="AQ51" s="128">
        <f t="shared" si="44"/>
        <v>101654.47072649145</v>
      </c>
      <c r="AS51" s="124">
        <f t="shared" si="119"/>
        <v>8</v>
      </c>
      <c r="AT51" s="130">
        <f t="shared" si="120"/>
        <v>3.7499999999999999E-2</v>
      </c>
      <c r="AU51" s="127">
        <f t="shared" si="121"/>
        <v>1000</v>
      </c>
      <c r="AV51" s="128">
        <f t="shared" si="122"/>
        <v>100000</v>
      </c>
      <c r="AW51" s="128">
        <f t="shared" si="141"/>
        <v>100000</v>
      </c>
      <c r="AX51" s="128">
        <f t="shared" si="123"/>
        <v>100000</v>
      </c>
      <c r="AY51" s="130">
        <f t="shared" si="45"/>
        <v>3.9E-2</v>
      </c>
      <c r="AZ51" s="128">
        <f t="shared" si="46"/>
        <v>100325</v>
      </c>
      <c r="BA51" s="128" t="str">
        <f t="shared" si="47"/>
        <v>nie</v>
      </c>
      <c r="BB51" s="128">
        <f t="shared" si="48"/>
        <v>700</v>
      </c>
      <c r="BC51" s="128">
        <f t="shared" si="49"/>
        <v>99696.25</v>
      </c>
      <c r="BD51" s="128">
        <f t="shared" si="50"/>
        <v>263.25</v>
      </c>
      <c r="BE51" s="130">
        <f t="shared" si="51"/>
        <v>3.5999999999999997E-2</v>
      </c>
      <c r="BF51" s="128">
        <f t="shared" si="52"/>
        <v>2141.1629897593102</v>
      </c>
      <c r="BG51" s="128">
        <f t="shared" si="53"/>
        <v>101574.16298975931</v>
      </c>
      <c r="BI51" s="124">
        <f t="shared" si="124"/>
        <v>8</v>
      </c>
      <c r="BJ51" s="130">
        <f t="shared" si="148"/>
        <v>3.9100000000000003E-2</v>
      </c>
      <c r="BK51" s="127">
        <f t="shared" si="125"/>
        <v>1000</v>
      </c>
      <c r="BL51" s="128">
        <f t="shared" si="126"/>
        <v>100000</v>
      </c>
      <c r="BM51" s="128">
        <f t="shared" si="142"/>
        <v>100000</v>
      </c>
      <c r="BN51" s="128">
        <f t="shared" si="127"/>
        <v>100000</v>
      </c>
      <c r="BO51" s="130">
        <f t="shared" si="54"/>
        <v>4.3999999999999997E-2</v>
      </c>
      <c r="BP51" s="128">
        <f t="shared" si="55"/>
        <v>102933.33333333334</v>
      </c>
      <c r="BQ51" s="128" t="str">
        <f t="shared" si="56"/>
        <v>nie</v>
      </c>
      <c r="BR51" s="128">
        <f t="shared" si="57"/>
        <v>1000</v>
      </c>
      <c r="BS51" s="128">
        <f t="shared" si="58"/>
        <v>101566.00000000001</v>
      </c>
      <c r="BT51" s="128">
        <f t="shared" si="128"/>
        <v>0</v>
      </c>
      <c r="BU51" s="130">
        <f t="shared" si="59"/>
        <v>3.5999999999999997E-2</v>
      </c>
      <c r="BV51" s="128">
        <f t="shared" si="60"/>
        <v>0</v>
      </c>
      <c r="BW51" s="128">
        <f t="shared" si="61"/>
        <v>101566.00000000001</v>
      </c>
      <c r="BY51" s="129"/>
      <c r="BZ51" s="127">
        <f t="shared" si="129"/>
        <v>1000</v>
      </c>
      <c r="CA51" s="128">
        <f t="shared" si="130"/>
        <v>100000</v>
      </c>
      <c r="CB51" s="128">
        <f t="shared" si="143"/>
        <v>100000</v>
      </c>
      <c r="CC51" s="128">
        <f t="shared" si="131"/>
        <v>100000</v>
      </c>
      <c r="CD51" s="130">
        <f t="shared" si="62"/>
        <v>4.7500000000000001E-2</v>
      </c>
      <c r="CE51" s="128">
        <f t="shared" si="63"/>
        <v>103166.66666666667</v>
      </c>
      <c r="CF51" s="128" t="str">
        <f t="shared" si="64"/>
        <v>nie</v>
      </c>
      <c r="CG51" s="128">
        <f t="shared" si="65"/>
        <v>2000</v>
      </c>
      <c r="CH51" s="128">
        <f t="shared" si="66"/>
        <v>100945</v>
      </c>
      <c r="CI51" s="128">
        <f t="shared" si="67"/>
        <v>0</v>
      </c>
      <c r="CJ51" s="130">
        <f t="shared" si="68"/>
        <v>3.5999999999999997E-2</v>
      </c>
      <c r="CK51" s="128">
        <f t="shared" si="69"/>
        <v>0</v>
      </c>
      <c r="CL51" s="128">
        <f t="shared" si="70"/>
        <v>100945</v>
      </c>
      <c r="CN51" s="127">
        <f t="shared" si="132"/>
        <v>1000</v>
      </c>
      <c r="CO51" s="128">
        <f t="shared" si="133"/>
        <v>100000</v>
      </c>
      <c r="CP51" s="128">
        <f t="shared" si="134"/>
        <v>100000</v>
      </c>
      <c r="CQ51" s="128">
        <f t="shared" si="135"/>
        <v>100000</v>
      </c>
      <c r="CR51" s="130">
        <f t="shared" si="71"/>
        <v>5.3499999999999999E-2</v>
      </c>
      <c r="CS51" s="128">
        <f t="shared" si="72"/>
        <v>103566.66666666667</v>
      </c>
      <c r="CT51" s="128" t="str">
        <f t="shared" si="73"/>
        <v>nie</v>
      </c>
      <c r="CU51" s="128">
        <f t="shared" si="74"/>
        <v>3000</v>
      </c>
      <c r="CV51" s="128">
        <f t="shared" si="75"/>
        <v>100459</v>
      </c>
      <c r="CW51" s="128">
        <f t="shared" si="76"/>
        <v>0</v>
      </c>
      <c r="CX51" s="130">
        <f t="shared" si="77"/>
        <v>3.5999999999999997E-2</v>
      </c>
      <c r="CY51" s="128">
        <f t="shared" si="78"/>
        <v>0</v>
      </c>
      <c r="CZ51" s="128">
        <f t="shared" si="79"/>
        <v>100459</v>
      </c>
      <c r="DA51" s="20"/>
      <c r="DB51" s="127">
        <f t="shared" si="144"/>
        <v>1000</v>
      </c>
      <c r="DC51" s="128">
        <f t="shared" si="145"/>
        <v>100000</v>
      </c>
      <c r="DD51" s="128">
        <f t="shared" si="136"/>
        <v>100000</v>
      </c>
      <c r="DE51" s="128">
        <f t="shared" si="137"/>
        <v>100000</v>
      </c>
      <c r="DF51" s="130">
        <f t="shared" si="80"/>
        <v>0.05</v>
      </c>
      <c r="DG51" s="128">
        <f t="shared" si="81"/>
        <v>103333.33333333334</v>
      </c>
      <c r="DH51" s="128" t="str">
        <f t="shared" si="82"/>
        <v>nie</v>
      </c>
      <c r="DI51" s="128">
        <f t="shared" si="83"/>
        <v>2000</v>
      </c>
      <c r="DJ51" s="128">
        <f t="shared" si="84"/>
        <v>101080.00000000001</v>
      </c>
      <c r="DK51" s="128">
        <f t="shared" si="85"/>
        <v>0</v>
      </c>
      <c r="DL51" s="130">
        <f t="shared" si="86"/>
        <v>3.5999999999999997E-2</v>
      </c>
      <c r="DM51" s="128">
        <f t="shared" si="87"/>
        <v>0</v>
      </c>
      <c r="DN51" s="128">
        <f t="shared" si="88"/>
        <v>101080.00000000001</v>
      </c>
      <c r="DP51" s="127">
        <f t="shared" si="146"/>
        <v>1000</v>
      </c>
      <c r="DQ51" s="128">
        <f t="shared" si="147"/>
        <v>100000</v>
      </c>
      <c r="DR51" s="128">
        <f t="shared" si="138"/>
        <v>100000</v>
      </c>
      <c r="DS51" s="128">
        <f t="shared" si="139"/>
        <v>100000</v>
      </c>
      <c r="DT51" s="130">
        <f t="shared" si="89"/>
        <v>5.6000000000000001E-2</v>
      </c>
      <c r="DU51" s="128">
        <f t="shared" si="90"/>
        <v>103733.33333333334</v>
      </c>
      <c r="DV51" s="128" t="str">
        <f t="shared" si="91"/>
        <v>nie</v>
      </c>
      <c r="DW51" s="128">
        <f t="shared" si="92"/>
        <v>3000</v>
      </c>
      <c r="DX51" s="128">
        <f t="shared" si="93"/>
        <v>100594.00000000001</v>
      </c>
      <c r="DY51" s="128">
        <f t="shared" si="94"/>
        <v>0</v>
      </c>
      <c r="DZ51" s="130">
        <f t="shared" si="95"/>
        <v>3.5999999999999997E-2</v>
      </c>
      <c r="EA51" s="128">
        <f t="shared" si="96"/>
        <v>0</v>
      </c>
      <c r="EB51" s="128">
        <f t="shared" si="97"/>
        <v>100594.00000000001</v>
      </c>
    </row>
    <row r="52" spans="1:132">
      <c r="A52" s="212"/>
      <c r="B52" s="188">
        <f t="shared" si="98"/>
        <v>8</v>
      </c>
      <c r="C52" s="128">
        <f t="shared" si="99"/>
        <v>101654.47072649145</v>
      </c>
      <c r="D52" s="128">
        <f t="shared" si="100"/>
        <v>101574.16298975931</v>
      </c>
      <c r="E52" s="128">
        <f t="shared" si="101"/>
        <v>101566.00000000001</v>
      </c>
      <c r="F52" s="128">
        <f t="shared" si="102"/>
        <v>100945</v>
      </c>
      <c r="G52" s="128">
        <f t="shared" si="103"/>
        <v>100459</v>
      </c>
      <c r="H52" s="128">
        <f t="shared" si="104"/>
        <v>101080.00000000001</v>
      </c>
      <c r="I52" s="128">
        <f t="shared" si="105"/>
        <v>100594.00000000001</v>
      </c>
      <c r="J52" s="128">
        <f t="shared" si="106"/>
        <v>101960.61431842911</v>
      </c>
      <c r="K52" s="128">
        <f t="shared" si="107"/>
        <v>102066.66666666666</v>
      </c>
      <c r="M52" s="36"/>
      <c r="N52" s="32">
        <f t="shared" si="108"/>
        <v>8</v>
      </c>
      <c r="O52" s="25">
        <f t="shared" si="109"/>
        <v>1.6544707264914527E-2</v>
      </c>
      <c r="P52" s="25">
        <f t="shared" si="110"/>
        <v>1.5741629897592979E-2</v>
      </c>
      <c r="Q52" s="25">
        <f t="shared" si="111"/>
        <v>1.5660000000000229E-2</v>
      </c>
      <c r="R52" s="25">
        <f t="shared" si="30"/>
        <v>9.4499999999999584E-3</v>
      </c>
      <c r="S52" s="25">
        <f t="shared" si="31"/>
        <v>4.590000000000094E-3</v>
      </c>
      <c r="T52" s="25">
        <f t="shared" si="32"/>
        <v>1.0800000000000143E-2</v>
      </c>
      <c r="U52" s="25">
        <f t="shared" si="33"/>
        <v>5.9400000000000563E-3</v>
      </c>
      <c r="V52" s="25">
        <f t="shared" si="34"/>
        <v>1.9606143184291103E-2</v>
      </c>
      <c r="W52" s="25">
        <f t="shared" si="112"/>
        <v>2.0666666666666611E-2</v>
      </c>
      <c r="X52" s="36"/>
      <c r="AA52" s="124">
        <f t="shared" si="113"/>
        <v>9</v>
      </c>
      <c r="AB52" s="128">
        <f t="shared" si="35"/>
        <v>102325</v>
      </c>
      <c r="AC52" s="124">
        <f t="shared" si="114"/>
        <v>9</v>
      </c>
      <c r="AD52" s="130">
        <f t="shared" si="115"/>
        <v>3.7499999999999999E-2</v>
      </c>
      <c r="AE52" s="127">
        <f t="shared" si="116"/>
        <v>1000</v>
      </c>
      <c r="AF52" s="128">
        <f t="shared" si="117"/>
        <v>100000</v>
      </c>
      <c r="AG52" s="128">
        <f t="shared" si="140"/>
        <v>100000</v>
      </c>
      <c r="AH52" s="128">
        <f t="shared" si="118"/>
        <v>100000</v>
      </c>
      <c r="AI52" s="130">
        <f t="shared" si="36"/>
        <v>3.7499999999999999E-2</v>
      </c>
      <c r="AJ52" s="128">
        <f t="shared" si="37"/>
        <v>100312.5</v>
      </c>
      <c r="AK52" s="128" t="str">
        <f t="shared" si="38"/>
        <v>nie</v>
      </c>
      <c r="AL52" s="128">
        <f t="shared" si="39"/>
        <v>500</v>
      </c>
      <c r="AM52" s="128">
        <f t="shared" si="40"/>
        <v>99848.125</v>
      </c>
      <c r="AN52" s="128">
        <f t="shared" si="41"/>
        <v>253.12500000000003</v>
      </c>
      <c r="AO52" s="130">
        <f t="shared" si="42"/>
        <v>3.5999999999999997E-2</v>
      </c>
      <c r="AP52" s="128">
        <f t="shared" si="43"/>
        <v>2317.600240356815</v>
      </c>
      <c r="AQ52" s="128">
        <f t="shared" si="44"/>
        <v>101912.60024035681</v>
      </c>
      <c r="AS52" s="124">
        <f t="shared" si="119"/>
        <v>9</v>
      </c>
      <c r="AT52" s="130">
        <f t="shared" si="120"/>
        <v>3.7499999999999999E-2</v>
      </c>
      <c r="AU52" s="127">
        <f t="shared" si="121"/>
        <v>1000</v>
      </c>
      <c r="AV52" s="128">
        <f t="shared" si="122"/>
        <v>100000</v>
      </c>
      <c r="AW52" s="128">
        <f t="shared" si="141"/>
        <v>100000</v>
      </c>
      <c r="AX52" s="128">
        <f t="shared" si="123"/>
        <v>100000</v>
      </c>
      <c r="AY52" s="130">
        <f t="shared" si="45"/>
        <v>3.9E-2</v>
      </c>
      <c r="AZ52" s="128">
        <f t="shared" si="46"/>
        <v>100325</v>
      </c>
      <c r="BA52" s="128" t="str">
        <f t="shared" si="47"/>
        <v>nie</v>
      </c>
      <c r="BB52" s="128">
        <f t="shared" si="48"/>
        <v>700</v>
      </c>
      <c r="BC52" s="128">
        <f t="shared" si="49"/>
        <v>99696.25</v>
      </c>
      <c r="BD52" s="128">
        <f t="shared" si="50"/>
        <v>263.25</v>
      </c>
      <c r="BE52" s="130">
        <f t="shared" si="51"/>
        <v>3.5999999999999997E-2</v>
      </c>
      <c r="BF52" s="128">
        <f t="shared" si="52"/>
        <v>2409.6160158244252</v>
      </c>
      <c r="BG52" s="128">
        <f t="shared" si="53"/>
        <v>101842.61601582443</v>
      </c>
      <c r="BI52" s="124">
        <f t="shared" si="124"/>
        <v>9</v>
      </c>
      <c r="BJ52" s="130">
        <f t="shared" si="148"/>
        <v>3.9100000000000003E-2</v>
      </c>
      <c r="BK52" s="127">
        <f t="shared" si="125"/>
        <v>1000</v>
      </c>
      <c r="BL52" s="128">
        <f t="shared" si="126"/>
        <v>100000</v>
      </c>
      <c r="BM52" s="128">
        <f t="shared" si="142"/>
        <v>100000</v>
      </c>
      <c r="BN52" s="128">
        <f t="shared" si="127"/>
        <v>100000</v>
      </c>
      <c r="BO52" s="130">
        <f t="shared" si="54"/>
        <v>4.3999999999999997E-2</v>
      </c>
      <c r="BP52" s="128">
        <f t="shared" si="55"/>
        <v>103299.99999999999</v>
      </c>
      <c r="BQ52" s="128" t="str">
        <f t="shared" si="56"/>
        <v>nie</v>
      </c>
      <c r="BR52" s="128">
        <f t="shared" si="57"/>
        <v>1000</v>
      </c>
      <c r="BS52" s="128">
        <f t="shared" si="58"/>
        <v>101862.99999999999</v>
      </c>
      <c r="BT52" s="128">
        <f t="shared" si="128"/>
        <v>0</v>
      </c>
      <c r="BU52" s="130">
        <f t="shared" si="59"/>
        <v>3.5999999999999997E-2</v>
      </c>
      <c r="BV52" s="128">
        <f t="shared" si="60"/>
        <v>0</v>
      </c>
      <c r="BW52" s="128">
        <f t="shared" si="61"/>
        <v>101862.99999999999</v>
      </c>
      <c r="BY52" s="129"/>
      <c r="BZ52" s="127">
        <f t="shared" si="129"/>
        <v>1000</v>
      </c>
      <c r="CA52" s="128">
        <f t="shared" si="130"/>
        <v>100000</v>
      </c>
      <c r="CB52" s="128">
        <f t="shared" si="143"/>
        <v>100000</v>
      </c>
      <c r="CC52" s="128">
        <f t="shared" si="131"/>
        <v>100000</v>
      </c>
      <c r="CD52" s="130">
        <f t="shared" si="62"/>
        <v>4.7500000000000001E-2</v>
      </c>
      <c r="CE52" s="128">
        <f t="shared" si="63"/>
        <v>103562.5</v>
      </c>
      <c r="CF52" s="128" t="str">
        <f t="shared" si="64"/>
        <v>nie</v>
      </c>
      <c r="CG52" s="128">
        <f t="shared" si="65"/>
        <v>2000</v>
      </c>
      <c r="CH52" s="128">
        <f t="shared" si="66"/>
        <v>101265.625</v>
      </c>
      <c r="CI52" s="128">
        <f t="shared" si="67"/>
        <v>0</v>
      </c>
      <c r="CJ52" s="130">
        <f t="shared" si="68"/>
        <v>3.5999999999999997E-2</v>
      </c>
      <c r="CK52" s="128">
        <f t="shared" si="69"/>
        <v>0</v>
      </c>
      <c r="CL52" s="128">
        <f t="shared" si="70"/>
        <v>101265.625</v>
      </c>
      <c r="CN52" s="127">
        <f t="shared" si="132"/>
        <v>1000</v>
      </c>
      <c r="CO52" s="128">
        <f t="shared" si="133"/>
        <v>100000</v>
      </c>
      <c r="CP52" s="128">
        <f t="shared" si="134"/>
        <v>100000</v>
      </c>
      <c r="CQ52" s="128">
        <f t="shared" si="135"/>
        <v>100000</v>
      </c>
      <c r="CR52" s="130">
        <f t="shared" si="71"/>
        <v>5.3499999999999999E-2</v>
      </c>
      <c r="CS52" s="128">
        <f t="shared" si="72"/>
        <v>104012.5</v>
      </c>
      <c r="CT52" s="128" t="str">
        <f t="shared" si="73"/>
        <v>nie</v>
      </c>
      <c r="CU52" s="128">
        <f t="shared" si="74"/>
        <v>3000</v>
      </c>
      <c r="CV52" s="128">
        <f t="shared" si="75"/>
        <v>100820.125</v>
      </c>
      <c r="CW52" s="128">
        <f t="shared" si="76"/>
        <v>0</v>
      </c>
      <c r="CX52" s="130">
        <f t="shared" si="77"/>
        <v>3.5999999999999997E-2</v>
      </c>
      <c r="CY52" s="128">
        <f t="shared" si="78"/>
        <v>0</v>
      </c>
      <c r="CZ52" s="128">
        <f t="shared" si="79"/>
        <v>100820.125</v>
      </c>
      <c r="DA52" s="20"/>
      <c r="DB52" s="127">
        <f t="shared" si="144"/>
        <v>1000</v>
      </c>
      <c r="DC52" s="128">
        <f t="shared" si="145"/>
        <v>100000</v>
      </c>
      <c r="DD52" s="128">
        <f t="shared" si="136"/>
        <v>100000</v>
      </c>
      <c r="DE52" s="128">
        <f t="shared" si="137"/>
        <v>100000</v>
      </c>
      <c r="DF52" s="130">
        <f t="shared" si="80"/>
        <v>0.05</v>
      </c>
      <c r="DG52" s="128">
        <f t="shared" si="81"/>
        <v>103750.00000000001</v>
      </c>
      <c r="DH52" s="128" t="str">
        <f t="shared" si="82"/>
        <v>nie</v>
      </c>
      <c r="DI52" s="128">
        <f t="shared" si="83"/>
        <v>2000</v>
      </c>
      <c r="DJ52" s="128">
        <f t="shared" si="84"/>
        <v>101417.50000000001</v>
      </c>
      <c r="DK52" s="128">
        <f t="shared" si="85"/>
        <v>0</v>
      </c>
      <c r="DL52" s="130">
        <f t="shared" si="86"/>
        <v>3.5999999999999997E-2</v>
      </c>
      <c r="DM52" s="128">
        <f t="shared" si="87"/>
        <v>0</v>
      </c>
      <c r="DN52" s="128">
        <f t="shared" si="88"/>
        <v>101417.50000000001</v>
      </c>
      <c r="DP52" s="127">
        <f t="shared" si="146"/>
        <v>1000</v>
      </c>
      <c r="DQ52" s="128">
        <f t="shared" si="147"/>
        <v>100000</v>
      </c>
      <c r="DR52" s="128">
        <f t="shared" si="138"/>
        <v>100000</v>
      </c>
      <c r="DS52" s="128">
        <f t="shared" si="139"/>
        <v>100000</v>
      </c>
      <c r="DT52" s="130">
        <f t="shared" si="89"/>
        <v>5.6000000000000001E-2</v>
      </c>
      <c r="DU52" s="128">
        <f t="shared" si="90"/>
        <v>104200</v>
      </c>
      <c r="DV52" s="128" t="str">
        <f t="shared" si="91"/>
        <v>nie</v>
      </c>
      <c r="DW52" s="128">
        <f t="shared" si="92"/>
        <v>3000</v>
      </c>
      <c r="DX52" s="128">
        <f t="shared" si="93"/>
        <v>100972</v>
      </c>
      <c r="DY52" s="128">
        <f t="shared" si="94"/>
        <v>0</v>
      </c>
      <c r="DZ52" s="130">
        <f t="shared" si="95"/>
        <v>3.5999999999999997E-2</v>
      </c>
      <c r="EA52" s="128">
        <f t="shared" si="96"/>
        <v>0</v>
      </c>
      <c r="EB52" s="128">
        <f t="shared" si="97"/>
        <v>100972</v>
      </c>
    </row>
    <row r="53" spans="1:132">
      <c r="A53" s="212"/>
      <c r="B53" s="188">
        <f t="shared" si="98"/>
        <v>9</v>
      </c>
      <c r="C53" s="128">
        <f t="shared" si="99"/>
        <v>101912.60024035681</v>
      </c>
      <c r="D53" s="128">
        <f t="shared" si="100"/>
        <v>101842.61601582443</v>
      </c>
      <c r="E53" s="128">
        <f t="shared" si="101"/>
        <v>101862.99999999999</v>
      </c>
      <c r="F53" s="128">
        <f t="shared" si="102"/>
        <v>101265.625</v>
      </c>
      <c r="G53" s="128">
        <f t="shared" si="103"/>
        <v>100820.125</v>
      </c>
      <c r="H53" s="128">
        <f t="shared" si="104"/>
        <v>101417.50000000001</v>
      </c>
      <c r="I53" s="128">
        <f t="shared" si="105"/>
        <v>100972</v>
      </c>
      <c r="J53" s="128">
        <f t="shared" si="106"/>
        <v>102208.37861122288</v>
      </c>
      <c r="K53" s="128">
        <f t="shared" si="107"/>
        <v>102325</v>
      </c>
      <c r="M53" s="36"/>
      <c r="N53" s="32">
        <f t="shared" si="108"/>
        <v>9</v>
      </c>
      <c r="O53" s="25">
        <f t="shared" si="109"/>
        <v>1.912600240356821E-2</v>
      </c>
      <c r="P53" s="25">
        <f t="shared" si="110"/>
        <v>1.8426160158244276E-2</v>
      </c>
      <c r="Q53" s="25">
        <f t="shared" si="111"/>
        <v>1.8629999999999924E-2</v>
      </c>
      <c r="R53" s="25">
        <f t="shared" si="30"/>
        <v>1.2656250000000036E-2</v>
      </c>
      <c r="S53" s="25">
        <f t="shared" si="31"/>
        <v>8.2012499999999378E-3</v>
      </c>
      <c r="T53" s="25">
        <f t="shared" si="32"/>
        <v>1.4175000000000049E-2</v>
      </c>
      <c r="U53" s="25">
        <f t="shared" si="33"/>
        <v>9.7199999999999509E-3</v>
      </c>
      <c r="V53" s="25">
        <f t="shared" si="34"/>
        <v>2.2083786112228942E-2</v>
      </c>
      <c r="W53" s="25">
        <f t="shared" si="112"/>
        <v>2.3249999999999993E-2</v>
      </c>
      <c r="X53" s="36"/>
      <c r="AA53" s="124">
        <f t="shared" si="113"/>
        <v>10</v>
      </c>
      <c r="AB53" s="128">
        <f t="shared" si="35"/>
        <v>102583.33333333334</v>
      </c>
      <c r="AC53" s="124">
        <f t="shared" si="114"/>
        <v>10</v>
      </c>
      <c r="AD53" s="130">
        <f t="shared" si="115"/>
        <v>3.7499999999999999E-2</v>
      </c>
      <c r="AE53" s="127">
        <f t="shared" si="116"/>
        <v>1000</v>
      </c>
      <c r="AF53" s="128">
        <f t="shared" si="117"/>
        <v>100000</v>
      </c>
      <c r="AG53" s="128">
        <f t="shared" si="140"/>
        <v>100000</v>
      </c>
      <c r="AH53" s="128">
        <f t="shared" si="118"/>
        <v>100000</v>
      </c>
      <c r="AI53" s="130">
        <f t="shared" si="36"/>
        <v>3.7499999999999999E-2</v>
      </c>
      <c r="AJ53" s="128">
        <f t="shared" si="37"/>
        <v>100312.5</v>
      </c>
      <c r="AK53" s="128" t="str">
        <f t="shared" si="38"/>
        <v>nie</v>
      </c>
      <c r="AL53" s="128">
        <f t="shared" si="39"/>
        <v>500</v>
      </c>
      <c r="AM53" s="128">
        <f t="shared" si="40"/>
        <v>99848.125</v>
      </c>
      <c r="AN53" s="128">
        <f t="shared" si="41"/>
        <v>253.12500000000003</v>
      </c>
      <c r="AO53" s="130">
        <f t="shared" si="42"/>
        <v>3.5999999999999997E-2</v>
      </c>
      <c r="AP53" s="128">
        <f t="shared" si="43"/>
        <v>2576.3570089408818</v>
      </c>
      <c r="AQ53" s="128">
        <f t="shared" si="44"/>
        <v>102171.35700894087</v>
      </c>
      <c r="AS53" s="124">
        <f t="shared" si="119"/>
        <v>10</v>
      </c>
      <c r="AT53" s="130">
        <f t="shared" si="120"/>
        <v>3.7499999999999999E-2</v>
      </c>
      <c r="AU53" s="127">
        <f t="shared" si="121"/>
        <v>1000</v>
      </c>
      <c r="AV53" s="128">
        <f t="shared" si="122"/>
        <v>100000</v>
      </c>
      <c r="AW53" s="128">
        <f t="shared" si="141"/>
        <v>100000</v>
      </c>
      <c r="AX53" s="128">
        <f t="shared" si="123"/>
        <v>100000</v>
      </c>
      <c r="AY53" s="130">
        <f t="shared" si="45"/>
        <v>3.9E-2</v>
      </c>
      <c r="AZ53" s="128">
        <f t="shared" si="46"/>
        <v>100325</v>
      </c>
      <c r="BA53" s="128" t="str">
        <f t="shared" si="47"/>
        <v>nie</v>
      </c>
      <c r="BB53" s="128">
        <f t="shared" si="48"/>
        <v>700</v>
      </c>
      <c r="BC53" s="128">
        <f t="shared" si="49"/>
        <v>99696.25</v>
      </c>
      <c r="BD53" s="128">
        <f t="shared" si="50"/>
        <v>263.25</v>
      </c>
      <c r="BE53" s="130">
        <f t="shared" si="51"/>
        <v>3.5999999999999997E-2</v>
      </c>
      <c r="BF53" s="128">
        <f t="shared" si="52"/>
        <v>2678.7213827428782</v>
      </c>
      <c r="BG53" s="128">
        <f t="shared" si="53"/>
        <v>102111.72138274288</v>
      </c>
      <c r="BI53" s="124">
        <f t="shared" si="124"/>
        <v>10</v>
      </c>
      <c r="BJ53" s="130">
        <f t="shared" si="148"/>
        <v>3.9100000000000003E-2</v>
      </c>
      <c r="BK53" s="127">
        <f t="shared" si="125"/>
        <v>1000</v>
      </c>
      <c r="BL53" s="128">
        <f t="shared" si="126"/>
        <v>100000</v>
      </c>
      <c r="BM53" s="128">
        <f t="shared" si="142"/>
        <v>100000</v>
      </c>
      <c r="BN53" s="128">
        <f t="shared" si="127"/>
        <v>100000</v>
      </c>
      <c r="BO53" s="130">
        <f t="shared" si="54"/>
        <v>4.3999999999999997E-2</v>
      </c>
      <c r="BP53" s="128">
        <f t="shared" si="55"/>
        <v>103666.66666666666</v>
      </c>
      <c r="BQ53" s="128" t="str">
        <f t="shared" si="56"/>
        <v>nie</v>
      </c>
      <c r="BR53" s="128">
        <f t="shared" si="57"/>
        <v>1000</v>
      </c>
      <c r="BS53" s="128">
        <f t="shared" si="58"/>
        <v>102159.99999999999</v>
      </c>
      <c r="BT53" s="128">
        <f t="shared" si="128"/>
        <v>0</v>
      </c>
      <c r="BU53" s="130">
        <f t="shared" si="59"/>
        <v>3.5999999999999997E-2</v>
      </c>
      <c r="BV53" s="128">
        <f t="shared" si="60"/>
        <v>0</v>
      </c>
      <c r="BW53" s="128">
        <f t="shared" si="61"/>
        <v>102159.99999999999</v>
      </c>
      <c r="BY53" s="129"/>
      <c r="BZ53" s="127">
        <f t="shared" si="129"/>
        <v>1000</v>
      </c>
      <c r="CA53" s="128">
        <f t="shared" si="130"/>
        <v>100000</v>
      </c>
      <c r="CB53" s="128">
        <f t="shared" si="143"/>
        <v>100000</v>
      </c>
      <c r="CC53" s="128">
        <f t="shared" si="131"/>
        <v>100000</v>
      </c>
      <c r="CD53" s="130">
        <f t="shared" si="62"/>
        <v>4.7500000000000001E-2</v>
      </c>
      <c r="CE53" s="128">
        <f t="shared" si="63"/>
        <v>103958.33333333333</v>
      </c>
      <c r="CF53" s="128" t="str">
        <f t="shared" si="64"/>
        <v>nie</v>
      </c>
      <c r="CG53" s="128">
        <f t="shared" si="65"/>
        <v>2000</v>
      </c>
      <c r="CH53" s="128">
        <f t="shared" si="66"/>
        <v>101586.25</v>
      </c>
      <c r="CI53" s="128">
        <f t="shared" si="67"/>
        <v>0</v>
      </c>
      <c r="CJ53" s="130">
        <f t="shared" si="68"/>
        <v>3.5999999999999997E-2</v>
      </c>
      <c r="CK53" s="128">
        <f t="shared" si="69"/>
        <v>0</v>
      </c>
      <c r="CL53" s="128">
        <f t="shared" si="70"/>
        <v>101586.25</v>
      </c>
      <c r="CN53" s="127">
        <f t="shared" si="132"/>
        <v>1000</v>
      </c>
      <c r="CO53" s="128">
        <f t="shared" si="133"/>
        <v>100000</v>
      </c>
      <c r="CP53" s="128">
        <f t="shared" si="134"/>
        <v>100000</v>
      </c>
      <c r="CQ53" s="128">
        <f t="shared" si="135"/>
        <v>100000</v>
      </c>
      <c r="CR53" s="130">
        <f t="shared" si="71"/>
        <v>5.3499999999999999E-2</v>
      </c>
      <c r="CS53" s="128">
        <f t="shared" si="72"/>
        <v>104458.33333333334</v>
      </c>
      <c r="CT53" s="128" t="str">
        <f t="shared" si="73"/>
        <v>nie</v>
      </c>
      <c r="CU53" s="128">
        <f t="shared" si="74"/>
        <v>3000</v>
      </c>
      <c r="CV53" s="128">
        <f t="shared" si="75"/>
        <v>101181.25000000001</v>
      </c>
      <c r="CW53" s="128">
        <f t="shared" si="76"/>
        <v>0</v>
      </c>
      <c r="CX53" s="130">
        <f t="shared" si="77"/>
        <v>3.5999999999999997E-2</v>
      </c>
      <c r="CY53" s="128">
        <f t="shared" si="78"/>
        <v>0</v>
      </c>
      <c r="CZ53" s="128">
        <f t="shared" si="79"/>
        <v>101181.25000000001</v>
      </c>
      <c r="DA53" s="20"/>
      <c r="DB53" s="127">
        <f t="shared" si="144"/>
        <v>1000</v>
      </c>
      <c r="DC53" s="128">
        <f t="shared" si="145"/>
        <v>100000</v>
      </c>
      <c r="DD53" s="128">
        <f t="shared" si="136"/>
        <v>100000</v>
      </c>
      <c r="DE53" s="128">
        <f t="shared" si="137"/>
        <v>100000</v>
      </c>
      <c r="DF53" s="130">
        <f t="shared" si="80"/>
        <v>0.05</v>
      </c>
      <c r="DG53" s="128">
        <f t="shared" si="81"/>
        <v>104166.66666666667</v>
      </c>
      <c r="DH53" s="128" t="str">
        <f t="shared" si="82"/>
        <v>nie</v>
      </c>
      <c r="DI53" s="128">
        <f t="shared" si="83"/>
        <v>2000</v>
      </c>
      <c r="DJ53" s="128">
        <f t="shared" si="84"/>
        <v>101755</v>
      </c>
      <c r="DK53" s="128">
        <f t="shared" si="85"/>
        <v>0</v>
      </c>
      <c r="DL53" s="130">
        <f t="shared" si="86"/>
        <v>3.5999999999999997E-2</v>
      </c>
      <c r="DM53" s="128">
        <f t="shared" si="87"/>
        <v>0</v>
      </c>
      <c r="DN53" s="128">
        <f t="shared" si="88"/>
        <v>101755</v>
      </c>
      <c r="DP53" s="127">
        <f t="shared" si="146"/>
        <v>1000</v>
      </c>
      <c r="DQ53" s="128">
        <f t="shared" si="147"/>
        <v>100000</v>
      </c>
      <c r="DR53" s="128">
        <f t="shared" si="138"/>
        <v>100000</v>
      </c>
      <c r="DS53" s="128">
        <f t="shared" si="139"/>
        <v>100000</v>
      </c>
      <c r="DT53" s="130">
        <f t="shared" si="89"/>
        <v>5.6000000000000001E-2</v>
      </c>
      <c r="DU53" s="128">
        <f t="shared" si="90"/>
        <v>104666.66666666666</v>
      </c>
      <c r="DV53" s="128" t="str">
        <f t="shared" si="91"/>
        <v>nie</v>
      </c>
      <c r="DW53" s="128">
        <f t="shared" si="92"/>
        <v>3000</v>
      </c>
      <c r="DX53" s="128">
        <f t="shared" si="93"/>
        <v>101349.99999999999</v>
      </c>
      <c r="DY53" s="128">
        <f t="shared" si="94"/>
        <v>0</v>
      </c>
      <c r="DZ53" s="130">
        <f t="shared" si="95"/>
        <v>3.5999999999999997E-2</v>
      </c>
      <c r="EA53" s="128">
        <f t="shared" si="96"/>
        <v>0</v>
      </c>
      <c r="EB53" s="128">
        <f t="shared" si="97"/>
        <v>101349.99999999999</v>
      </c>
    </row>
    <row r="54" spans="1:132">
      <c r="A54" s="212"/>
      <c r="B54" s="188">
        <f t="shared" si="98"/>
        <v>10</v>
      </c>
      <c r="C54" s="128">
        <f t="shared" si="99"/>
        <v>102171.35700894087</v>
      </c>
      <c r="D54" s="128">
        <f t="shared" si="100"/>
        <v>102111.72138274288</v>
      </c>
      <c r="E54" s="128">
        <f t="shared" si="101"/>
        <v>102159.99999999999</v>
      </c>
      <c r="F54" s="128">
        <f t="shared" si="102"/>
        <v>101586.25</v>
      </c>
      <c r="G54" s="128">
        <f t="shared" si="103"/>
        <v>101181.25000000001</v>
      </c>
      <c r="H54" s="128">
        <f t="shared" si="104"/>
        <v>101755</v>
      </c>
      <c r="I54" s="128">
        <f t="shared" si="105"/>
        <v>101349.99999999999</v>
      </c>
      <c r="J54" s="128">
        <f t="shared" si="106"/>
        <v>102456.74497124815</v>
      </c>
      <c r="K54" s="128">
        <f t="shared" si="107"/>
        <v>102583.33333333334</v>
      </c>
      <c r="M54" s="36"/>
      <c r="N54" s="32">
        <f t="shared" si="108"/>
        <v>10</v>
      </c>
      <c r="O54" s="25">
        <f t="shared" si="109"/>
        <v>2.1713570089408663E-2</v>
      </c>
      <c r="P54" s="25">
        <f t="shared" si="110"/>
        <v>2.1117213827428705E-2</v>
      </c>
      <c r="Q54" s="25">
        <f t="shared" si="111"/>
        <v>2.1599999999999842E-2</v>
      </c>
      <c r="R54" s="25">
        <f t="shared" si="30"/>
        <v>1.5862499999999891E-2</v>
      </c>
      <c r="S54" s="25">
        <f t="shared" si="31"/>
        <v>1.1812500000000226E-2</v>
      </c>
      <c r="T54" s="25">
        <f t="shared" si="32"/>
        <v>1.7549999999999955E-2</v>
      </c>
      <c r="U54" s="25">
        <f t="shared" si="33"/>
        <v>1.3499999999999845E-2</v>
      </c>
      <c r="V54" s="25">
        <f t="shared" si="34"/>
        <v>2.4567449712481482E-2</v>
      </c>
      <c r="W54" s="25">
        <f t="shared" si="112"/>
        <v>2.5833333333333375E-2</v>
      </c>
      <c r="X54" s="36"/>
      <c r="AA54" s="124">
        <f t="shared" si="113"/>
        <v>11</v>
      </c>
      <c r="AB54" s="128">
        <f t="shared" si="35"/>
        <v>102841.66666666667</v>
      </c>
      <c r="AC54" s="124">
        <f t="shared" si="114"/>
        <v>11</v>
      </c>
      <c r="AD54" s="130">
        <f t="shared" si="115"/>
        <v>3.7499999999999999E-2</v>
      </c>
      <c r="AE54" s="127">
        <f t="shared" si="116"/>
        <v>1000</v>
      </c>
      <c r="AF54" s="128">
        <f t="shared" si="117"/>
        <v>100000</v>
      </c>
      <c r="AG54" s="128">
        <f t="shared" si="140"/>
        <v>100000</v>
      </c>
      <c r="AH54" s="128">
        <f t="shared" si="118"/>
        <v>100000</v>
      </c>
      <c r="AI54" s="130">
        <f t="shared" si="36"/>
        <v>3.7499999999999999E-2</v>
      </c>
      <c r="AJ54" s="128">
        <f t="shared" si="37"/>
        <v>100312.5</v>
      </c>
      <c r="AK54" s="128" t="str">
        <f t="shared" si="38"/>
        <v>nie</v>
      </c>
      <c r="AL54" s="128">
        <f t="shared" si="39"/>
        <v>500</v>
      </c>
      <c r="AM54" s="128">
        <f t="shared" si="40"/>
        <v>99848.125</v>
      </c>
      <c r="AN54" s="128">
        <f t="shared" si="41"/>
        <v>253.12500000000003</v>
      </c>
      <c r="AO54" s="130">
        <f t="shared" si="42"/>
        <v>3.5999999999999997E-2</v>
      </c>
      <c r="AP54" s="128">
        <f t="shared" si="43"/>
        <v>2835.7425564726082</v>
      </c>
      <c r="AQ54" s="128">
        <f t="shared" si="44"/>
        <v>102430.74255647261</v>
      </c>
      <c r="AS54" s="124">
        <f t="shared" si="119"/>
        <v>11</v>
      </c>
      <c r="AT54" s="130">
        <f t="shared" si="120"/>
        <v>3.7499999999999999E-2</v>
      </c>
      <c r="AU54" s="127">
        <f t="shared" si="121"/>
        <v>1000</v>
      </c>
      <c r="AV54" s="128">
        <f t="shared" si="122"/>
        <v>100000</v>
      </c>
      <c r="AW54" s="128">
        <f t="shared" si="141"/>
        <v>100000</v>
      </c>
      <c r="AX54" s="128">
        <f t="shared" si="123"/>
        <v>100000</v>
      </c>
      <c r="AY54" s="130">
        <f t="shared" si="45"/>
        <v>3.9E-2</v>
      </c>
      <c r="AZ54" s="128">
        <f t="shared" si="46"/>
        <v>100325</v>
      </c>
      <c r="BA54" s="128" t="str">
        <f t="shared" si="47"/>
        <v>nie</v>
      </c>
      <c r="BB54" s="128">
        <f t="shared" si="48"/>
        <v>700</v>
      </c>
      <c r="BC54" s="128">
        <f t="shared" si="49"/>
        <v>99696.25</v>
      </c>
      <c r="BD54" s="128">
        <f t="shared" si="50"/>
        <v>263.25</v>
      </c>
      <c r="BE54" s="130">
        <f t="shared" si="51"/>
        <v>3.5999999999999997E-2</v>
      </c>
      <c r="BF54" s="128">
        <f t="shared" si="52"/>
        <v>2948.4806757029432</v>
      </c>
      <c r="BG54" s="128">
        <f t="shared" si="53"/>
        <v>102381.48067570294</v>
      </c>
      <c r="BI54" s="124">
        <f t="shared" si="124"/>
        <v>11</v>
      </c>
      <c r="BJ54" s="130">
        <f t="shared" si="148"/>
        <v>3.9100000000000003E-2</v>
      </c>
      <c r="BK54" s="127">
        <f t="shared" si="125"/>
        <v>1000</v>
      </c>
      <c r="BL54" s="128">
        <f t="shared" si="126"/>
        <v>100000</v>
      </c>
      <c r="BM54" s="128">
        <f t="shared" si="142"/>
        <v>100000</v>
      </c>
      <c r="BN54" s="128">
        <f t="shared" si="127"/>
        <v>100000</v>
      </c>
      <c r="BO54" s="130">
        <f t="shared" si="54"/>
        <v>4.3999999999999997E-2</v>
      </c>
      <c r="BP54" s="128">
        <f t="shared" si="55"/>
        <v>104033.33333333333</v>
      </c>
      <c r="BQ54" s="128" t="str">
        <f t="shared" si="56"/>
        <v>nie</v>
      </c>
      <c r="BR54" s="128">
        <f t="shared" si="57"/>
        <v>1000</v>
      </c>
      <c r="BS54" s="128">
        <f t="shared" si="58"/>
        <v>102457</v>
      </c>
      <c r="BT54" s="128">
        <f t="shared" si="128"/>
        <v>0</v>
      </c>
      <c r="BU54" s="130">
        <f t="shared" si="59"/>
        <v>3.5999999999999997E-2</v>
      </c>
      <c r="BV54" s="128">
        <f t="shared" si="60"/>
        <v>0</v>
      </c>
      <c r="BW54" s="128">
        <f t="shared" si="61"/>
        <v>102457</v>
      </c>
      <c r="BY54" s="129"/>
      <c r="BZ54" s="127">
        <f t="shared" si="129"/>
        <v>1000</v>
      </c>
      <c r="CA54" s="128">
        <f t="shared" si="130"/>
        <v>100000</v>
      </c>
      <c r="CB54" s="128">
        <f t="shared" si="143"/>
        <v>100000</v>
      </c>
      <c r="CC54" s="128">
        <f t="shared" si="131"/>
        <v>100000</v>
      </c>
      <c r="CD54" s="130">
        <f t="shared" si="62"/>
        <v>4.7500000000000001E-2</v>
      </c>
      <c r="CE54" s="128">
        <f t="shared" si="63"/>
        <v>104354.16666666666</v>
      </c>
      <c r="CF54" s="128" t="str">
        <f t="shared" si="64"/>
        <v>nie</v>
      </c>
      <c r="CG54" s="128">
        <f t="shared" si="65"/>
        <v>2000</v>
      </c>
      <c r="CH54" s="128">
        <f t="shared" si="66"/>
        <v>101906.87499999999</v>
      </c>
      <c r="CI54" s="128">
        <f t="shared" si="67"/>
        <v>0</v>
      </c>
      <c r="CJ54" s="130">
        <f t="shared" si="68"/>
        <v>3.5999999999999997E-2</v>
      </c>
      <c r="CK54" s="128">
        <f t="shared" si="69"/>
        <v>0</v>
      </c>
      <c r="CL54" s="128">
        <f t="shared" si="70"/>
        <v>101906.87499999999</v>
      </c>
      <c r="CN54" s="127">
        <f t="shared" si="132"/>
        <v>1000</v>
      </c>
      <c r="CO54" s="128">
        <f t="shared" si="133"/>
        <v>100000</v>
      </c>
      <c r="CP54" s="128">
        <f t="shared" si="134"/>
        <v>100000</v>
      </c>
      <c r="CQ54" s="128">
        <f t="shared" si="135"/>
        <v>100000</v>
      </c>
      <c r="CR54" s="130">
        <f t="shared" si="71"/>
        <v>5.3499999999999999E-2</v>
      </c>
      <c r="CS54" s="128">
        <f t="shared" si="72"/>
        <v>104904.16666666667</v>
      </c>
      <c r="CT54" s="128" t="str">
        <f t="shared" si="73"/>
        <v>nie</v>
      </c>
      <c r="CU54" s="128">
        <f t="shared" si="74"/>
        <v>3000</v>
      </c>
      <c r="CV54" s="128">
        <f t="shared" si="75"/>
        <v>101542.375</v>
      </c>
      <c r="CW54" s="128">
        <f t="shared" si="76"/>
        <v>0</v>
      </c>
      <c r="CX54" s="130">
        <f t="shared" si="77"/>
        <v>3.5999999999999997E-2</v>
      </c>
      <c r="CY54" s="128">
        <f t="shared" si="78"/>
        <v>0</v>
      </c>
      <c r="CZ54" s="128">
        <f t="shared" si="79"/>
        <v>101542.375</v>
      </c>
      <c r="DA54" s="20"/>
      <c r="DB54" s="127">
        <f t="shared" si="144"/>
        <v>1000</v>
      </c>
      <c r="DC54" s="128">
        <f t="shared" si="145"/>
        <v>100000</v>
      </c>
      <c r="DD54" s="128">
        <f t="shared" si="136"/>
        <v>100000</v>
      </c>
      <c r="DE54" s="128">
        <f t="shared" si="137"/>
        <v>100000</v>
      </c>
      <c r="DF54" s="130">
        <f t="shared" si="80"/>
        <v>0.05</v>
      </c>
      <c r="DG54" s="128">
        <f t="shared" si="81"/>
        <v>104583.33333333334</v>
      </c>
      <c r="DH54" s="128" t="str">
        <f t="shared" si="82"/>
        <v>nie</v>
      </c>
      <c r="DI54" s="128">
        <f t="shared" si="83"/>
        <v>2000</v>
      </c>
      <c r="DJ54" s="128">
        <f t="shared" si="84"/>
        <v>102092.50000000001</v>
      </c>
      <c r="DK54" s="128">
        <f t="shared" si="85"/>
        <v>0</v>
      </c>
      <c r="DL54" s="130">
        <f t="shared" si="86"/>
        <v>3.5999999999999997E-2</v>
      </c>
      <c r="DM54" s="128">
        <f t="shared" si="87"/>
        <v>0</v>
      </c>
      <c r="DN54" s="128">
        <f t="shared" si="88"/>
        <v>102092.50000000001</v>
      </c>
      <c r="DP54" s="127">
        <f t="shared" si="146"/>
        <v>1000</v>
      </c>
      <c r="DQ54" s="128">
        <f t="shared" si="147"/>
        <v>100000</v>
      </c>
      <c r="DR54" s="128">
        <f t="shared" si="138"/>
        <v>100000</v>
      </c>
      <c r="DS54" s="128">
        <f t="shared" si="139"/>
        <v>100000</v>
      </c>
      <c r="DT54" s="130">
        <f t="shared" si="89"/>
        <v>5.6000000000000001E-2</v>
      </c>
      <c r="DU54" s="128">
        <f t="shared" si="90"/>
        <v>105133.33333333333</v>
      </c>
      <c r="DV54" s="128" t="str">
        <f t="shared" si="91"/>
        <v>nie</v>
      </c>
      <c r="DW54" s="128">
        <f t="shared" si="92"/>
        <v>3000</v>
      </c>
      <c r="DX54" s="128">
        <f t="shared" si="93"/>
        <v>101728</v>
      </c>
      <c r="DY54" s="128">
        <f t="shared" si="94"/>
        <v>0</v>
      </c>
      <c r="DZ54" s="130">
        <f t="shared" si="95"/>
        <v>3.5999999999999997E-2</v>
      </c>
      <c r="EA54" s="128">
        <f t="shared" si="96"/>
        <v>0</v>
      </c>
      <c r="EB54" s="128">
        <f t="shared" si="97"/>
        <v>101728</v>
      </c>
    </row>
    <row r="55" spans="1:132" ht="14.25" customHeight="1">
      <c r="A55" s="212"/>
      <c r="B55" s="188">
        <f t="shared" si="98"/>
        <v>11</v>
      </c>
      <c r="C55" s="128">
        <f t="shared" si="99"/>
        <v>102430.74255647261</v>
      </c>
      <c r="D55" s="128">
        <f t="shared" si="100"/>
        <v>102381.48067570294</v>
      </c>
      <c r="E55" s="128">
        <f t="shared" si="101"/>
        <v>102457</v>
      </c>
      <c r="F55" s="128">
        <f t="shared" si="102"/>
        <v>101906.87499999999</v>
      </c>
      <c r="G55" s="128">
        <f t="shared" si="103"/>
        <v>101542.375</v>
      </c>
      <c r="H55" s="128">
        <f t="shared" si="104"/>
        <v>102092.50000000001</v>
      </c>
      <c r="I55" s="128">
        <f t="shared" si="105"/>
        <v>101728</v>
      </c>
      <c r="J55" s="128">
        <f t="shared" si="106"/>
        <v>102705.71486152828</v>
      </c>
      <c r="K55" s="128">
        <f t="shared" si="107"/>
        <v>102841.66666666667</v>
      </c>
      <c r="M55" s="36"/>
      <c r="N55" s="32">
        <f t="shared" si="108"/>
        <v>11</v>
      </c>
      <c r="O55" s="25">
        <f t="shared" si="109"/>
        <v>2.4307425564726204E-2</v>
      </c>
      <c r="P55" s="25">
        <f t="shared" si="110"/>
        <v>2.3814806757029405E-2</v>
      </c>
      <c r="Q55" s="25">
        <f t="shared" si="111"/>
        <v>2.4569999999999981E-2</v>
      </c>
      <c r="R55" s="25">
        <f t="shared" si="30"/>
        <v>1.9068749999999746E-2</v>
      </c>
      <c r="S55" s="25">
        <f t="shared" si="31"/>
        <v>1.5423750000000069E-2</v>
      </c>
      <c r="T55" s="25">
        <f t="shared" si="32"/>
        <v>2.0925000000000082E-2</v>
      </c>
      <c r="U55" s="25">
        <f t="shared" si="33"/>
        <v>1.7279999999999962E-2</v>
      </c>
      <c r="V55" s="25">
        <f t="shared" si="34"/>
        <v>2.7057148615282856E-2</v>
      </c>
      <c r="W55" s="25">
        <f t="shared" si="112"/>
        <v>2.8416666666666757E-2</v>
      </c>
      <c r="X55" s="36"/>
      <c r="AA55" s="124">
        <f t="shared" si="113"/>
        <v>12</v>
      </c>
      <c r="AB55" s="128">
        <f t="shared" si="35"/>
        <v>103099.99999999999</v>
      </c>
      <c r="AC55" s="124">
        <f t="shared" si="114"/>
        <v>12</v>
      </c>
      <c r="AD55" s="130">
        <f t="shared" si="115"/>
        <v>3.7499999999999999E-2</v>
      </c>
      <c r="AE55" s="127">
        <f t="shared" si="116"/>
        <v>1000</v>
      </c>
      <c r="AF55" s="128">
        <f t="shared" si="117"/>
        <v>100000</v>
      </c>
      <c r="AG55" s="128">
        <f t="shared" si="140"/>
        <v>100000</v>
      </c>
      <c r="AH55" s="128">
        <f t="shared" si="118"/>
        <v>100000</v>
      </c>
      <c r="AI55" s="130">
        <f t="shared" si="36"/>
        <v>3.7499999999999999E-2</v>
      </c>
      <c r="AJ55" s="128">
        <f t="shared" si="37"/>
        <v>100312.5</v>
      </c>
      <c r="AK55" s="128" t="str">
        <f t="shared" si="38"/>
        <v>tak</v>
      </c>
      <c r="AL55" s="128">
        <f t="shared" si="39"/>
        <v>0</v>
      </c>
      <c r="AM55" s="128">
        <f t="shared" si="40"/>
        <v>100253.125</v>
      </c>
      <c r="AN55" s="128">
        <f t="shared" si="41"/>
        <v>353.52499999999429</v>
      </c>
      <c r="AO55" s="130">
        <f t="shared" si="42"/>
        <v>3.5999999999999997E-2</v>
      </c>
      <c r="AP55" s="128">
        <f t="shared" si="43"/>
        <v>3196.1584108848306</v>
      </c>
      <c r="AQ55" s="128">
        <f t="shared" si="44"/>
        <v>103095.75841088484</v>
      </c>
      <c r="AS55" s="124">
        <f t="shared" si="119"/>
        <v>12</v>
      </c>
      <c r="AT55" s="130">
        <f t="shared" si="120"/>
        <v>3.7499999999999999E-2</v>
      </c>
      <c r="AU55" s="127">
        <f t="shared" si="121"/>
        <v>1000</v>
      </c>
      <c r="AV55" s="128">
        <f t="shared" si="122"/>
        <v>100000</v>
      </c>
      <c r="AW55" s="128">
        <f t="shared" si="141"/>
        <v>100000</v>
      </c>
      <c r="AX55" s="128">
        <f t="shared" si="123"/>
        <v>100000</v>
      </c>
      <c r="AY55" s="130">
        <f t="shared" si="45"/>
        <v>3.9E-2</v>
      </c>
      <c r="AZ55" s="128">
        <f t="shared" si="46"/>
        <v>100325</v>
      </c>
      <c r="BA55" s="128" t="str">
        <f t="shared" si="47"/>
        <v>nie</v>
      </c>
      <c r="BB55" s="128">
        <f t="shared" si="48"/>
        <v>700</v>
      </c>
      <c r="BC55" s="128">
        <f t="shared" si="49"/>
        <v>99696.25</v>
      </c>
      <c r="BD55" s="128">
        <f t="shared" si="50"/>
        <v>263.25</v>
      </c>
      <c r="BE55" s="130">
        <f t="shared" si="51"/>
        <v>3.5999999999999997E-2</v>
      </c>
      <c r="BF55" s="128">
        <f t="shared" si="52"/>
        <v>3218.8954837449014</v>
      </c>
      <c r="BG55" s="128">
        <f t="shared" si="53"/>
        <v>102651.8954837449</v>
      </c>
      <c r="BI55" s="124">
        <f t="shared" si="124"/>
        <v>12</v>
      </c>
      <c r="BJ55" s="130">
        <f t="shared" si="148"/>
        <v>3.9100000000000003E-2</v>
      </c>
      <c r="BK55" s="127">
        <f t="shared" si="125"/>
        <v>1000</v>
      </c>
      <c r="BL55" s="128">
        <f t="shared" si="126"/>
        <v>100000</v>
      </c>
      <c r="BM55" s="128">
        <f t="shared" si="142"/>
        <v>100000</v>
      </c>
      <c r="BN55" s="128">
        <f t="shared" si="127"/>
        <v>100000</v>
      </c>
      <c r="BO55" s="130">
        <f t="shared" si="54"/>
        <v>4.3999999999999997E-2</v>
      </c>
      <c r="BP55" s="128">
        <f t="shared" si="55"/>
        <v>104400</v>
      </c>
      <c r="BQ55" s="128" t="str">
        <f t="shared" si="56"/>
        <v>nie</v>
      </c>
      <c r="BR55" s="128">
        <f t="shared" si="57"/>
        <v>1000</v>
      </c>
      <c r="BS55" s="128">
        <f t="shared" si="58"/>
        <v>102754</v>
      </c>
      <c r="BT55" s="128">
        <f>IF(AND(BQ55="tak",BL56&lt;&gt;""),
 BS55-BL56,
0)</f>
        <v>0</v>
      </c>
      <c r="BU55" s="130">
        <f t="shared" si="59"/>
        <v>3.5999999999999997E-2</v>
      </c>
      <c r="BV55" s="128">
        <f t="shared" si="60"/>
        <v>0</v>
      </c>
      <c r="BW55" s="128">
        <f t="shared" si="61"/>
        <v>102754</v>
      </c>
      <c r="BY55" s="129"/>
      <c r="BZ55" s="127">
        <f t="shared" si="129"/>
        <v>1000</v>
      </c>
      <c r="CA55" s="128">
        <f t="shared" si="130"/>
        <v>100000</v>
      </c>
      <c r="CB55" s="128">
        <f t="shared" si="143"/>
        <v>100000</v>
      </c>
      <c r="CC55" s="128">
        <f t="shared" si="131"/>
        <v>100000</v>
      </c>
      <c r="CD55" s="130">
        <f t="shared" si="62"/>
        <v>4.7500000000000001E-2</v>
      </c>
      <c r="CE55" s="128">
        <f t="shared" si="63"/>
        <v>104750.00000000001</v>
      </c>
      <c r="CF55" s="128" t="str">
        <f t="shared" si="64"/>
        <v>nie</v>
      </c>
      <c r="CG55" s="128">
        <f t="shared" si="65"/>
        <v>2000</v>
      </c>
      <c r="CH55" s="128">
        <f t="shared" si="66"/>
        <v>102227.50000000001</v>
      </c>
      <c r="CI55" s="128">
        <f t="shared" si="67"/>
        <v>3847.5000000000118</v>
      </c>
      <c r="CJ55" s="130">
        <f t="shared" si="68"/>
        <v>3.5999999999999997E-2</v>
      </c>
      <c r="CK55" s="128">
        <f t="shared" si="69"/>
        <v>3847.5000000000118</v>
      </c>
      <c r="CL55" s="128">
        <f t="shared" si="70"/>
        <v>102227.50000000001</v>
      </c>
      <c r="CN55" s="127">
        <f t="shared" si="132"/>
        <v>1000</v>
      </c>
      <c r="CO55" s="128">
        <f t="shared" si="133"/>
        <v>100000</v>
      </c>
      <c r="CP55" s="128">
        <f t="shared" si="134"/>
        <v>100000</v>
      </c>
      <c r="CQ55" s="128">
        <f t="shared" si="135"/>
        <v>100000</v>
      </c>
      <c r="CR55" s="130">
        <f t="shared" si="71"/>
        <v>5.3499999999999999E-2</v>
      </c>
      <c r="CS55" s="128">
        <f t="shared" si="72"/>
        <v>105350.00000000001</v>
      </c>
      <c r="CT55" s="128" t="str">
        <f t="shared" si="73"/>
        <v>nie</v>
      </c>
      <c r="CU55" s="128">
        <f t="shared" si="74"/>
        <v>3000</v>
      </c>
      <c r="CV55" s="128">
        <f t="shared" si="75"/>
        <v>101903.50000000001</v>
      </c>
      <c r="CW55" s="128">
        <f>IF(AND(CT55="tak",CO56&lt;&gt;""),
 CV55-CO56,
0)</f>
        <v>0</v>
      </c>
      <c r="CX55" s="130">
        <f t="shared" si="77"/>
        <v>3.5999999999999997E-2</v>
      </c>
      <c r="CY55" s="128">
        <f t="shared" si="78"/>
        <v>0</v>
      </c>
      <c r="CZ55" s="128">
        <f t="shared" si="79"/>
        <v>101903.50000000001</v>
      </c>
      <c r="DA55" s="20"/>
      <c r="DB55" s="127">
        <f t="shared" si="144"/>
        <v>1000</v>
      </c>
      <c r="DC55" s="128">
        <f t="shared" si="145"/>
        <v>100000</v>
      </c>
      <c r="DD55" s="128">
        <f t="shared" si="136"/>
        <v>100000</v>
      </c>
      <c r="DE55" s="128">
        <f t="shared" si="137"/>
        <v>100000</v>
      </c>
      <c r="DF55" s="130">
        <f t="shared" si="80"/>
        <v>0.05</v>
      </c>
      <c r="DG55" s="128">
        <f t="shared" si="81"/>
        <v>105000</v>
      </c>
      <c r="DH55" s="128" t="str">
        <f t="shared" si="82"/>
        <v>nie</v>
      </c>
      <c r="DI55" s="128">
        <f t="shared" si="83"/>
        <v>2000</v>
      </c>
      <c r="DJ55" s="128">
        <f t="shared" si="84"/>
        <v>102430</v>
      </c>
      <c r="DK55" s="128">
        <f>IF(AND(DH55="tak",DC56&lt;&gt;""),
 DJ55-DC56,
0)</f>
        <v>0</v>
      </c>
      <c r="DL55" s="130">
        <f t="shared" si="86"/>
        <v>3.5999999999999997E-2</v>
      </c>
      <c r="DM55" s="128">
        <f t="shared" si="87"/>
        <v>0</v>
      </c>
      <c r="DN55" s="128">
        <f t="shared" si="88"/>
        <v>102430</v>
      </c>
      <c r="DP55" s="127">
        <f t="shared" si="146"/>
        <v>1000</v>
      </c>
      <c r="DQ55" s="128">
        <f t="shared" si="147"/>
        <v>100000</v>
      </c>
      <c r="DR55" s="128">
        <f t="shared" si="138"/>
        <v>100000</v>
      </c>
      <c r="DS55" s="128">
        <f t="shared" si="139"/>
        <v>100000</v>
      </c>
      <c r="DT55" s="130">
        <f t="shared" si="89"/>
        <v>5.6000000000000001E-2</v>
      </c>
      <c r="DU55" s="128">
        <f t="shared" si="90"/>
        <v>105600</v>
      </c>
      <c r="DV55" s="128" t="str">
        <f t="shared" si="91"/>
        <v>nie</v>
      </c>
      <c r="DW55" s="128">
        <f t="shared" si="92"/>
        <v>3000</v>
      </c>
      <c r="DX55" s="128">
        <f t="shared" si="93"/>
        <v>102106</v>
      </c>
      <c r="DY55" s="128">
        <f>IF(AND(DV55="tak",DQ56&lt;&gt;""),
 DX55-DQ56,
0)</f>
        <v>0</v>
      </c>
      <c r="DZ55" s="130">
        <f t="shared" si="95"/>
        <v>3.5999999999999997E-2</v>
      </c>
      <c r="EA55" s="128">
        <f t="shared" si="96"/>
        <v>0</v>
      </c>
      <c r="EB55" s="128">
        <f t="shared" si="97"/>
        <v>102106</v>
      </c>
    </row>
    <row r="56" spans="1:132">
      <c r="A56" s="212"/>
      <c r="B56" s="188">
        <f t="shared" si="98"/>
        <v>12</v>
      </c>
      <c r="C56" s="128">
        <f t="shared" si="99"/>
        <v>103095.75841088484</v>
      </c>
      <c r="D56" s="128">
        <f t="shared" si="100"/>
        <v>102651.8954837449</v>
      </c>
      <c r="E56" s="128">
        <f t="shared" si="101"/>
        <v>102754</v>
      </c>
      <c r="F56" s="128">
        <f t="shared" si="102"/>
        <v>102227.50000000001</v>
      </c>
      <c r="G56" s="128">
        <f t="shared" si="103"/>
        <v>101903.50000000001</v>
      </c>
      <c r="H56" s="128">
        <f t="shared" si="104"/>
        <v>102430</v>
      </c>
      <c r="I56" s="128">
        <f t="shared" si="105"/>
        <v>102106</v>
      </c>
      <c r="J56" s="128">
        <f t="shared" si="106"/>
        <v>102955.28974864178</v>
      </c>
      <c r="K56" s="128">
        <f t="shared" si="107"/>
        <v>103099.99999999999</v>
      </c>
      <c r="M56" s="36"/>
      <c r="N56" s="32">
        <f t="shared" si="108"/>
        <v>12</v>
      </c>
      <c r="O56" s="25">
        <f t="shared" si="109"/>
        <v>3.0957584108848302E-2</v>
      </c>
      <c r="P56" s="25">
        <f t="shared" si="110"/>
        <v>2.6518954837448927E-2</v>
      </c>
      <c r="Q56" s="25">
        <f t="shared" si="111"/>
        <v>2.7539999999999898E-2</v>
      </c>
      <c r="R56" s="25">
        <f t="shared" si="30"/>
        <v>2.2275000000000045E-2</v>
      </c>
      <c r="S56" s="25">
        <f t="shared" si="31"/>
        <v>1.9035000000000135E-2</v>
      </c>
      <c r="T56" s="25">
        <f t="shared" si="32"/>
        <v>2.4299999999999988E-2</v>
      </c>
      <c r="U56" s="25">
        <f t="shared" si="33"/>
        <v>2.1060000000000079E-2</v>
      </c>
      <c r="V56" s="25">
        <f t="shared" si="34"/>
        <v>2.9552897486417873E-2</v>
      </c>
      <c r="W56" s="25">
        <f t="shared" si="112"/>
        <v>3.0999999999999917E-2</v>
      </c>
      <c r="X56" s="36"/>
      <c r="AA56" s="131">
        <f>AA55+1</f>
        <v>13</v>
      </c>
      <c r="AB56" s="132">
        <f t="shared" si="35"/>
        <v>103366.34166666666</v>
      </c>
      <c r="AC56" s="131">
        <f>AC55+1</f>
        <v>13</v>
      </c>
      <c r="AD56" s="133">
        <f t="shared" si="115"/>
        <v>3.7499999999999999E-2</v>
      </c>
      <c r="AE56" s="127">
        <f t="shared" si="116"/>
        <v>1034</v>
      </c>
      <c r="AF56" s="132">
        <f t="shared" si="117"/>
        <v>103299.70000000001</v>
      </c>
      <c r="AG56" s="132">
        <f>IF(AK55="tak",
AE56*100,
AG55)</f>
        <v>103400</v>
      </c>
      <c r="AH56" s="132">
        <f t="shared" si="118"/>
        <v>103400</v>
      </c>
      <c r="AI56" s="133">
        <f t="shared" si="36"/>
        <v>0.04</v>
      </c>
      <c r="AJ56" s="132">
        <f t="shared" si="37"/>
        <v>103744.66666666667</v>
      </c>
      <c r="AK56" s="132" t="str">
        <f t="shared" si="38"/>
        <v>nie</v>
      </c>
      <c r="AL56" s="128">
        <f t="shared" si="39"/>
        <v>344.66666666667152</v>
      </c>
      <c r="AM56" s="132">
        <f>AJ56-AL56
-(AJ56-AG56-AL56)*podatek_Belki</f>
        <v>103400</v>
      </c>
      <c r="AN56" s="132">
        <f t="shared" si="41"/>
        <v>279.18000000000393</v>
      </c>
      <c r="AO56" s="133">
        <f t="shared" si="42"/>
        <v>3.5999999999999997E-2</v>
      </c>
      <c r="AP56" s="128">
        <f t="shared" si="43"/>
        <v>375.57207582328465</v>
      </c>
      <c r="AQ56" s="132">
        <f>AP55*(1+AO56/12*(1-podatek_Belki))+AM56</f>
        <v>106603.92507582328</v>
      </c>
      <c r="AS56" s="131">
        <f>AS55+1</f>
        <v>13</v>
      </c>
      <c r="AT56" s="133">
        <f t="shared" si="120"/>
        <v>3.7499999999999999E-2</v>
      </c>
      <c r="AU56" s="127">
        <f t="shared" si="121"/>
        <v>1000</v>
      </c>
      <c r="AV56" s="132">
        <f t="shared" si="122"/>
        <v>100000</v>
      </c>
      <c r="AW56" s="132">
        <f>IF(BA55="tak",
AU56*100,
AW55)</f>
        <v>100000</v>
      </c>
      <c r="AX56" s="132">
        <f t="shared" si="123"/>
        <v>100000</v>
      </c>
      <c r="AY56" s="133">
        <f t="shared" si="45"/>
        <v>3.9E-2</v>
      </c>
      <c r="AZ56" s="132">
        <f t="shared" si="46"/>
        <v>100325</v>
      </c>
      <c r="BA56" s="132" t="str">
        <f t="shared" si="47"/>
        <v>nie</v>
      </c>
      <c r="BB56" s="128">
        <f t="shared" si="48"/>
        <v>700</v>
      </c>
      <c r="BC56" s="132">
        <f>AZ56-BB56
-(AZ56-AW56-BB56)*podatek_Belki</f>
        <v>99696.25</v>
      </c>
      <c r="BD56" s="132">
        <f t="shared" si="50"/>
        <v>263.25</v>
      </c>
      <c r="BE56" s="133">
        <f t="shared" si="51"/>
        <v>3.5999999999999997E-2</v>
      </c>
      <c r="BF56" s="128">
        <f t="shared" si="52"/>
        <v>3489.9673997704012</v>
      </c>
      <c r="BG56" s="132">
        <f>BF55*(1+BE56/12*(1-podatek_Belki))+BC56</f>
        <v>102922.96739977039</v>
      </c>
      <c r="BI56" s="131">
        <f>BI55+1</f>
        <v>13</v>
      </c>
      <c r="BJ56" s="133">
        <f t="shared" si="148"/>
        <v>3.9100000000000003E-2</v>
      </c>
      <c r="BK56" s="127">
        <f>IF(BQ55="tak",
ROUNDDOWN(BS55/zamiana_TOS,0),
BK55)</f>
        <v>1000</v>
      </c>
      <c r="BL56" s="132">
        <f>IF(BQ55="tak",
BK56*zamiana_TOS,
BL55)</f>
        <v>100000</v>
      </c>
      <c r="BM56" s="132">
        <f>IF(BQ55="tak",
BK56*100,
BM55)</f>
        <v>100000</v>
      </c>
      <c r="BN56" s="128">
        <f t="shared" si="127"/>
        <v>104400</v>
      </c>
      <c r="BO56" s="130">
        <f t="shared" si="54"/>
        <v>4.3999999999999997E-2</v>
      </c>
      <c r="BP56" s="128">
        <f t="shared" si="55"/>
        <v>104782.8</v>
      </c>
      <c r="BQ56" s="132" t="str">
        <f t="shared" si="56"/>
        <v>nie</v>
      </c>
      <c r="BR56" s="128">
        <f t="shared" si="57"/>
        <v>1000</v>
      </c>
      <c r="BS56" s="132">
        <f>BP56-BR56
-(BP56-BM56-BR56)*podatek_Belki</f>
        <v>103064.068</v>
      </c>
      <c r="BT56" s="128">
        <f t="shared" si="128"/>
        <v>0</v>
      </c>
      <c r="BU56" s="133">
        <f t="shared" si="59"/>
        <v>3.5999999999999997E-2</v>
      </c>
      <c r="BV56" s="132">
        <f>BV55*(1+BU56/12*(1-podatek_Belki))+BT56</f>
        <v>0</v>
      </c>
      <c r="BW56" s="128">
        <f>BV55*(1+BU56/12*(1-podatek_Belki))+BS56</f>
        <v>103064.068</v>
      </c>
      <c r="BY56" s="133">
        <f t="shared" ref="BY56:BY87" si="149">MAX(INDEX(scenariusz_I_inflacja,MATCH(ROUNDUP(AA56/12,0)-1,scenariusz_I_rok,0)),0)</f>
        <v>3.1E-2</v>
      </c>
      <c r="BZ56" s="127">
        <f t="shared" si="129"/>
        <v>1000</v>
      </c>
      <c r="CA56" s="132">
        <f t="shared" si="130"/>
        <v>100000</v>
      </c>
      <c r="CB56" s="132">
        <f>IF(CF55="tak",
BZ56*100,
CB55)</f>
        <v>100000</v>
      </c>
      <c r="CC56" s="132">
        <f t="shared" si="131"/>
        <v>100000</v>
      </c>
      <c r="CD56" s="133">
        <f t="shared" si="62"/>
        <v>4.5999999999999999E-2</v>
      </c>
      <c r="CE56" s="132">
        <f t="shared" si="63"/>
        <v>100383.33333333333</v>
      </c>
      <c r="CF56" s="132" t="str">
        <f t="shared" si="64"/>
        <v>nie</v>
      </c>
      <c r="CG56" s="128">
        <f t="shared" si="65"/>
        <v>2000</v>
      </c>
      <c r="CH56" s="132">
        <f>CE56-CG56
-(CE56-CB56-CG56)*podatek_Belki</f>
        <v>98690.5</v>
      </c>
      <c r="CI56" s="128">
        <f t="shared" si="67"/>
        <v>0</v>
      </c>
      <c r="CJ56" s="133">
        <f t="shared" si="68"/>
        <v>3.5999999999999997E-2</v>
      </c>
      <c r="CK56" s="128">
        <f t="shared" si="69"/>
        <v>3856.8494250000117</v>
      </c>
      <c r="CL56" s="128">
        <f t="shared" si="70"/>
        <v>102547.34942500001</v>
      </c>
      <c r="CN56" s="142">
        <f>IF(CT55="tak",
ROUNDDOWN(CV55/zamiana_EDO,0),
CN55)</f>
        <v>1000</v>
      </c>
      <c r="CO56" s="132">
        <f>IF(CT55="tak",
CN56*zamiana_EDO,
CO55)</f>
        <v>100000</v>
      </c>
      <c r="CP56" s="132">
        <f>IF(CT55="tak",
CN56*100,
CP55)</f>
        <v>100000</v>
      </c>
      <c r="CQ56" s="132">
        <f t="shared" si="135"/>
        <v>105350.00000000001</v>
      </c>
      <c r="CR56" s="133">
        <f t="shared" si="71"/>
        <v>5.1000000000000004E-2</v>
      </c>
      <c r="CS56" s="132">
        <f t="shared" si="72"/>
        <v>105797.73750000002</v>
      </c>
      <c r="CT56" s="132" t="str">
        <f t="shared" si="73"/>
        <v>nie</v>
      </c>
      <c r="CU56" s="132">
        <f t="shared" si="74"/>
        <v>3000</v>
      </c>
      <c r="CV56" s="132">
        <f t="shared" si="75"/>
        <v>102266.16737500002</v>
      </c>
      <c r="CW56" s="132">
        <f t="shared" si="76"/>
        <v>0</v>
      </c>
      <c r="CX56" s="133">
        <f t="shared" si="77"/>
        <v>3.5999999999999997E-2</v>
      </c>
      <c r="CY56" s="132">
        <f>CY55*(1+CX56/12*(1-podatek_Belki))+CW56</f>
        <v>0</v>
      </c>
      <c r="CZ56" s="132">
        <f>CY55*(1+CX56/12*(1-podatek_Belki))+CV56</f>
        <v>102266.16737500002</v>
      </c>
      <c r="DB56" s="142">
        <f>IF(DH55="tak",
ROUNDDOWN(DJ55/100,0),
DB55)</f>
        <v>1000</v>
      </c>
      <c r="DC56" s="132">
        <f>IF(DH55="tak",
DB56*100,
DC55)</f>
        <v>100000</v>
      </c>
      <c r="DD56" s="132">
        <f>IF(DH55="tak",
DB56*100,
DD55)</f>
        <v>100000</v>
      </c>
      <c r="DE56" s="132">
        <f t="shared" si="137"/>
        <v>105000</v>
      </c>
      <c r="DF56" s="133">
        <f t="shared" si="80"/>
        <v>5.1000000000000004E-2</v>
      </c>
      <c r="DG56" s="132">
        <f t="shared" si="81"/>
        <v>105446.25000000001</v>
      </c>
      <c r="DH56" s="132" t="str">
        <f t="shared" si="82"/>
        <v>nie</v>
      </c>
      <c r="DI56" s="132">
        <f t="shared" si="83"/>
        <v>2000</v>
      </c>
      <c r="DJ56" s="132">
        <f t="shared" si="84"/>
        <v>102791.46250000001</v>
      </c>
      <c r="DK56" s="132">
        <f t="shared" si="85"/>
        <v>0</v>
      </c>
      <c r="DL56" s="133">
        <f t="shared" si="86"/>
        <v>3.5999999999999997E-2</v>
      </c>
      <c r="DM56" s="132">
        <f>DM55*(1+DL56/12*(1-podatek_Belki))+DK56</f>
        <v>0</v>
      </c>
      <c r="DN56" s="132">
        <f>DM55*(1+DL56/12*(1-podatek_Belki))+DJ56</f>
        <v>102791.46250000001</v>
      </c>
      <c r="DP56" s="142">
        <f>IF(DV55="tak",
ROUNDDOWN(DX55/100,0),
DP55)</f>
        <v>1000</v>
      </c>
      <c r="DQ56" s="132">
        <f>IF(DV55="tak",
DP56*100,
DQ55)</f>
        <v>100000</v>
      </c>
      <c r="DR56" s="132">
        <f>IF(DV55="tak",
DP56*100,
DR55)</f>
        <v>100000</v>
      </c>
      <c r="DS56" s="132">
        <f t="shared" si="139"/>
        <v>105600</v>
      </c>
      <c r="DT56" s="133">
        <f t="shared" si="89"/>
        <v>5.6000000000000001E-2</v>
      </c>
      <c r="DU56" s="132">
        <f t="shared" si="90"/>
        <v>106092.79999999999</v>
      </c>
      <c r="DV56" s="132" t="str">
        <f t="shared" si="91"/>
        <v>nie</v>
      </c>
      <c r="DW56" s="132">
        <f t="shared" si="92"/>
        <v>3000</v>
      </c>
      <c r="DX56" s="132">
        <f t="shared" si="93"/>
        <v>102505.16799999999</v>
      </c>
      <c r="DY56" s="132">
        <f t="shared" si="94"/>
        <v>0</v>
      </c>
      <c r="DZ56" s="133">
        <f t="shared" si="95"/>
        <v>3.5999999999999997E-2</v>
      </c>
      <c r="EA56" s="132">
        <f>EA55*(1+DZ56/12*(1-podatek_Belki))+DY56</f>
        <v>0</v>
      </c>
      <c r="EB56" s="132">
        <f>EA55*(1+DZ56/12*(1-podatek_Belki))+DX56</f>
        <v>102505.16799999999</v>
      </c>
    </row>
    <row r="57" spans="1:132" ht="24">
      <c r="A57" s="212">
        <f>ROUNDUP(B68/12,0)</f>
        <v>2</v>
      </c>
      <c r="B57" s="188">
        <f t="shared" si="98"/>
        <v>13</v>
      </c>
      <c r="C57" s="128">
        <f t="shared" si="99"/>
        <v>106603.92507582328</v>
      </c>
      <c r="D57" s="128">
        <f t="shared" si="100"/>
        <v>102922.96739977039</v>
      </c>
      <c r="E57" s="128">
        <f t="shared" si="101"/>
        <v>103064.068</v>
      </c>
      <c r="F57" s="128">
        <f t="shared" si="102"/>
        <v>102547.34942500001</v>
      </c>
      <c r="G57" s="128">
        <f t="shared" si="103"/>
        <v>102266.16737500002</v>
      </c>
      <c r="H57" s="128">
        <f t="shared" si="104"/>
        <v>102791.46250000001</v>
      </c>
      <c r="I57" s="128">
        <f t="shared" si="105"/>
        <v>102505.16799999999</v>
      </c>
      <c r="J57" s="128">
        <f t="shared" si="106"/>
        <v>103205.47110273097</v>
      </c>
      <c r="K57" s="128">
        <f t="shared" si="107"/>
        <v>103366.34166666666</v>
      </c>
      <c r="M57" s="36"/>
      <c r="N57" s="32">
        <f t="shared" si="108"/>
        <v>13</v>
      </c>
      <c r="O57" s="25">
        <f t="shared" si="109"/>
        <v>6.6039250758232804E-2</v>
      </c>
      <c r="P57" s="25">
        <f t="shared" si="110"/>
        <v>2.9229673997704042E-2</v>
      </c>
      <c r="Q57" s="25">
        <f t="shared" si="111"/>
        <v>3.0640680000000087E-2</v>
      </c>
      <c r="R57" s="25">
        <f t="shared" si="30"/>
        <v>2.5473494250000117E-2</v>
      </c>
      <c r="S57" s="25">
        <f t="shared" si="31"/>
        <v>2.2661673750000277E-2</v>
      </c>
      <c r="T57" s="25">
        <f t="shared" si="32"/>
        <v>2.7914625000000193E-2</v>
      </c>
      <c r="U57" s="25">
        <f t="shared" si="33"/>
        <v>2.5051679999999799E-2</v>
      </c>
      <c r="V57" s="25">
        <f t="shared" si="34"/>
        <v>3.2054711027309724E-2</v>
      </c>
      <c r="W57" s="25">
        <f t="shared" si="112"/>
        <v>3.3663416666666501E-2</v>
      </c>
      <c r="X57" s="36"/>
      <c r="Y57" s="73"/>
      <c r="AA57" s="124">
        <f t="shared" si="113"/>
        <v>14</v>
      </c>
      <c r="AB57" s="128">
        <f t="shared" si="35"/>
        <v>103632.68333333333</v>
      </c>
      <c r="AC57" s="124">
        <f t="shared" si="114"/>
        <v>14</v>
      </c>
      <c r="AD57" s="130">
        <f t="shared" si="115"/>
        <v>3.7499999999999999E-2</v>
      </c>
      <c r="AE57" s="127">
        <f t="shared" si="116"/>
        <v>1034</v>
      </c>
      <c r="AF57" s="128">
        <f t="shared" si="117"/>
        <v>103299.70000000001</v>
      </c>
      <c r="AG57" s="128">
        <f t="shared" si="140"/>
        <v>103400</v>
      </c>
      <c r="AH57" s="128">
        <f t="shared" si="118"/>
        <v>103400</v>
      </c>
      <c r="AI57" s="130">
        <f t="shared" si="36"/>
        <v>3.7499999999999999E-2</v>
      </c>
      <c r="AJ57" s="128">
        <f t="shared" si="37"/>
        <v>103723.125</v>
      </c>
      <c r="AK57" s="128" t="str">
        <f t="shared" si="38"/>
        <v>nie</v>
      </c>
      <c r="AL57" s="128">
        <f t="shared" si="39"/>
        <v>517</v>
      </c>
      <c r="AM57" s="128">
        <f t="shared" ref="AM57:AM120" si="150">AJ57-AL57
-(AJ57-AG57-AL57)*podatek_Belki</f>
        <v>103242.96124999999</v>
      </c>
      <c r="AN57" s="128">
        <f t="shared" si="41"/>
        <v>261.73125000000005</v>
      </c>
      <c r="AO57" s="130">
        <f t="shared" si="42"/>
        <v>3.5999999999999997E-2</v>
      </c>
      <c r="AP57" s="128">
        <f t="shared" si="43"/>
        <v>638.21596596753523</v>
      </c>
      <c r="AQ57" s="128">
        <f>AP56*(1+AO57/12*(1-podatek_Belki))+AM57</f>
        <v>103619.44596596753</v>
      </c>
      <c r="AS57" s="124">
        <f t="shared" si="119"/>
        <v>14</v>
      </c>
      <c r="AT57" s="130">
        <f t="shared" si="120"/>
        <v>3.7499999999999999E-2</v>
      </c>
      <c r="AU57" s="127">
        <f t="shared" si="121"/>
        <v>1000</v>
      </c>
      <c r="AV57" s="128">
        <f t="shared" si="122"/>
        <v>100000</v>
      </c>
      <c r="AW57" s="128">
        <f t="shared" ref="AW57:AW120" si="151">IF(BA56="tak",
AU57*100,
AW56)</f>
        <v>100000</v>
      </c>
      <c r="AX57" s="128">
        <f t="shared" si="123"/>
        <v>100000</v>
      </c>
      <c r="AY57" s="130">
        <f t="shared" si="45"/>
        <v>3.9E-2</v>
      </c>
      <c r="AZ57" s="128">
        <f t="shared" si="46"/>
        <v>100325</v>
      </c>
      <c r="BA57" s="128" t="str">
        <f t="shared" si="47"/>
        <v>nie</v>
      </c>
      <c r="BB57" s="128">
        <f t="shared" si="48"/>
        <v>700</v>
      </c>
      <c r="BC57" s="128">
        <f t="shared" ref="BC57:BC66" si="152">AZ57-BB57
-(AZ57-AW57-BB57)*podatek_Belki</f>
        <v>99696.25</v>
      </c>
      <c r="BD57" s="128">
        <f t="shared" si="50"/>
        <v>263.25</v>
      </c>
      <c r="BE57" s="130">
        <f t="shared" si="51"/>
        <v>3.5999999999999997E-2</v>
      </c>
      <c r="BF57" s="128">
        <f t="shared" si="52"/>
        <v>3761.698020551843</v>
      </c>
      <c r="BG57" s="128">
        <f>BF56*(1+BE57/12*(1-podatek_Belki))+BC57</f>
        <v>103194.69802055185</v>
      </c>
      <c r="BI57" s="124">
        <f t="shared" si="124"/>
        <v>14</v>
      </c>
      <c r="BJ57" s="130">
        <f t="shared" si="148"/>
        <v>3.9100000000000003E-2</v>
      </c>
      <c r="BK57" s="127">
        <f t="shared" si="125"/>
        <v>1000</v>
      </c>
      <c r="BL57" s="128">
        <f t="shared" si="126"/>
        <v>100000</v>
      </c>
      <c r="BM57" s="128">
        <f t="shared" si="142"/>
        <v>100000</v>
      </c>
      <c r="BN57" s="128">
        <f t="shared" si="127"/>
        <v>104400</v>
      </c>
      <c r="BO57" s="130">
        <f t="shared" si="54"/>
        <v>4.3999999999999997E-2</v>
      </c>
      <c r="BP57" s="128">
        <f t="shared" si="55"/>
        <v>105165.6</v>
      </c>
      <c r="BQ57" s="128" t="str">
        <f t="shared" si="56"/>
        <v>nie</v>
      </c>
      <c r="BR57" s="128">
        <f t="shared" si="57"/>
        <v>1000</v>
      </c>
      <c r="BS57" s="128">
        <f t="shared" ref="BS57:BS120" si="153">BP57-BR57
-(BP57-BM57-BR57)*podatek_Belki</f>
        <v>103374.136</v>
      </c>
      <c r="BT57" s="128">
        <f t="shared" si="128"/>
        <v>0</v>
      </c>
      <c r="BU57" s="130">
        <f t="shared" si="59"/>
        <v>3.5999999999999997E-2</v>
      </c>
      <c r="BV57" s="128">
        <f t="shared" si="60"/>
        <v>0</v>
      </c>
      <c r="BW57" s="128">
        <f t="shared" si="61"/>
        <v>103374.136</v>
      </c>
      <c r="BY57" s="130">
        <f t="shared" si="149"/>
        <v>3.1E-2</v>
      </c>
      <c r="BZ57" s="127">
        <f t="shared" si="129"/>
        <v>1000</v>
      </c>
      <c r="CA57" s="128">
        <f t="shared" si="130"/>
        <v>100000</v>
      </c>
      <c r="CB57" s="128">
        <f t="shared" ref="CB57:CB120" si="154">IF(CF56="tak",
BZ57*100,
CB56)</f>
        <v>100000</v>
      </c>
      <c r="CC57" s="128">
        <f t="shared" si="131"/>
        <v>100000</v>
      </c>
      <c r="CD57" s="130">
        <f t="shared" si="62"/>
        <v>4.5999999999999999E-2</v>
      </c>
      <c r="CE57" s="128">
        <f t="shared" si="63"/>
        <v>100766.66666666667</v>
      </c>
      <c r="CF57" s="128" t="str">
        <f t="shared" si="64"/>
        <v>nie</v>
      </c>
      <c r="CG57" s="128">
        <f t="shared" si="65"/>
        <v>2000</v>
      </c>
      <c r="CH57" s="128">
        <f t="shared" ref="CH57:CH66" si="155">CE57-CG57
-(CE57-CB57-CG57)*podatek_Belki</f>
        <v>99001</v>
      </c>
      <c r="CI57" s="128">
        <f t="shared" si="67"/>
        <v>0</v>
      </c>
      <c r="CJ57" s="130">
        <f t="shared" si="68"/>
        <v>3.5999999999999997E-2</v>
      </c>
      <c r="CK57" s="128">
        <f t="shared" si="69"/>
        <v>3866.2215691027614</v>
      </c>
      <c r="CL57" s="128">
        <f t="shared" si="70"/>
        <v>102867.22156910277</v>
      </c>
      <c r="CN57" s="127">
        <f t="shared" si="132"/>
        <v>1000</v>
      </c>
      <c r="CO57" s="128">
        <f t="shared" si="133"/>
        <v>100000</v>
      </c>
      <c r="CP57" s="128">
        <f t="shared" si="134"/>
        <v>100000</v>
      </c>
      <c r="CQ57" s="128">
        <f t="shared" si="135"/>
        <v>105350.00000000001</v>
      </c>
      <c r="CR57" s="130">
        <f t="shared" si="71"/>
        <v>5.1000000000000004E-2</v>
      </c>
      <c r="CS57" s="128">
        <f t="shared" si="72"/>
        <v>106245.47500000001</v>
      </c>
      <c r="CT57" s="128" t="str">
        <f t="shared" si="73"/>
        <v>nie</v>
      </c>
      <c r="CU57" s="128">
        <f t="shared" si="74"/>
        <v>3000</v>
      </c>
      <c r="CV57" s="128">
        <f t="shared" si="75"/>
        <v>102628.83475000001</v>
      </c>
      <c r="CW57" s="128">
        <f t="shared" si="76"/>
        <v>0</v>
      </c>
      <c r="CX57" s="130">
        <f t="shared" si="77"/>
        <v>3.5999999999999997E-2</v>
      </c>
      <c r="CY57" s="128">
        <f t="shared" si="78"/>
        <v>0</v>
      </c>
      <c r="CZ57" s="128">
        <f t="shared" si="79"/>
        <v>102628.83475000001</v>
      </c>
      <c r="DA57" s="20"/>
      <c r="DB57" s="127">
        <f t="shared" si="144"/>
        <v>1000</v>
      </c>
      <c r="DC57" s="128">
        <f t="shared" si="145"/>
        <v>100000</v>
      </c>
      <c r="DD57" s="128">
        <f t="shared" si="136"/>
        <v>100000</v>
      </c>
      <c r="DE57" s="128">
        <f t="shared" si="137"/>
        <v>105000</v>
      </c>
      <c r="DF57" s="130">
        <f t="shared" si="80"/>
        <v>5.1000000000000004E-2</v>
      </c>
      <c r="DG57" s="128">
        <f t="shared" si="81"/>
        <v>105892.5</v>
      </c>
      <c r="DH57" s="128" t="str">
        <f t="shared" si="82"/>
        <v>nie</v>
      </c>
      <c r="DI57" s="128">
        <f t="shared" si="83"/>
        <v>2000</v>
      </c>
      <c r="DJ57" s="128">
        <f t="shared" si="84"/>
        <v>103152.925</v>
      </c>
      <c r="DK57" s="128">
        <f t="shared" si="85"/>
        <v>0</v>
      </c>
      <c r="DL57" s="130">
        <f t="shared" si="86"/>
        <v>3.5999999999999997E-2</v>
      </c>
      <c r="DM57" s="128">
        <f t="shared" si="87"/>
        <v>0</v>
      </c>
      <c r="DN57" s="128">
        <f t="shared" si="88"/>
        <v>103152.925</v>
      </c>
      <c r="DP57" s="127">
        <f t="shared" si="146"/>
        <v>1000</v>
      </c>
      <c r="DQ57" s="128">
        <f t="shared" si="147"/>
        <v>100000</v>
      </c>
      <c r="DR57" s="128">
        <f t="shared" si="138"/>
        <v>100000</v>
      </c>
      <c r="DS57" s="128">
        <f t="shared" si="139"/>
        <v>105600</v>
      </c>
      <c r="DT57" s="130">
        <f t="shared" si="89"/>
        <v>5.6000000000000001E-2</v>
      </c>
      <c r="DU57" s="128">
        <f t="shared" si="90"/>
        <v>106585.60000000001</v>
      </c>
      <c r="DV57" s="128" t="str">
        <f t="shared" si="91"/>
        <v>nie</v>
      </c>
      <c r="DW57" s="128">
        <f t="shared" si="92"/>
        <v>3000</v>
      </c>
      <c r="DX57" s="128">
        <f t="shared" si="93"/>
        <v>102904.33600000001</v>
      </c>
      <c r="DY57" s="128">
        <f t="shared" si="94"/>
        <v>0</v>
      </c>
      <c r="DZ57" s="130">
        <f t="shared" si="95"/>
        <v>3.5999999999999997E-2</v>
      </c>
      <c r="EA57" s="128">
        <f t="shared" si="96"/>
        <v>0</v>
      </c>
      <c r="EB57" s="128">
        <f t="shared" si="97"/>
        <v>102904.33600000001</v>
      </c>
    </row>
    <row r="58" spans="1:132">
      <c r="A58" s="212"/>
      <c r="B58" s="188">
        <f t="shared" si="98"/>
        <v>14</v>
      </c>
      <c r="C58" s="128">
        <f t="shared" si="99"/>
        <v>103619.44596596753</v>
      </c>
      <c r="D58" s="128">
        <f t="shared" si="100"/>
        <v>103194.69802055185</v>
      </c>
      <c r="E58" s="128">
        <f t="shared" si="101"/>
        <v>103374.136</v>
      </c>
      <c r="F58" s="128">
        <f t="shared" si="102"/>
        <v>102867.22156910277</v>
      </c>
      <c r="G58" s="128">
        <f t="shared" si="103"/>
        <v>102628.83475000001</v>
      </c>
      <c r="H58" s="128">
        <f t="shared" si="104"/>
        <v>103152.925</v>
      </c>
      <c r="I58" s="128">
        <f t="shared" si="105"/>
        <v>102904.33600000001</v>
      </c>
      <c r="J58" s="128">
        <f t="shared" si="106"/>
        <v>103456.2603975106</v>
      </c>
      <c r="K58" s="128">
        <f t="shared" si="107"/>
        <v>103632.68333333333</v>
      </c>
      <c r="M58" s="36"/>
      <c r="N58" s="32">
        <f t="shared" si="108"/>
        <v>14</v>
      </c>
      <c r="O58" s="25">
        <f t="shared" si="109"/>
        <v>3.6194459659675271E-2</v>
      </c>
      <c r="P58" s="25">
        <f t="shared" si="110"/>
        <v>3.194698020551856E-2</v>
      </c>
      <c r="Q58" s="25">
        <f t="shared" si="111"/>
        <v>3.3741360000000054E-2</v>
      </c>
      <c r="R58" s="25">
        <f t="shared" si="30"/>
        <v>2.8672215691027736E-2</v>
      </c>
      <c r="S58" s="25">
        <f t="shared" si="31"/>
        <v>2.6288347500000198E-2</v>
      </c>
      <c r="T58" s="25">
        <f t="shared" si="32"/>
        <v>3.1529249999999953E-2</v>
      </c>
      <c r="U58" s="25">
        <f t="shared" si="33"/>
        <v>2.9043360000000185E-2</v>
      </c>
      <c r="V58" s="25">
        <f t="shared" si="34"/>
        <v>3.4562603975106132E-2</v>
      </c>
      <c r="W58" s="25">
        <f t="shared" si="112"/>
        <v>3.6326833333333308E-2</v>
      </c>
      <c r="X58" s="36"/>
      <c r="Y58" s="74"/>
      <c r="AA58" s="124">
        <f t="shared" si="113"/>
        <v>15</v>
      </c>
      <c r="AB58" s="128">
        <f t="shared" si="35"/>
        <v>103899.02499999998</v>
      </c>
      <c r="AC58" s="124">
        <f t="shared" si="114"/>
        <v>15</v>
      </c>
      <c r="AD58" s="130">
        <f t="shared" si="115"/>
        <v>3.7499999999999999E-2</v>
      </c>
      <c r="AE58" s="127">
        <f t="shared" si="116"/>
        <v>1034</v>
      </c>
      <c r="AF58" s="128">
        <f t="shared" si="117"/>
        <v>103299.70000000001</v>
      </c>
      <c r="AG58" s="128">
        <f t="shared" si="140"/>
        <v>103400</v>
      </c>
      <c r="AH58" s="128">
        <f t="shared" si="118"/>
        <v>103400</v>
      </c>
      <c r="AI58" s="130">
        <f t="shared" si="36"/>
        <v>3.7499999999999999E-2</v>
      </c>
      <c r="AJ58" s="128">
        <f t="shared" si="37"/>
        <v>103723.125</v>
      </c>
      <c r="AK58" s="128" t="str">
        <f t="shared" si="38"/>
        <v>nie</v>
      </c>
      <c r="AL58" s="128">
        <f t="shared" si="39"/>
        <v>517</v>
      </c>
      <c r="AM58" s="128">
        <f t="shared" si="150"/>
        <v>103242.96124999999</v>
      </c>
      <c r="AN58" s="128">
        <f t="shared" si="41"/>
        <v>261.73125000000005</v>
      </c>
      <c r="AO58" s="130">
        <f t="shared" si="42"/>
        <v>3.5999999999999997E-2</v>
      </c>
      <c r="AP58" s="128">
        <f t="shared" si="43"/>
        <v>901.49808076483635</v>
      </c>
      <c r="AQ58" s="128">
        <f t="shared" ref="AQ58:AQ120" si="156">AP57*(1+AO58/12*(1-podatek_Belki))+AM58</f>
        <v>103882.72808076483</v>
      </c>
      <c r="AS58" s="124">
        <f t="shared" si="119"/>
        <v>15</v>
      </c>
      <c r="AT58" s="130">
        <f t="shared" si="120"/>
        <v>3.7499999999999999E-2</v>
      </c>
      <c r="AU58" s="127">
        <f t="shared" si="121"/>
        <v>1000</v>
      </c>
      <c r="AV58" s="128">
        <f t="shared" si="122"/>
        <v>100000</v>
      </c>
      <c r="AW58" s="128">
        <f t="shared" si="151"/>
        <v>100000</v>
      </c>
      <c r="AX58" s="128">
        <f t="shared" si="123"/>
        <v>100000</v>
      </c>
      <c r="AY58" s="130">
        <f t="shared" si="45"/>
        <v>3.9E-2</v>
      </c>
      <c r="AZ58" s="128">
        <f t="shared" si="46"/>
        <v>100325</v>
      </c>
      <c r="BA58" s="128" t="str">
        <f t="shared" si="47"/>
        <v>nie</v>
      </c>
      <c r="BB58" s="128">
        <f t="shared" si="48"/>
        <v>700</v>
      </c>
      <c r="BC58" s="128">
        <f t="shared" si="152"/>
        <v>99696.25</v>
      </c>
      <c r="BD58" s="128">
        <f t="shared" si="50"/>
        <v>263.25</v>
      </c>
      <c r="BE58" s="130">
        <f t="shared" si="51"/>
        <v>3.5999999999999997E-2</v>
      </c>
      <c r="BF58" s="128">
        <f t="shared" si="52"/>
        <v>4034.0889467417837</v>
      </c>
      <c r="BG58" s="128">
        <f t="shared" ref="BG58:BG66" si="157">BF57*(1+BE58/12*(1-podatek_Belki))+BC58</f>
        <v>103467.08894674179</v>
      </c>
      <c r="BI58" s="124">
        <f t="shared" si="124"/>
        <v>15</v>
      </c>
      <c r="BJ58" s="130">
        <f t="shared" si="148"/>
        <v>3.9100000000000003E-2</v>
      </c>
      <c r="BK58" s="127">
        <f t="shared" si="125"/>
        <v>1000</v>
      </c>
      <c r="BL58" s="128">
        <f t="shared" si="126"/>
        <v>100000</v>
      </c>
      <c r="BM58" s="128">
        <f t="shared" si="142"/>
        <v>100000</v>
      </c>
      <c r="BN58" s="128">
        <f t="shared" si="127"/>
        <v>104400</v>
      </c>
      <c r="BO58" s="130">
        <f t="shared" si="54"/>
        <v>4.3999999999999997E-2</v>
      </c>
      <c r="BP58" s="128">
        <f t="shared" si="55"/>
        <v>105548.4</v>
      </c>
      <c r="BQ58" s="128" t="str">
        <f t="shared" si="56"/>
        <v>nie</v>
      </c>
      <c r="BR58" s="128">
        <f t="shared" si="57"/>
        <v>1000</v>
      </c>
      <c r="BS58" s="128">
        <f t="shared" si="153"/>
        <v>103684.204</v>
      </c>
      <c r="BT58" s="128">
        <f t="shared" si="128"/>
        <v>0</v>
      </c>
      <c r="BU58" s="130">
        <f t="shared" si="59"/>
        <v>3.5999999999999997E-2</v>
      </c>
      <c r="BV58" s="128">
        <f t="shared" si="60"/>
        <v>0</v>
      </c>
      <c r="BW58" s="128">
        <f t="shared" si="61"/>
        <v>103684.204</v>
      </c>
      <c r="BY58" s="130">
        <f t="shared" si="149"/>
        <v>3.1E-2</v>
      </c>
      <c r="BZ58" s="127">
        <f t="shared" si="129"/>
        <v>1000</v>
      </c>
      <c r="CA58" s="128">
        <f t="shared" si="130"/>
        <v>100000</v>
      </c>
      <c r="CB58" s="128">
        <f t="shared" si="154"/>
        <v>100000</v>
      </c>
      <c r="CC58" s="128">
        <f t="shared" si="131"/>
        <v>100000</v>
      </c>
      <c r="CD58" s="130">
        <f t="shared" si="62"/>
        <v>4.5999999999999999E-2</v>
      </c>
      <c r="CE58" s="128">
        <f t="shared" si="63"/>
        <v>101150</v>
      </c>
      <c r="CF58" s="128" t="str">
        <f t="shared" si="64"/>
        <v>nie</v>
      </c>
      <c r="CG58" s="128">
        <f t="shared" si="65"/>
        <v>2000</v>
      </c>
      <c r="CH58" s="128">
        <f t="shared" si="155"/>
        <v>99311.5</v>
      </c>
      <c r="CI58" s="128">
        <f t="shared" si="67"/>
        <v>0</v>
      </c>
      <c r="CJ58" s="130">
        <f t="shared" si="68"/>
        <v>3.5999999999999997E-2</v>
      </c>
      <c r="CK58" s="128">
        <f t="shared" si="69"/>
        <v>3875.616487515681</v>
      </c>
      <c r="CL58" s="128">
        <f t="shared" si="70"/>
        <v>103187.11648751568</v>
      </c>
      <c r="CN58" s="127">
        <f t="shared" si="132"/>
        <v>1000</v>
      </c>
      <c r="CO58" s="128">
        <f t="shared" si="133"/>
        <v>100000</v>
      </c>
      <c r="CP58" s="128">
        <f t="shared" si="134"/>
        <v>100000</v>
      </c>
      <c r="CQ58" s="128">
        <f t="shared" si="135"/>
        <v>105350.00000000001</v>
      </c>
      <c r="CR58" s="130">
        <f t="shared" si="71"/>
        <v>5.1000000000000004E-2</v>
      </c>
      <c r="CS58" s="128">
        <f t="shared" si="72"/>
        <v>106693.21250000002</v>
      </c>
      <c r="CT58" s="128" t="str">
        <f t="shared" si="73"/>
        <v>nie</v>
      </c>
      <c r="CU58" s="128">
        <f t="shared" si="74"/>
        <v>3000</v>
      </c>
      <c r="CV58" s="128">
        <f t="shared" si="75"/>
        <v>102991.50212500001</v>
      </c>
      <c r="CW58" s="128">
        <f t="shared" si="76"/>
        <v>0</v>
      </c>
      <c r="CX58" s="130">
        <f t="shared" si="77"/>
        <v>3.5999999999999997E-2</v>
      </c>
      <c r="CY58" s="128">
        <f t="shared" si="78"/>
        <v>0</v>
      </c>
      <c r="CZ58" s="128">
        <f t="shared" si="79"/>
        <v>102991.50212500001</v>
      </c>
      <c r="DA58" s="20"/>
      <c r="DB58" s="127">
        <f t="shared" si="144"/>
        <v>1000</v>
      </c>
      <c r="DC58" s="128">
        <f t="shared" si="145"/>
        <v>100000</v>
      </c>
      <c r="DD58" s="128">
        <f t="shared" si="136"/>
        <v>100000</v>
      </c>
      <c r="DE58" s="128">
        <f t="shared" si="137"/>
        <v>105000</v>
      </c>
      <c r="DF58" s="130">
        <f t="shared" si="80"/>
        <v>5.1000000000000004E-2</v>
      </c>
      <c r="DG58" s="128">
        <f t="shared" si="81"/>
        <v>106338.75</v>
      </c>
      <c r="DH58" s="128" t="str">
        <f t="shared" si="82"/>
        <v>nie</v>
      </c>
      <c r="DI58" s="128">
        <f t="shared" si="83"/>
        <v>2000</v>
      </c>
      <c r="DJ58" s="128">
        <f t="shared" si="84"/>
        <v>103514.3875</v>
      </c>
      <c r="DK58" s="128">
        <f t="shared" si="85"/>
        <v>0</v>
      </c>
      <c r="DL58" s="130">
        <f t="shared" si="86"/>
        <v>3.5999999999999997E-2</v>
      </c>
      <c r="DM58" s="128">
        <f t="shared" si="87"/>
        <v>0</v>
      </c>
      <c r="DN58" s="128">
        <f t="shared" si="88"/>
        <v>103514.3875</v>
      </c>
      <c r="DP58" s="127">
        <f t="shared" si="146"/>
        <v>1000</v>
      </c>
      <c r="DQ58" s="128">
        <f t="shared" si="147"/>
        <v>100000</v>
      </c>
      <c r="DR58" s="128">
        <f t="shared" si="138"/>
        <v>100000</v>
      </c>
      <c r="DS58" s="128">
        <f t="shared" si="139"/>
        <v>105600</v>
      </c>
      <c r="DT58" s="130">
        <f t="shared" si="89"/>
        <v>5.6000000000000001E-2</v>
      </c>
      <c r="DU58" s="128">
        <f t="shared" si="90"/>
        <v>107078.39999999999</v>
      </c>
      <c r="DV58" s="128" t="str">
        <f t="shared" si="91"/>
        <v>nie</v>
      </c>
      <c r="DW58" s="128">
        <f t="shared" si="92"/>
        <v>3000</v>
      </c>
      <c r="DX58" s="128">
        <f t="shared" si="93"/>
        <v>103303.504</v>
      </c>
      <c r="DY58" s="128">
        <f t="shared" si="94"/>
        <v>0</v>
      </c>
      <c r="DZ58" s="130">
        <f t="shared" si="95"/>
        <v>3.5999999999999997E-2</v>
      </c>
      <c r="EA58" s="128">
        <f t="shared" si="96"/>
        <v>0</v>
      </c>
      <c r="EB58" s="128">
        <f t="shared" si="97"/>
        <v>103303.504</v>
      </c>
    </row>
    <row r="59" spans="1:132">
      <c r="A59" s="212"/>
      <c r="B59" s="188">
        <f t="shared" si="98"/>
        <v>15</v>
      </c>
      <c r="C59" s="128">
        <f t="shared" si="99"/>
        <v>103882.72808076483</v>
      </c>
      <c r="D59" s="128">
        <f t="shared" si="100"/>
        <v>103467.08894674179</v>
      </c>
      <c r="E59" s="128">
        <f t="shared" si="101"/>
        <v>103684.204</v>
      </c>
      <c r="F59" s="128">
        <f t="shared" si="102"/>
        <v>103187.11648751568</v>
      </c>
      <c r="G59" s="128">
        <f t="shared" si="103"/>
        <v>102991.50212500001</v>
      </c>
      <c r="H59" s="128">
        <f t="shared" si="104"/>
        <v>103514.3875</v>
      </c>
      <c r="I59" s="128">
        <f t="shared" si="105"/>
        <v>103303.504</v>
      </c>
      <c r="J59" s="128">
        <f t="shared" si="106"/>
        <v>103707.65911027655</v>
      </c>
      <c r="K59" s="128">
        <f t="shared" si="107"/>
        <v>103899.02499999998</v>
      </c>
      <c r="M59" s="36"/>
      <c r="N59" s="32">
        <f t="shared" si="108"/>
        <v>15</v>
      </c>
      <c r="O59" s="25">
        <f t="shared" si="109"/>
        <v>3.8827280807648412E-2</v>
      </c>
      <c r="P59" s="25">
        <f t="shared" si="110"/>
        <v>3.467088946741792E-2</v>
      </c>
      <c r="Q59" s="25">
        <f t="shared" si="111"/>
        <v>3.684204000000002E-2</v>
      </c>
      <c r="R59" s="25">
        <f t="shared" si="30"/>
        <v>3.1871164875156843E-2</v>
      </c>
      <c r="S59" s="25">
        <f t="shared" si="31"/>
        <v>2.9915021250000118E-2</v>
      </c>
      <c r="T59" s="25">
        <f t="shared" si="32"/>
        <v>3.5143874999999936E-2</v>
      </c>
      <c r="U59" s="25">
        <f t="shared" si="33"/>
        <v>3.3035039999999904E-2</v>
      </c>
      <c r="V59" s="25">
        <f t="shared" si="34"/>
        <v>3.707659110276551E-2</v>
      </c>
      <c r="W59" s="25">
        <f t="shared" si="112"/>
        <v>3.8990249999999893E-2</v>
      </c>
      <c r="X59" s="36"/>
      <c r="Y59" s="36"/>
      <c r="AA59" s="124">
        <f t="shared" si="113"/>
        <v>16</v>
      </c>
      <c r="AB59" s="128">
        <f t="shared" si="35"/>
        <v>104165.36666666665</v>
      </c>
      <c r="AC59" s="124">
        <f t="shared" si="114"/>
        <v>16</v>
      </c>
      <c r="AD59" s="130">
        <f t="shared" si="115"/>
        <v>3.7499999999999999E-2</v>
      </c>
      <c r="AE59" s="127">
        <f t="shared" si="116"/>
        <v>1034</v>
      </c>
      <c r="AF59" s="128">
        <f t="shared" si="117"/>
        <v>103299.70000000001</v>
      </c>
      <c r="AG59" s="128">
        <f t="shared" si="140"/>
        <v>103400</v>
      </c>
      <c r="AH59" s="128">
        <f t="shared" si="118"/>
        <v>103400</v>
      </c>
      <c r="AI59" s="130">
        <f t="shared" si="36"/>
        <v>3.7499999999999999E-2</v>
      </c>
      <c r="AJ59" s="128">
        <f t="shared" si="37"/>
        <v>103723.125</v>
      </c>
      <c r="AK59" s="128" t="str">
        <f t="shared" si="38"/>
        <v>nie</v>
      </c>
      <c r="AL59" s="128">
        <f t="shared" si="39"/>
        <v>517</v>
      </c>
      <c r="AM59" s="128">
        <f t="shared" si="150"/>
        <v>103242.96124999999</v>
      </c>
      <c r="AN59" s="128">
        <f t="shared" si="41"/>
        <v>261.73125000000005</v>
      </c>
      <c r="AO59" s="130">
        <f t="shared" si="42"/>
        <v>3.5999999999999997E-2</v>
      </c>
      <c r="AP59" s="128">
        <f t="shared" si="43"/>
        <v>1165.4199711010949</v>
      </c>
      <c r="AQ59" s="128">
        <f t="shared" si="156"/>
        <v>104146.64997110108</v>
      </c>
      <c r="AS59" s="124">
        <f t="shared" si="119"/>
        <v>16</v>
      </c>
      <c r="AT59" s="130">
        <f t="shared" si="120"/>
        <v>3.7499999999999999E-2</v>
      </c>
      <c r="AU59" s="127">
        <f t="shared" si="121"/>
        <v>1000</v>
      </c>
      <c r="AV59" s="128">
        <f t="shared" si="122"/>
        <v>100000</v>
      </c>
      <c r="AW59" s="128">
        <f t="shared" si="151"/>
        <v>100000</v>
      </c>
      <c r="AX59" s="128">
        <f t="shared" si="123"/>
        <v>100000</v>
      </c>
      <c r="AY59" s="130">
        <f t="shared" si="45"/>
        <v>3.9E-2</v>
      </c>
      <c r="AZ59" s="128">
        <f t="shared" si="46"/>
        <v>100325</v>
      </c>
      <c r="BA59" s="128" t="str">
        <f t="shared" si="47"/>
        <v>nie</v>
      </c>
      <c r="BB59" s="128">
        <f t="shared" si="48"/>
        <v>700</v>
      </c>
      <c r="BC59" s="128">
        <f t="shared" si="152"/>
        <v>99696.25</v>
      </c>
      <c r="BD59" s="128">
        <f t="shared" si="50"/>
        <v>263.25</v>
      </c>
      <c r="BE59" s="130">
        <f t="shared" si="51"/>
        <v>3.5999999999999997E-2</v>
      </c>
      <c r="BF59" s="128">
        <f t="shared" si="52"/>
        <v>4307.141782882366</v>
      </c>
      <c r="BG59" s="128">
        <f t="shared" si="157"/>
        <v>103740.14178288236</v>
      </c>
      <c r="BI59" s="124">
        <f t="shared" si="124"/>
        <v>16</v>
      </c>
      <c r="BJ59" s="130">
        <f t="shared" si="148"/>
        <v>3.9100000000000003E-2</v>
      </c>
      <c r="BK59" s="127">
        <f t="shared" si="125"/>
        <v>1000</v>
      </c>
      <c r="BL59" s="128">
        <f t="shared" si="126"/>
        <v>100000</v>
      </c>
      <c r="BM59" s="128">
        <f t="shared" si="142"/>
        <v>100000</v>
      </c>
      <c r="BN59" s="128">
        <f t="shared" si="127"/>
        <v>104400</v>
      </c>
      <c r="BO59" s="130">
        <f t="shared" si="54"/>
        <v>4.3999999999999997E-2</v>
      </c>
      <c r="BP59" s="128">
        <f t="shared" si="55"/>
        <v>105931.2</v>
      </c>
      <c r="BQ59" s="128" t="str">
        <f t="shared" si="56"/>
        <v>nie</v>
      </c>
      <c r="BR59" s="128">
        <f t="shared" si="57"/>
        <v>1000</v>
      </c>
      <c r="BS59" s="128">
        <f t="shared" si="153"/>
        <v>103994.272</v>
      </c>
      <c r="BT59" s="128">
        <f t="shared" si="128"/>
        <v>0</v>
      </c>
      <c r="BU59" s="130">
        <f t="shared" si="59"/>
        <v>3.5999999999999997E-2</v>
      </c>
      <c r="BV59" s="128">
        <f t="shared" si="60"/>
        <v>0</v>
      </c>
      <c r="BW59" s="128">
        <f t="shared" si="61"/>
        <v>103994.272</v>
      </c>
      <c r="BY59" s="130">
        <f t="shared" si="149"/>
        <v>3.1E-2</v>
      </c>
      <c r="BZ59" s="127">
        <f t="shared" si="129"/>
        <v>1000</v>
      </c>
      <c r="CA59" s="128">
        <f t="shared" si="130"/>
        <v>100000</v>
      </c>
      <c r="CB59" s="128">
        <f t="shared" si="154"/>
        <v>100000</v>
      </c>
      <c r="CC59" s="128">
        <f t="shared" si="131"/>
        <v>100000</v>
      </c>
      <c r="CD59" s="130">
        <f t="shared" si="62"/>
        <v>4.5999999999999999E-2</v>
      </c>
      <c r="CE59" s="128">
        <f t="shared" si="63"/>
        <v>101533.33333333334</v>
      </c>
      <c r="CF59" s="128" t="str">
        <f t="shared" si="64"/>
        <v>nie</v>
      </c>
      <c r="CG59" s="128">
        <f t="shared" si="65"/>
        <v>2000</v>
      </c>
      <c r="CH59" s="128">
        <f t="shared" si="155"/>
        <v>99622.000000000015</v>
      </c>
      <c r="CI59" s="128">
        <f t="shared" si="67"/>
        <v>0</v>
      </c>
      <c r="CJ59" s="130">
        <f t="shared" si="68"/>
        <v>3.5999999999999997E-2</v>
      </c>
      <c r="CK59" s="128">
        <f t="shared" si="69"/>
        <v>3885.0342355803436</v>
      </c>
      <c r="CL59" s="128">
        <f t="shared" si="70"/>
        <v>103507.03423558036</v>
      </c>
      <c r="CN59" s="127">
        <f t="shared" si="132"/>
        <v>1000</v>
      </c>
      <c r="CO59" s="128">
        <f t="shared" si="133"/>
        <v>100000</v>
      </c>
      <c r="CP59" s="128">
        <f t="shared" si="134"/>
        <v>100000</v>
      </c>
      <c r="CQ59" s="128">
        <f t="shared" si="135"/>
        <v>105350.00000000001</v>
      </c>
      <c r="CR59" s="130">
        <f t="shared" si="71"/>
        <v>5.1000000000000004E-2</v>
      </c>
      <c r="CS59" s="128">
        <f t="shared" si="72"/>
        <v>107140.95000000001</v>
      </c>
      <c r="CT59" s="128" t="str">
        <f t="shared" si="73"/>
        <v>nie</v>
      </c>
      <c r="CU59" s="128">
        <f t="shared" si="74"/>
        <v>3000</v>
      </c>
      <c r="CV59" s="128">
        <f t="shared" si="75"/>
        <v>103354.1695</v>
      </c>
      <c r="CW59" s="128">
        <f t="shared" si="76"/>
        <v>0</v>
      </c>
      <c r="CX59" s="130">
        <f t="shared" si="77"/>
        <v>3.5999999999999997E-2</v>
      </c>
      <c r="CY59" s="128">
        <f t="shared" si="78"/>
        <v>0</v>
      </c>
      <c r="CZ59" s="128">
        <f t="shared" si="79"/>
        <v>103354.1695</v>
      </c>
      <c r="DA59" s="20"/>
      <c r="DB59" s="127">
        <f t="shared" si="144"/>
        <v>1000</v>
      </c>
      <c r="DC59" s="128">
        <f t="shared" si="145"/>
        <v>100000</v>
      </c>
      <c r="DD59" s="128">
        <f t="shared" si="136"/>
        <v>100000</v>
      </c>
      <c r="DE59" s="128">
        <f t="shared" si="137"/>
        <v>105000</v>
      </c>
      <c r="DF59" s="130">
        <f t="shared" si="80"/>
        <v>5.1000000000000004E-2</v>
      </c>
      <c r="DG59" s="128">
        <f t="shared" si="81"/>
        <v>106784.99999999999</v>
      </c>
      <c r="DH59" s="128" t="str">
        <f t="shared" si="82"/>
        <v>nie</v>
      </c>
      <c r="DI59" s="128">
        <f t="shared" si="83"/>
        <v>2000</v>
      </c>
      <c r="DJ59" s="128">
        <f t="shared" si="84"/>
        <v>103875.84999999999</v>
      </c>
      <c r="DK59" s="128">
        <f t="shared" si="85"/>
        <v>0</v>
      </c>
      <c r="DL59" s="130">
        <f t="shared" si="86"/>
        <v>3.5999999999999997E-2</v>
      </c>
      <c r="DM59" s="128">
        <f t="shared" si="87"/>
        <v>0</v>
      </c>
      <c r="DN59" s="128">
        <f t="shared" si="88"/>
        <v>103875.84999999999</v>
      </c>
      <c r="DP59" s="127">
        <f t="shared" si="146"/>
        <v>1000</v>
      </c>
      <c r="DQ59" s="128">
        <f t="shared" si="147"/>
        <v>100000</v>
      </c>
      <c r="DR59" s="128">
        <f t="shared" si="138"/>
        <v>100000</v>
      </c>
      <c r="DS59" s="128">
        <f t="shared" si="139"/>
        <v>105600</v>
      </c>
      <c r="DT59" s="130">
        <f t="shared" si="89"/>
        <v>5.6000000000000001E-2</v>
      </c>
      <c r="DU59" s="128">
        <f t="shared" si="90"/>
        <v>107571.2</v>
      </c>
      <c r="DV59" s="128" t="str">
        <f t="shared" si="91"/>
        <v>nie</v>
      </c>
      <c r="DW59" s="128">
        <f t="shared" si="92"/>
        <v>3000</v>
      </c>
      <c r="DX59" s="128">
        <f t="shared" si="93"/>
        <v>103702.67199999999</v>
      </c>
      <c r="DY59" s="128">
        <f t="shared" si="94"/>
        <v>0</v>
      </c>
      <c r="DZ59" s="130">
        <f t="shared" si="95"/>
        <v>3.5999999999999997E-2</v>
      </c>
      <c r="EA59" s="128">
        <f t="shared" si="96"/>
        <v>0</v>
      </c>
      <c r="EB59" s="128">
        <f t="shared" si="97"/>
        <v>103702.67199999999</v>
      </c>
    </row>
    <row r="60" spans="1:132">
      <c r="A60" s="212"/>
      <c r="B60" s="188">
        <f t="shared" si="98"/>
        <v>16</v>
      </c>
      <c r="C60" s="128">
        <f t="shared" si="99"/>
        <v>104146.64997110108</v>
      </c>
      <c r="D60" s="128">
        <f t="shared" si="100"/>
        <v>103740.14178288236</v>
      </c>
      <c r="E60" s="128">
        <f t="shared" si="101"/>
        <v>103994.272</v>
      </c>
      <c r="F60" s="128">
        <f t="shared" si="102"/>
        <v>103507.03423558036</v>
      </c>
      <c r="G60" s="128">
        <f t="shared" si="103"/>
        <v>103354.1695</v>
      </c>
      <c r="H60" s="128">
        <f t="shared" si="104"/>
        <v>103875.84999999999</v>
      </c>
      <c r="I60" s="128">
        <f t="shared" si="105"/>
        <v>103702.67199999999</v>
      </c>
      <c r="J60" s="128">
        <f t="shared" si="106"/>
        <v>103959.66872191452</v>
      </c>
      <c r="K60" s="128">
        <f t="shared" si="107"/>
        <v>104165.36666666665</v>
      </c>
      <c r="M60" s="36"/>
      <c r="N60" s="32">
        <f t="shared" si="108"/>
        <v>16</v>
      </c>
      <c r="O60" s="25">
        <f t="shared" si="109"/>
        <v>4.1466499711010796E-2</v>
      </c>
      <c r="P60" s="25">
        <f t="shared" si="110"/>
        <v>3.7401417828823558E-2</v>
      </c>
      <c r="Q60" s="25">
        <f t="shared" si="111"/>
        <v>3.9942719999999987E-2</v>
      </c>
      <c r="R60" s="25">
        <f t="shared" si="30"/>
        <v>3.5070342355803641E-2</v>
      </c>
      <c r="S60" s="25">
        <f t="shared" si="31"/>
        <v>3.3541695000000038E-2</v>
      </c>
      <c r="T60" s="25">
        <f t="shared" si="32"/>
        <v>3.8758499999999918E-2</v>
      </c>
      <c r="U60" s="25">
        <f t="shared" si="33"/>
        <v>3.7026719999999846E-2</v>
      </c>
      <c r="V60" s="25">
        <f t="shared" si="34"/>
        <v>3.9596687219145332E-2</v>
      </c>
      <c r="W60" s="25">
        <f t="shared" si="112"/>
        <v>4.1653666666666478E-2</v>
      </c>
      <c r="X60" s="36"/>
      <c r="Y60" s="36"/>
      <c r="AA60" s="124">
        <f t="shared" si="113"/>
        <v>17</v>
      </c>
      <c r="AB60" s="128">
        <f t="shared" si="35"/>
        <v>104431.70833333331</v>
      </c>
      <c r="AC60" s="124">
        <f t="shared" si="114"/>
        <v>17</v>
      </c>
      <c r="AD60" s="130">
        <f t="shared" si="115"/>
        <v>3.7499999999999999E-2</v>
      </c>
      <c r="AE60" s="127">
        <f t="shared" si="116"/>
        <v>1034</v>
      </c>
      <c r="AF60" s="128">
        <f t="shared" si="117"/>
        <v>103299.70000000001</v>
      </c>
      <c r="AG60" s="128">
        <f t="shared" si="140"/>
        <v>103400</v>
      </c>
      <c r="AH60" s="128">
        <f t="shared" si="118"/>
        <v>103400</v>
      </c>
      <c r="AI60" s="130">
        <f t="shared" si="36"/>
        <v>3.7499999999999999E-2</v>
      </c>
      <c r="AJ60" s="128">
        <f t="shared" si="37"/>
        <v>103723.125</v>
      </c>
      <c r="AK60" s="128" t="str">
        <f t="shared" si="38"/>
        <v>nie</v>
      </c>
      <c r="AL60" s="128">
        <f t="shared" si="39"/>
        <v>517</v>
      </c>
      <c r="AM60" s="128">
        <f t="shared" si="150"/>
        <v>103242.96124999999</v>
      </c>
      <c r="AN60" s="128">
        <f t="shared" si="41"/>
        <v>261.73125000000005</v>
      </c>
      <c r="AO60" s="130">
        <f t="shared" si="42"/>
        <v>3.5999999999999997E-2</v>
      </c>
      <c r="AP60" s="128">
        <f t="shared" si="43"/>
        <v>1429.9831916308706</v>
      </c>
      <c r="AQ60" s="128">
        <f t="shared" si="156"/>
        <v>104411.21319163086</v>
      </c>
      <c r="AS60" s="124">
        <f t="shared" si="119"/>
        <v>17</v>
      </c>
      <c r="AT60" s="130">
        <f t="shared" si="120"/>
        <v>3.7499999999999999E-2</v>
      </c>
      <c r="AU60" s="127">
        <f t="shared" si="121"/>
        <v>1000</v>
      </c>
      <c r="AV60" s="128">
        <f t="shared" si="122"/>
        <v>100000</v>
      </c>
      <c r="AW60" s="128">
        <f t="shared" si="151"/>
        <v>100000</v>
      </c>
      <c r="AX60" s="128">
        <f t="shared" si="123"/>
        <v>100000</v>
      </c>
      <c r="AY60" s="130">
        <f t="shared" si="45"/>
        <v>3.9E-2</v>
      </c>
      <c r="AZ60" s="128">
        <f t="shared" si="46"/>
        <v>100325</v>
      </c>
      <c r="BA60" s="128" t="str">
        <f t="shared" si="47"/>
        <v>nie</v>
      </c>
      <c r="BB60" s="128">
        <f t="shared" si="48"/>
        <v>700</v>
      </c>
      <c r="BC60" s="128">
        <f t="shared" si="152"/>
        <v>99696.25</v>
      </c>
      <c r="BD60" s="128">
        <f t="shared" si="50"/>
        <v>263.25</v>
      </c>
      <c r="BE60" s="130">
        <f t="shared" si="51"/>
        <v>3.5999999999999997E-2</v>
      </c>
      <c r="BF60" s="128">
        <f t="shared" si="52"/>
        <v>4580.8581374147698</v>
      </c>
      <c r="BG60" s="128">
        <f t="shared" si="157"/>
        <v>104013.85813741478</v>
      </c>
      <c r="BI60" s="124">
        <f t="shared" si="124"/>
        <v>17</v>
      </c>
      <c r="BJ60" s="130">
        <f t="shared" si="148"/>
        <v>3.9100000000000003E-2</v>
      </c>
      <c r="BK60" s="127">
        <f t="shared" si="125"/>
        <v>1000</v>
      </c>
      <c r="BL60" s="128">
        <f t="shared" si="126"/>
        <v>100000</v>
      </c>
      <c r="BM60" s="128">
        <f t="shared" si="142"/>
        <v>100000</v>
      </c>
      <c r="BN60" s="128">
        <f t="shared" si="127"/>
        <v>104400</v>
      </c>
      <c r="BO60" s="130">
        <f t="shared" si="54"/>
        <v>4.3999999999999997E-2</v>
      </c>
      <c r="BP60" s="128">
        <f t="shared" si="55"/>
        <v>106314</v>
      </c>
      <c r="BQ60" s="128" t="str">
        <f t="shared" si="56"/>
        <v>nie</v>
      </c>
      <c r="BR60" s="128">
        <f t="shared" si="57"/>
        <v>1000</v>
      </c>
      <c r="BS60" s="128">
        <f t="shared" si="153"/>
        <v>104304.34</v>
      </c>
      <c r="BT60" s="128">
        <f t="shared" si="128"/>
        <v>0</v>
      </c>
      <c r="BU60" s="130">
        <f t="shared" si="59"/>
        <v>3.5999999999999997E-2</v>
      </c>
      <c r="BV60" s="128">
        <f t="shared" si="60"/>
        <v>0</v>
      </c>
      <c r="BW60" s="128">
        <f t="shared" si="61"/>
        <v>104304.34</v>
      </c>
      <c r="BY60" s="130">
        <f t="shared" si="149"/>
        <v>3.1E-2</v>
      </c>
      <c r="BZ60" s="127">
        <f t="shared" si="129"/>
        <v>1000</v>
      </c>
      <c r="CA60" s="128">
        <f t="shared" si="130"/>
        <v>100000</v>
      </c>
      <c r="CB60" s="128">
        <f t="shared" si="154"/>
        <v>100000</v>
      </c>
      <c r="CC60" s="128">
        <f t="shared" si="131"/>
        <v>100000</v>
      </c>
      <c r="CD60" s="130">
        <f t="shared" si="62"/>
        <v>4.5999999999999999E-2</v>
      </c>
      <c r="CE60" s="128">
        <f t="shared" si="63"/>
        <v>101916.66666666666</v>
      </c>
      <c r="CF60" s="128" t="str">
        <f t="shared" si="64"/>
        <v>nie</v>
      </c>
      <c r="CG60" s="128">
        <f t="shared" si="65"/>
        <v>2000</v>
      </c>
      <c r="CH60" s="128">
        <f t="shared" si="155"/>
        <v>99932.499999999985</v>
      </c>
      <c r="CI60" s="128">
        <f t="shared" si="67"/>
        <v>0</v>
      </c>
      <c r="CJ60" s="130">
        <f t="shared" si="68"/>
        <v>3.5999999999999997E-2</v>
      </c>
      <c r="CK60" s="128">
        <f t="shared" si="69"/>
        <v>3894.4748687728038</v>
      </c>
      <c r="CL60" s="128">
        <f t="shared" si="70"/>
        <v>103826.97486877278</v>
      </c>
      <c r="CN60" s="127">
        <f t="shared" si="132"/>
        <v>1000</v>
      </c>
      <c r="CO60" s="128">
        <f t="shared" si="133"/>
        <v>100000</v>
      </c>
      <c r="CP60" s="128">
        <f t="shared" si="134"/>
        <v>100000</v>
      </c>
      <c r="CQ60" s="128">
        <f t="shared" si="135"/>
        <v>105350.00000000001</v>
      </c>
      <c r="CR60" s="130">
        <f t="shared" si="71"/>
        <v>5.1000000000000004E-2</v>
      </c>
      <c r="CS60" s="128">
        <f t="shared" si="72"/>
        <v>107588.68750000001</v>
      </c>
      <c r="CT60" s="128" t="str">
        <f t="shared" si="73"/>
        <v>nie</v>
      </c>
      <c r="CU60" s="128">
        <f t="shared" si="74"/>
        <v>3000</v>
      </c>
      <c r="CV60" s="128">
        <f t="shared" si="75"/>
        <v>103716.83687500001</v>
      </c>
      <c r="CW60" s="128">
        <f t="shared" si="76"/>
        <v>0</v>
      </c>
      <c r="CX60" s="130">
        <f t="shared" si="77"/>
        <v>3.5999999999999997E-2</v>
      </c>
      <c r="CY60" s="128">
        <f t="shared" si="78"/>
        <v>0</v>
      </c>
      <c r="CZ60" s="128">
        <f t="shared" si="79"/>
        <v>103716.83687500001</v>
      </c>
      <c r="DA60" s="20"/>
      <c r="DB60" s="127">
        <f t="shared" si="144"/>
        <v>1000</v>
      </c>
      <c r="DC60" s="128">
        <f t="shared" si="145"/>
        <v>100000</v>
      </c>
      <c r="DD60" s="128">
        <f t="shared" si="136"/>
        <v>100000</v>
      </c>
      <c r="DE60" s="128">
        <f t="shared" si="137"/>
        <v>105000</v>
      </c>
      <c r="DF60" s="130">
        <f t="shared" si="80"/>
        <v>5.1000000000000004E-2</v>
      </c>
      <c r="DG60" s="128">
        <f t="shared" si="81"/>
        <v>107231.25</v>
      </c>
      <c r="DH60" s="128" t="str">
        <f t="shared" si="82"/>
        <v>nie</v>
      </c>
      <c r="DI60" s="128">
        <f t="shared" si="83"/>
        <v>2000</v>
      </c>
      <c r="DJ60" s="128">
        <f t="shared" si="84"/>
        <v>104237.3125</v>
      </c>
      <c r="DK60" s="128">
        <f t="shared" si="85"/>
        <v>0</v>
      </c>
      <c r="DL60" s="130">
        <f t="shared" si="86"/>
        <v>3.5999999999999997E-2</v>
      </c>
      <c r="DM60" s="128">
        <f t="shared" si="87"/>
        <v>0</v>
      </c>
      <c r="DN60" s="128">
        <f t="shared" si="88"/>
        <v>104237.3125</v>
      </c>
      <c r="DP60" s="127">
        <f t="shared" si="146"/>
        <v>1000</v>
      </c>
      <c r="DQ60" s="128">
        <f t="shared" si="147"/>
        <v>100000</v>
      </c>
      <c r="DR60" s="128">
        <f t="shared" si="138"/>
        <v>100000</v>
      </c>
      <c r="DS60" s="128">
        <f t="shared" si="139"/>
        <v>105600</v>
      </c>
      <c r="DT60" s="130">
        <f t="shared" si="89"/>
        <v>5.6000000000000001E-2</v>
      </c>
      <c r="DU60" s="128">
        <f t="shared" si="90"/>
        <v>108064.00000000001</v>
      </c>
      <c r="DV60" s="128" t="str">
        <f t="shared" si="91"/>
        <v>nie</v>
      </c>
      <c r="DW60" s="128">
        <f t="shared" si="92"/>
        <v>3000</v>
      </c>
      <c r="DX60" s="128">
        <f t="shared" si="93"/>
        <v>104101.84000000001</v>
      </c>
      <c r="DY60" s="128">
        <f t="shared" si="94"/>
        <v>0</v>
      </c>
      <c r="DZ60" s="130">
        <f t="shared" si="95"/>
        <v>3.5999999999999997E-2</v>
      </c>
      <c r="EA60" s="128">
        <f t="shared" si="96"/>
        <v>0</v>
      </c>
      <c r="EB60" s="128">
        <f t="shared" si="97"/>
        <v>104101.84000000001</v>
      </c>
    </row>
    <row r="61" spans="1:132">
      <c r="A61" s="212"/>
      <c r="B61" s="188">
        <f t="shared" si="98"/>
        <v>17</v>
      </c>
      <c r="C61" s="128">
        <f t="shared" si="99"/>
        <v>104411.21319163086</v>
      </c>
      <c r="D61" s="128">
        <f t="shared" si="100"/>
        <v>104013.85813741478</v>
      </c>
      <c r="E61" s="128">
        <f t="shared" si="101"/>
        <v>104304.34</v>
      </c>
      <c r="F61" s="128">
        <f t="shared" si="102"/>
        <v>103826.97486877278</v>
      </c>
      <c r="G61" s="128">
        <f t="shared" si="103"/>
        <v>103716.83687500001</v>
      </c>
      <c r="H61" s="128">
        <f t="shared" si="104"/>
        <v>104237.3125</v>
      </c>
      <c r="I61" s="128">
        <f t="shared" si="105"/>
        <v>104101.84000000001</v>
      </c>
      <c r="J61" s="128">
        <f t="shared" si="106"/>
        <v>104212.29071690877</v>
      </c>
      <c r="K61" s="128">
        <f t="shared" si="107"/>
        <v>104431.70833333331</v>
      </c>
      <c r="M61" s="36"/>
      <c r="N61" s="32">
        <f t="shared" si="108"/>
        <v>17</v>
      </c>
      <c r="O61" s="25">
        <f t="shared" si="109"/>
        <v>4.4112131916308472E-2</v>
      </c>
      <c r="P61" s="25">
        <f t="shared" si="110"/>
        <v>4.0138581374147719E-2</v>
      </c>
      <c r="Q61" s="25">
        <f t="shared" si="111"/>
        <v>4.3043399999999954E-2</v>
      </c>
      <c r="R61" s="25">
        <f t="shared" si="30"/>
        <v>3.8269748687727922E-2</v>
      </c>
      <c r="S61" s="25">
        <f t="shared" si="31"/>
        <v>3.716836875000018E-2</v>
      </c>
      <c r="T61" s="25">
        <f t="shared" si="32"/>
        <v>4.23731249999999E-2</v>
      </c>
      <c r="U61" s="25">
        <f t="shared" si="33"/>
        <v>4.101840000000001E-2</v>
      </c>
      <c r="V61" s="25">
        <f t="shared" si="34"/>
        <v>4.212290716908762E-2</v>
      </c>
      <c r="W61" s="25">
        <f t="shared" si="112"/>
        <v>4.4317083333333063E-2</v>
      </c>
      <c r="X61" s="36"/>
      <c r="Y61" s="36"/>
      <c r="AA61" s="124">
        <f t="shared" si="113"/>
        <v>18</v>
      </c>
      <c r="AB61" s="128">
        <f t="shared" si="35"/>
        <v>104698.04999999999</v>
      </c>
      <c r="AC61" s="124">
        <f t="shared" si="114"/>
        <v>18</v>
      </c>
      <c r="AD61" s="130">
        <f t="shared" si="115"/>
        <v>3.7499999999999999E-2</v>
      </c>
      <c r="AE61" s="127">
        <f t="shared" si="116"/>
        <v>1034</v>
      </c>
      <c r="AF61" s="128">
        <f t="shared" si="117"/>
        <v>103299.70000000001</v>
      </c>
      <c r="AG61" s="128">
        <f t="shared" si="140"/>
        <v>103400</v>
      </c>
      <c r="AH61" s="128">
        <f t="shared" si="118"/>
        <v>103400</v>
      </c>
      <c r="AI61" s="130">
        <f t="shared" si="36"/>
        <v>3.7499999999999999E-2</v>
      </c>
      <c r="AJ61" s="128">
        <f t="shared" si="37"/>
        <v>103723.125</v>
      </c>
      <c r="AK61" s="128" t="str">
        <f t="shared" si="38"/>
        <v>nie</v>
      </c>
      <c r="AL61" s="128">
        <f t="shared" si="39"/>
        <v>517</v>
      </c>
      <c r="AM61" s="128">
        <f t="shared" si="150"/>
        <v>103242.96124999999</v>
      </c>
      <c r="AN61" s="128">
        <f t="shared" si="41"/>
        <v>261.73125000000005</v>
      </c>
      <c r="AO61" s="130">
        <f t="shared" si="42"/>
        <v>3.5999999999999997E-2</v>
      </c>
      <c r="AP61" s="128">
        <f t="shared" si="43"/>
        <v>1695.1893007865335</v>
      </c>
      <c r="AQ61" s="128">
        <f t="shared" si="156"/>
        <v>104676.41930078653</v>
      </c>
      <c r="AS61" s="124">
        <f t="shared" si="119"/>
        <v>18</v>
      </c>
      <c r="AT61" s="130">
        <f t="shared" si="120"/>
        <v>3.7499999999999999E-2</v>
      </c>
      <c r="AU61" s="127">
        <f t="shared" si="121"/>
        <v>1000</v>
      </c>
      <c r="AV61" s="128">
        <f t="shared" si="122"/>
        <v>100000</v>
      </c>
      <c r="AW61" s="128">
        <f t="shared" si="151"/>
        <v>100000</v>
      </c>
      <c r="AX61" s="128">
        <f t="shared" si="123"/>
        <v>100000</v>
      </c>
      <c r="AY61" s="130">
        <f t="shared" si="45"/>
        <v>3.9E-2</v>
      </c>
      <c r="AZ61" s="128">
        <f t="shared" si="46"/>
        <v>100325</v>
      </c>
      <c r="BA61" s="128" t="str">
        <f t="shared" si="47"/>
        <v>nie</v>
      </c>
      <c r="BB61" s="128">
        <f t="shared" si="48"/>
        <v>700</v>
      </c>
      <c r="BC61" s="128">
        <f t="shared" si="152"/>
        <v>99696.25</v>
      </c>
      <c r="BD61" s="128">
        <f t="shared" si="50"/>
        <v>263.25</v>
      </c>
      <c r="BE61" s="130">
        <f t="shared" si="51"/>
        <v>3.5999999999999997E-2</v>
      </c>
      <c r="BF61" s="128">
        <f t="shared" si="52"/>
        <v>4855.2396226886876</v>
      </c>
      <c r="BG61" s="128">
        <f t="shared" si="157"/>
        <v>104288.23962268869</v>
      </c>
      <c r="BI61" s="124">
        <f t="shared" si="124"/>
        <v>18</v>
      </c>
      <c r="BJ61" s="130">
        <f t="shared" si="148"/>
        <v>3.9100000000000003E-2</v>
      </c>
      <c r="BK61" s="127">
        <f t="shared" si="125"/>
        <v>1000</v>
      </c>
      <c r="BL61" s="128">
        <f t="shared" si="126"/>
        <v>100000</v>
      </c>
      <c r="BM61" s="128">
        <f t="shared" si="142"/>
        <v>100000</v>
      </c>
      <c r="BN61" s="128">
        <f t="shared" si="127"/>
        <v>104400</v>
      </c>
      <c r="BO61" s="130">
        <f t="shared" si="54"/>
        <v>4.3999999999999997E-2</v>
      </c>
      <c r="BP61" s="128">
        <f t="shared" si="55"/>
        <v>106696.8</v>
      </c>
      <c r="BQ61" s="128" t="str">
        <f t="shared" si="56"/>
        <v>nie</v>
      </c>
      <c r="BR61" s="128">
        <f t="shared" si="57"/>
        <v>1000</v>
      </c>
      <c r="BS61" s="128">
        <f t="shared" si="153"/>
        <v>104614.408</v>
      </c>
      <c r="BT61" s="128">
        <f t="shared" si="128"/>
        <v>0</v>
      </c>
      <c r="BU61" s="130">
        <f t="shared" si="59"/>
        <v>3.5999999999999997E-2</v>
      </c>
      <c r="BV61" s="128">
        <f t="shared" si="60"/>
        <v>0</v>
      </c>
      <c r="BW61" s="128">
        <f t="shared" si="61"/>
        <v>104614.408</v>
      </c>
      <c r="BY61" s="130">
        <f t="shared" si="149"/>
        <v>3.1E-2</v>
      </c>
      <c r="BZ61" s="127">
        <f t="shared" si="129"/>
        <v>1000</v>
      </c>
      <c r="CA61" s="128">
        <f t="shared" si="130"/>
        <v>100000</v>
      </c>
      <c r="CB61" s="128">
        <f t="shared" si="154"/>
        <v>100000</v>
      </c>
      <c r="CC61" s="128">
        <f t="shared" si="131"/>
        <v>100000</v>
      </c>
      <c r="CD61" s="130">
        <f t="shared" si="62"/>
        <v>4.5999999999999999E-2</v>
      </c>
      <c r="CE61" s="128">
        <f t="shared" si="63"/>
        <v>102299.99999999999</v>
      </c>
      <c r="CF61" s="128" t="str">
        <f t="shared" si="64"/>
        <v>nie</v>
      </c>
      <c r="CG61" s="128">
        <f t="shared" si="65"/>
        <v>2000</v>
      </c>
      <c r="CH61" s="128">
        <f t="shared" si="155"/>
        <v>100242.99999999999</v>
      </c>
      <c r="CI61" s="128">
        <f t="shared" si="67"/>
        <v>0</v>
      </c>
      <c r="CJ61" s="130">
        <f t="shared" si="68"/>
        <v>3.5999999999999997E-2</v>
      </c>
      <c r="CK61" s="128">
        <f t="shared" si="69"/>
        <v>3903.9384427039213</v>
      </c>
      <c r="CL61" s="128">
        <f t="shared" si="70"/>
        <v>104146.9384427039</v>
      </c>
      <c r="CN61" s="127">
        <f t="shared" si="132"/>
        <v>1000</v>
      </c>
      <c r="CO61" s="128">
        <f t="shared" si="133"/>
        <v>100000</v>
      </c>
      <c r="CP61" s="128">
        <f t="shared" si="134"/>
        <v>100000</v>
      </c>
      <c r="CQ61" s="128">
        <f t="shared" si="135"/>
        <v>105350.00000000001</v>
      </c>
      <c r="CR61" s="130">
        <f t="shared" si="71"/>
        <v>5.1000000000000004E-2</v>
      </c>
      <c r="CS61" s="128">
        <f t="shared" si="72"/>
        <v>108036.42500000002</v>
      </c>
      <c r="CT61" s="128" t="str">
        <f t="shared" si="73"/>
        <v>nie</v>
      </c>
      <c r="CU61" s="128">
        <f t="shared" si="74"/>
        <v>3000</v>
      </c>
      <c r="CV61" s="128">
        <f t="shared" si="75"/>
        <v>104079.50425000001</v>
      </c>
      <c r="CW61" s="128">
        <f t="shared" si="76"/>
        <v>0</v>
      </c>
      <c r="CX61" s="130">
        <f t="shared" si="77"/>
        <v>3.5999999999999997E-2</v>
      </c>
      <c r="CY61" s="128">
        <f t="shared" si="78"/>
        <v>0</v>
      </c>
      <c r="CZ61" s="128">
        <f t="shared" si="79"/>
        <v>104079.50425000001</v>
      </c>
      <c r="DA61" s="20"/>
      <c r="DB61" s="127">
        <f t="shared" si="144"/>
        <v>1000</v>
      </c>
      <c r="DC61" s="128">
        <f t="shared" si="145"/>
        <v>100000</v>
      </c>
      <c r="DD61" s="128">
        <f t="shared" si="136"/>
        <v>100000</v>
      </c>
      <c r="DE61" s="128">
        <f t="shared" si="137"/>
        <v>105000</v>
      </c>
      <c r="DF61" s="130">
        <f t="shared" si="80"/>
        <v>5.1000000000000004E-2</v>
      </c>
      <c r="DG61" s="128">
        <f t="shared" si="81"/>
        <v>107677.50000000001</v>
      </c>
      <c r="DH61" s="128" t="str">
        <f t="shared" si="82"/>
        <v>nie</v>
      </c>
      <c r="DI61" s="128">
        <f t="shared" si="83"/>
        <v>2000</v>
      </c>
      <c r="DJ61" s="128">
        <f t="shared" si="84"/>
        <v>104598.77500000001</v>
      </c>
      <c r="DK61" s="128">
        <f t="shared" si="85"/>
        <v>0</v>
      </c>
      <c r="DL61" s="130">
        <f t="shared" si="86"/>
        <v>3.5999999999999997E-2</v>
      </c>
      <c r="DM61" s="128">
        <f t="shared" si="87"/>
        <v>0</v>
      </c>
      <c r="DN61" s="128">
        <f t="shared" si="88"/>
        <v>104598.77500000001</v>
      </c>
      <c r="DP61" s="127">
        <f t="shared" si="146"/>
        <v>1000</v>
      </c>
      <c r="DQ61" s="128">
        <f t="shared" si="147"/>
        <v>100000</v>
      </c>
      <c r="DR61" s="128">
        <f t="shared" si="138"/>
        <v>100000</v>
      </c>
      <c r="DS61" s="128">
        <f t="shared" si="139"/>
        <v>105600</v>
      </c>
      <c r="DT61" s="130">
        <f t="shared" si="89"/>
        <v>5.6000000000000001E-2</v>
      </c>
      <c r="DU61" s="128">
        <f t="shared" si="90"/>
        <v>108556.8</v>
      </c>
      <c r="DV61" s="128" t="str">
        <f t="shared" si="91"/>
        <v>nie</v>
      </c>
      <c r="DW61" s="128">
        <f t="shared" si="92"/>
        <v>3000</v>
      </c>
      <c r="DX61" s="128">
        <f t="shared" si="93"/>
        <v>104501.008</v>
      </c>
      <c r="DY61" s="128">
        <f t="shared" si="94"/>
        <v>0</v>
      </c>
      <c r="DZ61" s="130">
        <f t="shared" si="95"/>
        <v>3.5999999999999997E-2</v>
      </c>
      <c r="EA61" s="128">
        <f t="shared" si="96"/>
        <v>0</v>
      </c>
      <c r="EB61" s="128">
        <f t="shared" si="97"/>
        <v>104501.008</v>
      </c>
    </row>
    <row r="62" spans="1:132" ht="13" customHeight="1">
      <c r="A62" s="212"/>
      <c r="B62" s="188">
        <f t="shared" si="98"/>
        <v>18</v>
      </c>
      <c r="C62" s="128">
        <f t="shared" si="99"/>
        <v>104676.41930078653</v>
      </c>
      <c r="D62" s="128">
        <f t="shared" si="100"/>
        <v>104288.23962268869</v>
      </c>
      <c r="E62" s="128">
        <f t="shared" si="101"/>
        <v>104614.408</v>
      </c>
      <c r="F62" s="128">
        <f t="shared" si="102"/>
        <v>104146.9384427039</v>
      </c>
      <c r="G62" s="128">
        <f t="shared" si="103"/>
        <v>104079.50425000001</v>
      </c>
      <c r="H62" s="128">
        <f t="shared" si="104"/>
        <v>104598.77500000001</v>
      </c>
      <c r="I62" s="128">
        <f t="shared" si="105"/>
        <v>104501.008</v>
      </c>
      <c r="J62" s="128">
        <f t="shared" si="106"/>
        <v>104465.52658335085</v>
      </c>
      <c r="K62" s="128">
        <f t="shared" si="107"/>
        <v>104698.04999999999</v>
      </c>
      <c r="M62" s="36"/>
      <c r="N62" s="32">
        <f t="shared" si="108"/>
        <v>18</v>
      </c>
      <c r="O62" s="25">
        <f t="shared" si="109"/>
        <v>4.6764193007865273E-2</v>
      </c>
      <c r="P62" s="25">
        <f t="shared" si="110"/>
        <v>4.2882396226886943E-2</v>
      </c>
      <c r="Q62" s="25">
        <f t="shared" si="111"/>
        <v>4.6144079999999921E-2</v>
      </c>
      <c r="R62" s="25">
        <f t="shared" si="30"/>
        <v>4.1469384427039069E-2</v>
      </c>
      <c r="S62" s="25">
        <f t="shared" si="31"/>
        <v>4.07950425000001E-2</v>
      </c>
      <c r="T62" s="25">
        <f t="shared" si="32"/>
        <v>4.5987750000000105E-2</v>
      </c>
      <c r="U62" s="25">
        <f t="shared" si="33"/>
        <v>4.5010079999999952E-2</v>
      </c>
      <c r="V62" s="25">
        <f t="shared" si="34"/>
        <v>4.4655265833508428E-2</v>
      </c>
      <c r="W62" s="25">
        <f t="shared" si="112"/>
        <v>4.698049999999987E-2</v>
      </c>
      <c r="X62" s="36"/>
      <c r="Y62" s="36"/>
      <c r="AA62" s="124">
        <f t="shared" si="113"/>
        <v>19</v>
      </c>
      <c r="AB62" s="128">
        <f t="shared" si="35"/>
        <v>104964.39166666665</v>
      </c>
      <c r="AC62" s="124">
        <f t="shared" si="114"/>
        <v>19</v>
      </c>
      <c r="AD62" s="130">
        <f t="shared" si="115"/>
        <v>3.7499999999999999E-2</v>
      </c>
      <c r="AE62" s="127">
        <f t="shared" si="116"/>
        <v>1034</v>
      </c>
      <c r="AF62" s="128">
        <f t="shared" si="117"/>
        <v>103299.70000000001</v>
      </c>
      <c r="AG62" s="128">
        <f t="shared" si="140"/>
        <v>103400</v>
      </c>
      <c r="AH62" s="128">
        <f t="shared" si="118"/>
        <v>103400</v>
      </c>
      <c r="AI62" s="130">
        <f t="shared" si="36"/>
        <v>3.7499999999999999E-2</v>
      </c>
      <c r="AJ62" s="128">
        <f t="shared" si="37"/>
        <v>103723.125</v>
      </c>
      <c r="AK62" s="128" t="str">
        <f t="shared" si="38"/>
        <v>nie</v>
      </c>
      <c r="AL62" s="128">
        <f t="shared" si="39"/>
        <v>517</v>
      </c>
      <c r="AM62" s="128">
        <f t="shared" si="150"/>
        <v>103242.96124999999</v>
      </c>
      <c r="AN62" s="128">
        <f t="shared" si="41"/>
        <v>261.73125000000005</v>
      </c>
      <c r="AO62" s="130">
        <f t="shared" si="42"/>
        <v>3.5999999999999997E-2</v>
      </c>
      <c r="AP62" s="128">
        <f t="shared" si="43"/>
        <v>1961.0398607874447</v>
      </c>
      <c r="AQ62" s="128">
        <f t="shared" si="156"/>
        <v>104942.26986078743</v>
      </c>
      <c r="AS62" s="124">
        <f t="shared" si="119"/>
        <v>19</v>
      </c>
      <c r="AT62" s="130">
        <f t="shared" si="120"/>
        <v>3.7499999999999999E-2</v>
      </c>
      <c r="AU62" s="127">
        <f t="shared" si="121"/>
        <v>1000</v>
      </c>
      <c r="AV62" s="128">
        <f t="shared" si="122"/>
        <v>100000</v>
      </c>
      <c r="AW62" s="128">
        <f t="shared" si="151"/>
        <v>100000</v>
      </c>
      <c r="AX62" s="128">
        <f t="shared" si="123"/>
        <v>100000</v>
      </c>
      <c r="AY62" s="130">
        <f t="shared" si="45"/>
        <v>3.9E-2</v>
      </c>
      <c r="AZ62" s="128">
        <f t="shared" si="46"/>
        <v>100325</v>
      </c>
      <c r="BA62" s="128" t="str">
        <f t="shared" si="47"/>
        <v>nie</v>
      </c>
      <c r="BB62" s="128">
        <f t="shared" si="48"/>
        <v>700</v>
      </c>
      <c r="BC62" s="128">
        <f t="shared" si="152"/>
        <v>99696.25</v>
      </c>
      <c r="BD62" s="128">
        <f t="shared" si="50"/>
        <v>263.25</v>
      </c>
      <c r="BE62" s="130">
        <f t="shared" si="51"/>
        <v>3.5999999999999997E-2</v>
      </c>
      <c r="BF62" s="128">
        <f t="shared" si="52"/>
        <v>5130.2878549718207</v>
      </c>
      <c r="BG62" s="128">
        <f t="shared" si="157"/>
        <v>104563.28785497182</v>
      </c>
      <c r="BI62" s="124">
        <f t="shared" si="124"/>
        <v>19</v>
      </c>
      <c r="BJ62" s="130">
        <f t="shared" si="148"/>
        <v>3.9100000000000003E-2</v>
      </c>
      <c r="BK62" s="127">
        <f t="shared" si="125"/>
        <v>1000</v>
      </c>
      <c r="BL62" s="128">
        <f t="shared" si="126"/>
        <v>100000</v>
      </c>
      <c r="BM62" s="128">
        <f t="shared" si="142"/>
        <v>100000</v>
      </c>
      <c r="BN62" s="128">
        <f t="shared" si="127"/>
        <v>104400</v>
      </c>
      <c r="BO62" s="130">
        <f t="shared" si="54"/>
        <v>4.3999999999999997E-2</v>
      </c>
      <c r="BP62" s="128">
        <f t="shared" si="55"/>
        <v>107079.6</v>
      </c>
      <c r="BQ62" s="128" t="str">
        <f t="shared" si="56"/>
        <v>nie</v>
      </c>
      <c r="BR62" s="128">
        <f t="shared" si="57"/>
        <v>1000</v>
      </c>
      <c r="BS62" s="128">
        <f t="shared" si="153"/>
        <v>104924.47600000001</v>
      </c>
      <c r="BT62" s="128">
        <f t="shared" si="128"/>
        <v>0</v>
      </c>
      <c r="BU62" s="130">
        <f t="shared" si="59"/>
        <v>3.5999999999999997E-2</v>
      </c>
      <c r="BV62" s="128">
        <f t="shared" si="60"/>
        <v>0</v>
      </c>
      <c r="BW62" s="128">
        <f t="shared" si="61"/>
        <v>104924.47600000001</v>
      </c>
      <c r="BY62" s="130">
        <f t="shared" si="149"/>
        <v>3.1E-2</v>
      </c>
      <c r="BZ62" s="127">
        <f t="shared" si="129"/>
        <v>1000</v>
      </c>
      <c r="CA62" s="128">
        <f t="shared" si="130"/>
        <v>100000</v>
      </c>
      <c r="CB62" s="128">
        <f t="shared" si="154"/>
        <v>100000</v>
      </c>
      <c r="CC62" s="128">
        <f t="shared" si="131"/>
        <v>100000</v>
      </c>
      <c r="CD62" s="130">
        <f t="shared" si="62"/>
        <v>4.5999999999999999E-2</v>
      </c>
      <c r="CE62" s="128">
        <f t="shared" si="63"/>
        <v>102683.33333333333</v>
      </c>
      <c r="CF62" s="128" t="str">
        <f t="shared" si="64"/>
        <v>nie</v>
      </c>
      <c r="CG62" s="128">
        <f t="shared" si="65"/>
        <v>2000</v>
      </c>
      <c r="CH62" s="128">
        <f t="shared" si="155"/>
        <v>100553.5</v>
      </c>
      <c r="CI62" s="128">
        <f t="shared" si="67"/>
        <v>0</v>
      </c>
      <c r="CJ62" s="130">
        <f t="shared" si="68"/>
        <v>3.5999999999999997E-2</v>
      </c>
      <c r="CK62" s="128">
        <f t="shared" si="69"/>
        <v>3913.4250131196914</v>
      </c>
      <c r="CL62" s="128">
        <f t="shared" si="70"/>
        <v>104466.92501311969</v>
      </c>
      <c r="CN62" s="127">
        <f t="shared" si="132"/>
        <v>1000</v>
      </c>
      <c r="CO62" s="128">
        <f t="shared" si="133"/>
        <v>100000</v>
      </c>
      <c r="CP62" s="128">
        <f t="shared" si="134"/>
        <v>100000</v>
      </c>
      <c r="CQ62" s="128">
        <f t="shared" si="135"/>
        <v>105350.00000000001</v>
      </c>
      <c r="CR62" s="130">
        <f t="shared" si="71"/>
        <v>5.1000000000000004E-2</v>
      </c>
      <c r="CS62" s="128">
        <f t="shared" si="72"/>
        <v>108484.16250000001</v>
      </c>
      <c r="CT62" s="128" t="str">
        <f t="shared" si="73"/>
        <v>nie</v>
      </c>
      <c r="CU62" s="128">
        <f t="shared" si="74"/>
        <v>3000</v>
      </c>
      <c r="CV62" s="128">
        <f t="shared" si="75"/>
        <v>104442.171625</v>
      </c>
      <c r="CW62" s="128">
        <f t="shared" si="76"/>
        <v>0</v>
      </c>
      <c r="CX62" s="130">
        <f t="shared" si="77"/>
        <v>3.5999999999999997E-2</v>
      </c>
      <c r="CY62" s="128">
        <f t="shared" si="78"/>
        <v>0</v>
      </c>
      <c r="CZ62" s="128">
        <f t="shared" si="79"/>
        <v>104442.171625</v>
      </c>
      <c r="DA62" s="20"/>
      <c r="DB62" s="127">
        <f t="shared" si="144"/>
        <v>1000</v>
      </c>
      <c r="DC62" s="128">
        <f t="shared" si="145"/>
        <v>100000</v>
      </c>
      <c r="DD62" s="128">
        <f t="shared" si="136"/>
        <v>100000</v>
      </c>
      <c r="DE62" s="128">
        <f t="shared" si="137"/>
        <v>105000</v>
      </c>
      <c r="DF62" s="130">
        <f t="shared" si="80"/>
        <v>5.1000000000000004E-2</v>
      </c>
      <c r="DG62" s="128">
        <f t="shared" si="81"/>
        <v>108123.75</v>
      </c>
      <c r="DH62" s="128" t="str">
        <f t="shared" si="82"/>
        <v>nie</v>
      </c>
      <c r="DI62" s="128">
        <f t="shared" si="83"/>
        <v>2000</v>
      </c>
      <c r="DJ62" s="128">
        <f t="shared" si="84"/>
        <v>104960.2375</v>
      </c>
      <c r="DK62" s="128">
        <f t="shared" si="85"/>
        <v>0</v>
      </c>
      <c r="DL62" s="130">
        <f t="shared" si="86"/>
        <v>3.5999999999999997E-2</v>
      </c>
      <c r="DM62" s="128">
        <f t="shared" si="87"/>
        <v>0</v>
      </c>
      <c r="DN62" s="128">
        <f t="shared" si="88"/>
        <v>104960.2375</v>
      </c>
      <c r="DP62" s="127">
        <f t="shared" si="146"/>
        <v>1000</v>
      </c>
      <c r="DQ62" s="128">
        <f t="shared" si="147"/>
        <v>100000</v>
      </c>
      <c r="DR62" s="128">
        <f t="shared" si="138"/>
        <v>100000</v>
      </c>
      <c r="DS62" s="128">
        <f t="shared" si="139"/>
        <v>105600</v>
      </c>
      <c r="DT62" s="130">
        <f t="shared" si="89"/>
        <v>5.6000000000000001E-2</v>
      </c>
      <c r="DU62" s="128">
        <f t="shared" si="90"/>
        <v>109049.59999999999</v>
      </c>
      <c r="DV62" s="128" t="str">
        <f t="shared" si="91"/>
        <v>nie</v>
      </c>
      <c r="DW62" s="128">
        <f t="shared" si="92"/>
        <v>3000</v>
      </c>
      <c r="DX62" s="128">
        <f t="shared" si="93"/>
        <v>104900.17599999999</v>
      </c>
      <c r="DY62" s="128">
        <f t="shared" si="94"/>
        <v>0</v>
      </c>
      <c r="DZ62" s="130">
        <f t="shared" si="95"/>
        <v>3.5999999999999997E-2</v>
      </c>
      <c r="EA62" s="128">
        <f t="shared" si="96"/>
        <v>0</v>
      </c>
      <c r="EB62" s="128">
        <f t="shared" si="97"/>
        <v>104900.17599999999</v>
      </c>
    </row>
    <row r="63" spans="1:132">
      <c r="A63" s="212"/>
      <c r="B63" s="188">
        <f t="shared" si="98"/>
        <v>19</v>
      </c>
      <c r="C63" s="128">
        <f t="shared" si="99"/>
        <v>104942.26986078743</v>
      </c>
      <c r="D63" s="128">
        <f t="shared" si="100"/>
        <v>104563.28785497182</v>
      </c>
      <c r="E63" s="128">
        <f t="shared" si="101"/>
        <v>104924.47600000001</v>
      </c>
      <c r="F63" s="128">
        <f t="shared" si="102"/>
        <v>104466.92501311969</v>
      </c>
      <c r="G63" s="128">
        <f t="shared" si="103"/>
        <v>104442.171625</v>
      </c>
      <c r="H63" s="128">
        <f t="shared" si="104"/>
        <v>104960.2375</v>
      </c>
      <c r="I63" s="128">
        <f t="shared" si="105"/>
        <v>104900.17599999999</v>
      </c>
      <c r="J63" s="128">
        <f t="shared" si="106"/>
        <v>104719.37781294838</v>
      </c>
      <c r="K63" s="128">
        <f t="shared" si="107"/>
        <v>104964.39166666665</v>
      </c>
      <c r="M63" s="36"/>
      <c r="N63" s="32">
        <f t="shared" si="108"/>
        <v>19</v>
      </c>
      <c r="O63" s="25">
        <f t="shared" si="109"/>
        <v>4.9422698607874294E-2</v>
      </c>
      <c r="P63" s="25">
        <f t="shared" si="110"/>
        <v>4.5632878549718203E-2</v>
      </c>
      <c r="Q63" s="25">
        <f t="shared" si="111"/>
        <v>4.924476000000011E-2</v>
      </c>
      <c r="R63" s="25">
        <f t="shared" si="30"/>
        <v>4.4669250131196936E-2</v>
      </c>
      <c r="S63" s="25">
        <f t="shared" si="31"/>
        <v>4.4421716250000021E-2</v>
      </c>
      <c r="T63" s="25">
        <f t="shared" si="32"/>
        <v>4.9602375000000087E-2</v>
      </c>
      <c r="U63" s="25">
        <f t="shared" si="33"/>
        <v>4.9001759999999894E-2</v>
      </c>
      <c r="V63" s="25">
        <f t="shared" si="34"/>
        <v>4.7193778129483777E-2</v>
      </c>
      <c r="W63" s="25">
        <f t="shared" si="112"/>
        <v>4.9643916666666454E-2</v>
      </c>
      <c r="X63" s="36"/>
      <c r="Y63" s="36"/>
      <c r="AA63" s="124">
        <f t="shared" si="113"/>
        <v>20</v>
      </c>
      <c r="AB63" s="128">
        <f t="shared" si="35"/>
        <v>105230.73333333331</v>
      </c>
      <c r="AC63" s="124">
        <f t="shared" si="114"/>
        <v>20</v>
      </c>
      <c r="AD63" s="130">
        <f t="shared" si="115"/>
        <v>3.7499999999999999E-2</v>
      </c>
      <c r="AE63" s="127">
        <f t="shared" si="116"/>
        <v>1034</v>
      </c>
      <c r="AF63" s="128">
        <f t="shared" si="117"/>
        <v>103299.70000000001</v>
      </c>
      <c r="AG63" s="128">
        <f t="shared" si="140"/>
        <v>103400</v>
      </c>
      <c r="AH63" s="128">
        <f t="shared" si="118"/>
        <v>103400</v>
      </c>
      <c r="AI63" s="130">
        <f t="shared" si="36"/>
        <v>3.7499999999999999E-2</v>
      </c>
      <c r="AJ63" s="128">
        <f t="shared" si="37"/>
        <v>103723.125</v>
      </c>
      <c r="AK63" s="128" t="str">
        <f t="shared" si="38"/>
        <v>nie</v>
      </c>
      <c r="AL63" s="128">
        <f t="shared" si="39"/>
        <v>517</v>
      </c>
      <c r="AM63" s="128">
        <f t="shared" si="150"/>
        <v>103242.96124999999</v>
      </c>
      <c r="AN63" s="128">
        <f t="shared" si="41"/>
        <v>261.73125000000005</v>
      </c>
      <c r="AO63" s="130">
        <f t="shared" si="42"/>
        <v>3.5999999999999997E-2</v>
      </c>
      <c r="AP63" s="128">
        <f t="shared" si="43"/>
        <v>2227.536437649158</v>
      </c>
      <c r="AQ63" s="128">
        <f t="shared" si="156"/>
        <v>105208.76643764914</v>
      </c>
      <c r="AS63" s="124">
        <f t="shared" si="119"/>
        <v>20</v>
      </c>
      <c r="AT63" s="130">
        <f t="shared" si="120"/>
        <v>3.7499999999999999E-2</v>
      </c>
      <c r="AU63" s="127">
        <f t="shared" si="121"/>
        <v>1000</v>
      </c>
      <c r="AV63" s="128">
        <f t="shared" si="122"/>
        <v>100000</v>
      </c>
      <c r="AW63" s="128">
        <f t="shared" si="151"/>
        <v>100000</v>
      </c>
      <c r="AX63" s="128">
        <f t="shared" si="123"/>
        <v>100000</v>
      </c>
      <c r="AY63" s="130">
        <f t="shared" si="45"/>
        <v>3.9E-2</v>
      </c>
      <c r="AZ63" s="128">
        <f t="shared" si="46"/>
        <v>100325</v>
      </c>
      <c r="BA63" s="128" t="str">
        <f t="shared" si="47"/>
        <v>nie</v>
      </c>
      <c r="BB63" s="128">
        <f t="shared" si="48"/>
        <v>700</v>
      </c>
      <c r="BC63" s="128">
        <f t="shared" si="152"/>
        <v>99696.25</v>
      </c>
      <c r="BD63" s="128">
        <f t="shared" si="50"/>
        <v>263.25</v>
      </c>
      <c r="BE63" s="130">
        <f t="shared" si="51"/>
        <v>3.5999999999999997E-2</v>
      </c>
      <c r="BF63" s="128">
        <f t="shared" si="52"/>
        <v>5406.004454459402</v>
      </c>
      <c r="BG63" s="128">
        <f t="shared" si="157"/>
        <v>104839.0044544594</v>
      </c>
      <c r="BI63" s="124">
        <f t="shared" si="124"/>
        <v>20</v>
      </c>
      <c r="BJ63" s="130">
        <f t="shared" si="148"/>
        <v>3.9100000000000003E-2</v>
      </c>
      <c r="BK63" s="127">
        <f t="shared" si="125"/>
        <v>1000</v>
      </c>
      <c r="BL63" s="128">
        <f t="shared" si="126"/>
        <v>100000</v>
      </c>
      <c r="BM63" s="128">
        <f t="shared" si="142"/>
        <v>100000</v>
      </c>
      <c r="BN63" s="128">
        <f t="shared" si="127"/>
        <v>104400</v>
      </c>
      <c r="BO63" s="130">
        <f t="shared" si="54"/>
        <v>4.3999999999999997E-2</v>
      </c>
      <c r="BP63" s="128">
        <f t="shared" si="55"/>
        <v>107462.40000000001</v>
      </c>
      <c r="BQ63" s="128" t="str">
        <f t="shared" si="56"/>
        <v>nie</v>
      </c>
      <c r="BR63" s="128">
        <f t="shared" si="57"/>
        <v>1000</v>
      </c>
      <c r="BS63" s="128">
        <f t="shared" si="153"/>
        <v>105234.54400000001</v>
      </c>
      <c r="BT63" s="128">
        <f t="shared" si="128"/>
        <v>0</v>
      </c>
      <c r="BU63" s="130">
        <f t="shared" si="59"/>
        <v>3.5999999999999997E-2</v>
      </c>
      <c r="BV63" s="128">
        <f t="shared" si="60"/>
        <v>0</v>
      </c>
      <c r="BW63" s="128">
        <f t="shared" si="61"/>
        <v>105234.54400000001</v>
      </c>
      <c r="BY63" s="130">
        <f t="shared" si="149"/>
        <v>3.1E-2</v>
      </c>
      <c r="BZ63" s="127">
        <f t="shared" si="129"/>
        <v>1000</v>
      </c>
      <c r="CA63" s="128">
        <f t="shared" si="130"/>
        <v>100000</v>
      </c>
      <c r="CB63" s="128">
        <f t="shared" si="154"/>
        <v>100000</v>
      </c>
      <c r="CC63" s="128">
        <f t="shared" si="131"/>
        <v>100000</v>
      </c>
      <c r="CD63" s="130">
        <f t="shared" si="62"/>
        <v>4.5999999999999999E-2</v>
      </c>
      <c r="CE63" s="128">
        <f t="shared" si="63"/>
        <v>103066.66666666666</v>
      </c>
      <c r="CF63" s="128" t="str">
        <f t="shared" si="64"/>
        <v>nie</v>
      </c>
      <c r="CG63" s="128">
        <f t="shared" si="65"/>
        <v>2000</v>
      </c>
      <c r="CH63" s="128">
        <f t="shared" si="155"/>
        <v>100863.99999999999</v>
      </c>
      <c r="CI63" s="128">
        <f t="shared" si="67"/>
        <v>0</v>
      </c>
      <c r="CJ63" s="130">
        <f t="shared" si="68"/>
        <v>3.5999999999999997E-2</v>
      </c>
      <c r="CK63" s="128">
        <f t="shared" si="69"/>
        <v>3922.9346359015722</v>
      </c>
      <c r="CL63" s="128">
        <f t="shared" si="70"/>
        <v>104786.93463590156</v>
      </c>
      <c r="CN63" s="127">
        <f t="shared" si="132"/>
        <v>1000</v>
      </c>
      <c r="CO63" s="128">
        <f t="shared" si="133"/>
        <v>100000</v>
      </c>
      <c r="CP63" s="128">
        <f t="shared" si="134"/>
        <v>100000</v>
      </c>
      <c r="CQ63" s="128">
        <f t="shared" si="135"/>
        <v>105350.00000000001</v>
      </c>
      <c r="CR63" s="130">
        <f t="shared" si="71"/>
        <v>5.1000000000000004E-2</v>
      </c>
      <c r="CS63" s="128">
        <f t="shared" si="72"/>
        <v>108931.90000000002</v>
      </c>
      <c r="CT63" s="128" t="str">
        <f t="shared" si="73"/>
        <v>nie</v>
      </c>
      <c r="CU63" s="128">
        <f t="shared" si="74"/>
        <v>3000</v>
      </c>
      <c r="CV63" s="128">
        <f t="shared" si="75"/>
        <v>104804.83900000002</v>
      </c>
      <c r="CW63" s="128">
        <f t="shared" si="76"/>
        <v>0</v>
      </c>
      <c r="CX63" s="130">
        <f t="shared" si="77"/>
        <v>3.5999999999999997E-2</v>
      </c>
      <c r="CY63" s="128">
        <f t="shared" si="78"/>
        <v>0</v>
      </c>
      <c r="CZ63" s="128">
        <f t="shared" si="79"/>
        <v>104804.83900000002</v>
      </c>
      <c r="DA63" s="20"/>
      <c r="DB63" s="127">
        <f t="shared" si="144"/>
        <v>1000</v>
      </c>
      <c r="DC63" s="128">
        <f t="shared" si="145"/>
        <v>100000</v>
      </c>
      <c r="DD63" s="128">
        <f t="shared" si="136"/>
        <v>100000</v>
      </c>
      <c r="DE63" s="128">
        <f t="shared" si="137"/>
        <v>105000</v>
      </c>
      <c r="DF63" s="130">
        <f t="shared" si="80"/>
        <v>5.1000000000000004E-2</v>
      </c>
      <c r="DG63" s="128">
        <f t="shared" si="81"/>
        <v>108570</v>
      </c>
      <c r="DH63" s="128" t="str">
        <f t="shared" si="82"/>
        <v>nie</v>
      </c>
      <c r="DI63" s="128">
        <f t="shared" si="83"/>
        <v>2000</v>
      </c>
      <c r="DJ63" s="128">
        <f t="shared" si="84"/>
        <v>105321.7</v>
      </c>
      <c r="DK63" s="128">
        <f t="shared" si="85"/>
        <v>0</v>
      </c>
      <c r="DL63" s="130">
        <f t="shared" si="86"/>
        <v>3.5999999999999997E-2</v>
      </c>
      <c r="DM63" s="128">
        <f t="shared" si="87"/>
        <v>0</v>
      </c>
      <c r="DN63" s="128">
        <f t="shared" si="88"/>
        <v>105321.7</v>
      </c>
      <c r="DP63" s="127">
        <f t="shared" si="146"/>
        <v>1000</v>
      </c>
      <c r="DQ63" s="128">
        <f t="shared" si="147"/>
        <v>100000</v>
      </c>
      <c r="DR63" s="128">
        <f t="shared" si="138"/>
        <v>100000</v>
      </c>
      <c r="DS63" s="128">
        <f t="shared" si="139"/>
        <v>105600</v>
      </c>
      <c r="DT63" s="130">
        <f t="shared" si="89"/>
        <v>5.6000000000000001E-2</v>
      </c>
      <c r="DU63" s="128">
        <f t="shared" si="90"/>
        <v>109542.40000000001</v>
      </c>
      <c r="DV63" s="128" t="str">
        <f t="shared" si="91"/>
        <v>nie</v>
      </c>
      <c r="DW63" s="128">
        <f t="shared" si="92"/>
        <v>3000</v>
      </c>
      <c r="DX63" s="128">
        <f t="shared" si="93"/>
        <v>105299.34400000001</v>
      </c>
      <c r="DY63" s="128">
        <f t="shared" si="94"/>
        <v>0</v>
      </c>
      <c r="DZ63" s="130">
        <f t="shared" si="95"/>
        <v>3.5999999999999997E-2</v>
      </c>
      <c r="EA63" s="128">
        <f t="shared" si="96"/>
        <v>0</v>
      </c>
      <c r="EB63" s="128">
        <f t="shared" si="97"/>
        <v>105299.34400000001</v>
      </c>
    </row>
    <row r="64" spans="1:132">
      <c r="A64" s="212"/>
      <c r="B64" s="188">
        <f t="shared" si="98"/>
        <v>20</v>
      </c>
      <c r="C64" s="128">
        <f t="shared" si="99"/>
        <v>105208.76643764914</v>
      </c>
      <c r="D64" s="128">
        <f t="shared" si="100"/>
        <v>104839.0044544594</v>
      </c>
      <c r="E64" s="128">
        <f t="shared" si="101"/>
        <v>105234.54400000001</v>
      </c>
      <c r="F64" s="128">
        <f t="shared" si="102"/>
        <v>104786.93463590156</v>
      </c>
      <c r="G64" s="128">
        <f t="shared" si="103"/>
        <v>104804.83900000002</v>
      </c>
      <c r="H64" s="128">
        <f t="shared" si="104"/>
        <v>105321.7</v>
      </c>
      <c r="I64" s="128">
        <f t="shared" si="105"/>
        <v>105299.34400000001</v>
      </c>
      <c r="J64" s="128">
        <f t="shared" si="106"/>
        <v>104973.84590103384</v>
      </c>
      <c r="K64" s="128">
        <f t="shared" si="107"/>
        <v>105230.73333333331</v>
      </c>
      <c r="M64" s="36"/>
      <c r="N64" s="32">
        <f t="shared" si="108"/>
        <v>20</v>
      </c>
      <c r="O64" s="25">
        <f t="shared" si="109"/>
        <v>5.2087664376491372E-2</v>
      </c>
      <c r="P64" s="25">
        <f t="shared" si="110"/>
        <v>4.8390044544593946E-2</v>
      </c>
      <c r="Q64" s="25">
        <f t="shared" si="111"/>
        <v>5.2345440000000076E-2</v>
      </c>
      <c r="R64" s="25">
        <f t="shared" si="30"/>
        <v>4.786934635901563E-2</v>
      </c>
      <c r="S64" s="25">
        <f t="shared" si="31"/>
        <v>4.8048390000000163E-2</v>
      </c>
      <c r="T64" s="25">
        <f t="shared" si="32"/>
        <v>5.321700000000007E-2</v>
      </c>
      <c r="U64" s="25">
        <f t="shared" si="33"/>
        <v>5.2993440000000058E-2</v>
      </c>
      <c r="V64" s="25">
        <f t="shared" si="34"/>
        <v>4.9738459010338465E-2</v>
      </c>
      <c r="W64" s="25">
        <f t="shared" si="112"/>
        <v>5.2307333333333039E-2</v>
      </c>
      <c r="X64" s="36"/>
      <c r="Y64" s="36"/>
      <c r="AA64" s="124">
        <f t="shared" si="113"/>
        <v>21</v>
      </c>
      <c r="AB64" s="128">
        <f t="shared" si="35"/>
        <v>105497.07499999998</v>
      </c>
      <c r="AC64" s="124">
        <f t="shared" si="114"/>
        <v>21</v>
      </c>
      <c r="AD64" s="130">
        <f t="shared" si="115"/>
        <v>3.7499999999999999E-2</v>
      </c>
      <c r="AE64" s="127">
        <f t="shared" si="116"/>
        <v>1034</v>
      </c>
      <c r="AF64" s="128">
        <f t="shared" si="117"/>
        <v>103299.70000000001</v>
      </c>
      <c r="AG64" s="128">
        <f t="shared" si="140"/>
        <v>103400</v>
      </c>
      <c r="AH64" s="128">
        <f t="shared" si="118"/>
        <v>103400</v>
      </c>
      <c r="AI64" s="130">
        <f t="shared" si="36"/>
        <v>3.7499999999999999E-2</v>
      </c>
      <c r="AJ64" s="128">
        <f t="shared" si="37"/>
        <v>103723.125</v>
      </c>
      <c r="AK64" s="128" t="str">
        <f t="shared" si="38"/>
        <v>nie</v>
      </c>
      <c r="AL64" s="128">
        <f t="shared" si="39"/>
        <v>517</v>
      </c>
      <c r="AM64" s="128">
        <f t="shared" si="150"/>
        <v>103242.96124999999</v>
      </c>
      <c r="AN64" s="128">
        <f t="shared" si="41"/>
        <v>261.73125000000005</v>
      </c>
      <c r="AO64" s="130">
        <f t="shared" si="42"/>
        <v>3.5999999999999997E-2</v>
      </c>
      <c r="AP64" s="128">
        <f t="shared" si="43"/>
        <v>2494.6806011926456</v>
      </c>
      <c r="AQ64" s="128">
        <f t="shared" si="156"/>
        <v>105475.91060119263</v>
      </c>
      <c r="AS64" s="124">
        <f t="shared" si="119"/>
        <v>21</v>
      </c>
      <c r="AT64" s="130">
        <f t="shared" si="120"/>
        <v>3.7499999999999999E-2</v>
      </c>
      <c r="AU64" s="127">
        <f t="shared" si="121"/>
        <v>1000</v>
      </c>
      <c r="AV64" s="128">
        <f t="shared" si="122"/>
        <v>100000</v>
      </c>
      <c r="AW64" s="128">
        <f t="shared" si="151"/>
        <v>100000</v>
      </c>
      <c r="AX64" s="128">
        <f t="shared" si="123"/>
        <v>100000</v>
      </c>
      <c r="AY64" s="130">
        <f t="shared" si="45"/>
        <v>3.9E-2</v>
      </c>
      <c r="AZ64" s="128">
        <f t="shared" si="46"/>
        <v>100325</v>
      </c>
      <c r="BA64" s="128" t="str">
        <f t="shared" si="47"/>
        <v>nie</v>
      </c>
      <c r="BB64" s="128">
        <f t="shared" si="48"/>
        <v>700</v>
      </c>
      <c r="BC64" s="128">
        <f t="shared" si="152"/>
        <v>99696.25</v>
      </c>
      <c r="BD64" s="128">
        <f t="shared" si="50"/>
        <v>263.25</v>
      </c>
      <c r="BE64" s="130">
        <f t="shared" si="51"/>
        <v>3.5999999999999997E-2</v>
      </c>
      <c r="BF64" s="128">
        <f t="shared" si="52"/>
        <v>5682.3910452837381</v>
      </c>
      <c r="BG64" s="128">
        <f t="shared" si="157"/>
        <v>105115.39104528374</v>
      </c>
      <c r="BI64" s="124">
        <f t="shared" si="124"/>
        <v>21</v>
      </c>
      <c r="BJ64" s="130">
        <f t="shared" si="148"/>
        <v>3.9100000000000003E-2</v>
      </c>
      <c r="BK64" s="127">
        <f t="shared" si="125"/>
        <v>1000</v>
      </c>
      <c r="BL64" s="128">
        <f t="shared" si="126"/>
        <v>100000</v>
      </c>
      <c r="BM64" s="128">
        <f t="shared" si="142"/>
        <v>100000</v>
      </c>
      <c r="BN64" s="128">
        <f t="shared" si="127"/>
        <v>104400</v>
      </c>
      <c r="BO64" s="130">
        <f t="shared" si="54"/>
        <v>4.3999999999999997E-2</v>
      </c>
      <c r="BP64" s="128">
        <f t="shared" si="55"/>
        <v>107845.2</v>
      </c>
      <c r="BQ64" s="128" t="str">
        <f t="shared" si="56"/>
        <v>nie</v>
      </c>
      <c r="BR64" s="128">
        <f t="shared" si="57"/>
        <v>1000</v>
      </c>
      <c r="BS64" s="128">
        <f t="shared" si="153"/>
        <v>105544.61199999999</v>
      </c>
      <c r="BT64" s="128">
        <f t="shared" si="128"/>
        <v>0</v>
      </c>
      <c r="BU64" s="130">
        <f t="shared" si="59"/>
        <v>3.5999999999999997E-2</v>
      </c>
      <c r="BV64" s="128">
        <f t="shared" si="60"/>
        <v>0</v>
      </c>
      <c r="BW64" s="128">
        <f t="shared" si="61"/>
        <v>105544.61199999999</v>
      </c>
      <c r="BY64" s="130">
        <f t="shared" si="149"/>
        <v>3.1E-2</v>
      </c>
      <c r="BZ64" s="127">
        <f t="shared" si="129"/>
        <v>1000</v>
      </c>
      <c r="CA64" s="128">
        <f t="shared" si="130"/>
        <v>100000</v>
      </c>
      <c r="CB64" s="128">
        <f t="shared" si="154"/>
        <v>100000</v>
      </c>
      <c r="CC64" s="128">
        <f t="shared" si="131"/>
        <v>100000</v>
      </c>
      <c r="CD64" s="130">
        <f t="shared" si="62"/>
        <v>4.5999999999999999E-2</v>
      </c>
      <c r="CE64" s="128">
        <f t="shared" si="63"/>
        <v>103450</v>
      </c>
      <c r="CF64" s="128" t="str">
        <f t="shared" si="64"/>
        <v>nie</v>
      </c>
      <c r="CG64" s="128">
        <f t="shared" si="65"/>
        <v>2000</v>
      </c>
      <c r="CH64" s="128">
        <f t="shared" si="155"/>
        <v>101174.5</v>
      </c>
      <c r="CI64" s="128">
        <f t="shared" si="67"/>
        <v>0</v>
      </c>
      <c r="CJ64" s="130">
        <f t="shared" si="68"/>
        <v>3.5999999999999997E-2</v>
      </c>
      <c r="CK64" s="128">
        <f t="shared" si="69"/>
        <v>3932.4673670668126</v>
      </c>
      <c r="CL64" s="128">
        <f t="shared" si="70"/>
        <v>105106.96736706681</v>
      </c>
      <c r="CN64" s="127">
        <f t="shared" si="132"/>
        <v>1000</v>
      </c>
      <c r="CO64" s="128">
        <f t="shared" si="133"/>
        <v>100000</v>
      </c>
      <c r="CP64" s="128">
        <f t="shared" si="134"/>
        <v>100000</v>
      </c>
      <c r="CQ64" s="128">
        <f t="shared" si="135"/>
        <v>105350.00000000001</v>
      </c>
      <c r="CR64" s="130">
        <f t="shared" si="71"/>
        <v>5.1000000000000004E-2</v>
      </c>
      <c r="CS64" s="128">
        <f t="shared" si="72"/>
        <v>109379.6375</v>
      </c>
      <c r="CT64" s="128" t="str">
        <f t="shared" si="73"/>
        <v>nie</v>
      </c>
      <c r="CU64" s="128">
        <f t="shared" si="74"/>
        <v>3000</v>
      </c>
      <c r="CV64" s="128">
        <f t="shared" si="75"/>
        <v>105167.506375</v>
      </c>
      <c r="CW64" s="128">
        <f t="shared" si="76"/>
        <v>0</v>
      </c>
      <c r="CX64" s="130">
        <f t="shared" si="77"/>
        <v>3.5999999999999997E-2</v>
      </c>
      <c r="CY64" s="128">
        <f t="shared" si="78"/>
        <v>0</v>
      </c>
      <c r="CZ64" s="128">
        <f t="shared" si="79"/>
        <v>105167.506375</v>
      </c>
      <c r="DA64" s="20"/>
      <c r="DB64" s="127">
        <f t="shared" si="144"/>
        <v>1000</v>
      </c>
      <c r="DC64" s="128">
        <f t="shared" si="145"/>
        <v>100000</v>
      </c>
      <c r="DD64" s="128">
        <f t="shared" si="136"/>
        <v>100000</v>
      </c>
      <c r="DE64" s="128">
        <f t="shared" si="137"/>
        <v>105000</v>
      </c>
      <c r="DF64" s="130">
        <f t="shared" si="80"/>
        <v>5.1000000000000004E-2</v>
      </c>
      <c r="DG64" s="128">
        <f t="shared" si="81"/>
        <v>109016.24999999999</v>
      </c>
      <c r="DH64" s="128" t="str">
        <f t="shared" si="82"/>
        <v>nie</v>
      </c>
      <c r="DI64" s="128">
        <f t="shared" si="83"/>
        <v>2000</v>
      </c>
      <c r="DJ64" s="128">
        <f t="shared" si="84"/>
        <v>105683.16249999999</v>
      </c>
      <c r="DK64" s="128">
        <f t="shared" si="85"/>
        <v>0</v>
      </c>
      <c r="DL64" s="130">
        <f t="shared" si="86"/>
        <v>3.5999999999999997E-2</v>
      </c>
      <c r="DM64" s="128">
        <f t="shared" si="87"/>
        <v>0</v>
      </c>
      <c r="DN64" s="128">
        <f t="shared" si="88"/>
        <v>105683.16249999999</v>
      </c>
      <c r="DP64" s="127">
        <f t="shared" si="146"/>
        <v>1000</v>
      </c>
      <c r="DQ64" s="128">
        <f t="shared" si="147"/>
        <v>100000</v>
      </c>
      <c r="DR64" s="128">
        <f t="shared" si="138"/>
        <v>100000</v>
      </c>
      <c r="DS64" s="128">
        <f t="shared" si="139"/>
        <v>105600</v>
      </c>
      <c r="DT64" s="130">
        <f t="shared" si="89"/>
        <v>5.6000000000000001E-2</v>
      </c>
      <c r="DU64" s="128">
        <f t="shared" si="90"/>
        <v>110035.2</v>
      </c>
      <c r="DV64" s="128" t="str">
        <f t="shared" si="91"/>
        <v>nie</v>
      </c>
      <c r="DW64" s="128">
        <f t="shared" si="92"/>
        <v>3000</v>
      </c>
      <c r="DX64" s="128">
        <f t="shared" si="93"/>
        <v>105698.512</v>
      </c>
      <c r="DY64" s="128">
        <f t="shared" si="94"/>
        <v>0</v>
      </c>
      <c r="DZ64" s="130">
        <f t="shared" si="95"/>
        <v>3.5999999999999997E-2</v>
      </c>
      <c r="EA64" s="128">
        <f t="shared" si="96"/>
        <v>0</v>
      </c>
      <c r="EB64" s="128">
        <f t="shared" si="97"/>
        <v>105698.512</v>
      </c>
    </row>
    <row r="65" spans="1:137">
      <c r="A65" s="212"/>
      <c r="B65" s="188">
        <f t="shared" si="98"/>
        <v>21</v>
      </c>
      <c r="C65" s="128">
        <f t="shared" si="99"/>
        <v>105475.91060119263</v>
      </c>
      <c r="D65" s="128">
        <f t="shared" si="100"/>
        <v>105115.39104528374</v>
      </c>
      <c r="E65" s="128">
        <f t="shared" si="101"/>
        <v>105544.61199999999</v>
      </c>
      <c r="F65" s="128">
        <f t="shared" si="102"/>
        <v>105106.96736706681</v>
      </c>
      <c r="G65" s="128">
        <f t="shared" si="103"/>
        <v>105167.506375</v>
      </c>
      <c r="H65" s="128">
        <f t="shared" si="104"/>
        <v>105683.16249999999</v>
      </c>
      <c r="I65" s="128">
        <f t="shared" si="105"/>
        <v>105698.512</v>
      </c>
      <c r="J65" s="128">
        <f t="shared" si="106"/>
        <v>105228.93234657335</v>
      </c>
      <c r="K65" s="128">
        <f t="shared" si="107"/>
        <v>105497.07499999998</v>
      </c>
      <c r="M65" s="36"/>
      <c r="N65" s="32">
        <f t="shared" si="108"/>
        <v>21</v>
      </c>
      <c r="O65" s="25">
        <f t="shared" si="109"/>
        <v>5.4759106011926351E-2</v>
      </c>
      <c r="P65" s="25">
        <f t="shared" si="110"/>
        <v>5.1153910452837348E-2</v>
      </c>
      <c r="Q65" s="25">
        <f t="shared" si="111"/>
        <v>5.5446120000000043E-2</v>
      </c>
      <c r="R65" s="25">
        <f t="shared" si="30"/>
        <v>5.106967367066817E-2</v>
      </c>
      <c r="S65" s="25">
        <f t="shared" si="31"/>
        <v>5.1675063749999861E-2</v>
      </c>
      <c r="T65" s="25">
        <f t="shared" si="32"/>
        <v>5.683162499999983E-2</v>
      </c>
      <c r="U65" s="25">
        <f t="shared" si="33"/>
        <v>5.698512E-2</v>
      </c>
      <c r="V65" s="25">
        <f t="shared" si="34"/>
        <v>5.2289323465733561E-2</v>
      </c>
      <c r="W65" s="25">
        <f t="shared" si="112"/>
        <v>5.4970749999999846E-2</v>
      </c>
      <c r="X65" s="36"/>
      <c r="Y65" s="36"/>
      <c r="AA65" s="124">
        <f t="shared" si="113"/>
        <v>22</v>
      </c>
      <c r="AB65" s="128">
        <f t="shared" si="35"/>
        <v>105763.41666666666</v>
      </c>
      <c r="AC65" s="124">
        <f t="shared" si="114"/>
        <v>22</v>
      </c>
      <c r="AD65" s="130">
        <f t="shared" si="115"/>
        <v>3.7499999999999999E-2</v>
      </c>
      <c r="AE65" s="127">
        <f t="shared" si="116"/>
        <v>1034</v>
      </c>
      <c r="AF65" s="128">
        <f t="shared" si="117"/>
        <v>103299.70000000001</v>
      </c>
      <c r="AG65" s="128">
        <f t="shared" si="140"/>
        <v>103400</v>
      </c>
      <c r="AH65" s="128">
        <f t="shared" si="118"/>
        <v>103400</v>
      </c>
      <c r="AI65" s="130">
        <f t="shared" si="36"/>
        <v>3.7499999999999999E-2</v>
      </c>
      <c r="AJ65" s="128">
        <f t="shared" si="37"/>
        <v>103723.125</v>
      </c>
      <c r="AK65" s="128" t="str">
        <f t="shared" si="38"/>
        <v>nie</v>
      </c>
      <c r="AL65" s="128">
        <f t="shared" si="39"/>
        <v>517</v>
      </c>
      <c r="AM65" s="128">
        <f t="shared" si="150"/>
        <v>103242.96124999999</v>
      </c>
      <c r="AN65" s="128">
        <f t="shared" si="41"/>
        <v>261.73125000000005</v>
      </c>
      <c r="AO65" s="130">
        <f t="shared" si="42"/>
        <v>3.5999999999999997E-2</v>
      </c>
      <c r="AP65" s="128">
        <f t="shared" si="43"/>
        <v>2762.473925053544</v>
      </c>
      <c r="AQ65" s="128">
        <f t="shared" si="156"/>
        <v>105743.70392505353</v>
      </c>
      <c r="AS65" s="124">
        <f t="shared" si="119"/>
        <v>22</v>
      </c>
      <c r="AT65" s="130">
        <f t="shared" si="120"/>
        <v>3.7499999999999999E-2</v>
      </c>
      <c r="AU65" s="127">
        <f t="shared" si="121"/>
        <v>1000</v>
      </c>
      <c r="AV65" s="128">
        <f t="shared" si="122"/>
        <v>100000</v>
      </c>
      <c r="AW65" s="128">
        <f t="shared" si="151"/>
        <v>100000</v>
      </c>
      <c r="AX65" s="128">
        <f t="shared" si="123"/>
        <v>100000</v>
      </c>
      <c r="AY65" s="130">
        <f t="shared" si="45"/>
        <v>3.9E-2</v>
      </c>
      <c r="AZ65" s="128">
        <f t="shared" si="46"/>
        <v>100325</v>
      </c>
      <c r="BA65" s="128" t="str">
        <f t="shared" si="47"/>
        <v>nie</v>
      </c>
      <c r="BB65" s="128">
        <f t="shared" si="48"/>
        <v>700</v>
      </c>
      <c r="BC65" s="128">
        <f t="shared" si="152"/>
        <v>99696.25</v>
      </c>
      <c r="BD65" s="128">
        <f t="shared" si="50"/>
        <v>263.25</v>
      </c>
      <c r="BE65" s="130">
        <f t="shared" si="51"/>
        <v>3.5999999999999997E-2</v>
      </c>
      <c r="BF65" s="128">
        <f t="shared" si="52"/>
        <v>5959.4492555237775</v>
      </c>
      <c r="BG65" s="128">
        <f t="shared" si="157"/>
        <v>105392.44925552378</v>
      </c>
      <c r="BI65" s="124">
        <f t="shared" si="124"/>
        <v>22</v>
      </c>
      <c r="BJ65" s="130">
        <f t="shared" si="148"/>
        <v>3.9100000000000003E-2</v>
      </c>
      <c r="BK65" s="127">
        <f t="shared" si="125"/>
        <v>1000</v>
      </c>
      <c r="BL65" s="128">
        <f t="shared" si="126"/>
        <v>100000</v>
      </c>
      <c r="BM65" s="128">
        <f t="shared" si="142"/>
        <v>100000</v>
      </c>
      <c r="BN65" s="128">
        <f t="shared" si="127"/>
        <v>104400</v>
      </c>
      <c r="BO65" s="130">
        <f t="shared" si="54"/>
        <v>4.3999999999999997E-2</v>
      </c>
      <c r="BP65" s="128">
        <f t="shared" si="55"/>
        <v>108228</v>
      </c>
      <c r="BQ65" s="128" t="str">
        <f t="shared" si="56"/>
        <v>nie</v>
      </c>
      <c r="BR65" s="128">
        <f t="shared" si="57"/>
        <v>1000</v>
      </c>
      <c r="BS65" s="128">
        <f t="shared" si="153"/>
        <v>105854.68</v>
      </c>
      <c r="BT65" s="128">
        <f t="shared" si="128"/>
        <v>0</v>
      </c>
      <c r="BU65" s="130">
        <f t="shared" si="59"/>
        <v>3.5999999999999997E-2</v>
      </c>
      <c r="BV65" s="128">
        <f t="shared" si="60"/>
        <v>0</v>
      </c>
      <c r="BW65" s="128">
        <f t="shared" si="61"/>
        <v>105854.68</v>
      </c>
      <c r="BY65" s="130">
        <f t="shared" si="149"/>
        <v>3.1E-2</v>
      </c>
      <c r="BZ65" s="127">
        <f t="shared" si="129"/>
        <v>1000</v>
      </c>
      <c r="CA65" s="128">
        <f t="shared" si="130"/>
        <v>100000</v>
      </c>
      <c r="CB65" s="128">
        <f t="shared" si="154"/>
        <v>100000</v>
      </c>
      <c r="CC65" s="128">
        <f t="shared" si="131"/>
        <v>100000</v>
      </c>
      <c r="CD65" s="130">
        <f t="shared" si="62"/>
        <v>4.5999999999999999E-2</v>
      </c>
      <c r="CE65" s="128">
        <f t="shared" si="63"/>
        <v>103833.33333333333</v>
      </c>
      <c r="CF65" s="128" t="str">
        <f t="shared" si="64"/>
        <v>nie</v>
      </c>
      <c r="CG65" s="128">
        <f t="shared" si="65"/>
        <v>2000</v>
      </c>
      <c r="CH65" s="128">
        <f t="shared" si="155"/>
        <v>101485</v>
      </c>
      <c r="CI65" s="128">
        <f t="shared" si="67"/>
        <v>0</v>
      </c>
      <c r="CJ65" s="130">
        <f t="shared" si="68"/>
        <v>3.5999999999999997E-2</v>
      </c>
      <c r="CK65" s="128">
        <f t="shared" si="69"/>
        <v>3942.0232627687847</v>
      </c>
      <c r="CL65" s="128">
        <f t="shared" si="70"/>
        <v>105427.02326276878</v>
      </c>
      <c r="CN65" s="127">
        <f t="shared" si="132"/>
        <v>1000</v>
      </c>
      <c r="CO65" s="128">
        <f t="shared" si="133"/>
        <v>100000</v>
      </c>
      <c r="CP65" s="128">
        <f t="shared" si="134"/>
        <v>100000</v>
      </c>
      <c r="CQ65" s="128">
        <f t="shared" si="135"/>
        <v>105350.00000000001</v>
      </c>
      <c r="CR65" s="130">
        <f t="shared" si="71"/>
        <v>5.1000000000000004E-2</v>
      </c>
      <c r="CS65" s="128">
        <f t="shared" si="72"/>
        <v>109827.37500000001</v>
      </c>
      <c r="CT65" s="128" t="str">
        <f t="shared" si="73"/>
        <v>nie</v>
      </c>
      <c r="CU65" s="128">
        <f t="shared" si="74"/>
        <v>3000</v>
      </c>
      <c r="CV65" s="128">
        <f t="shared" si="75"/>
        <v>105530.17375000002</v>
      </c>
      <c r="CW65" s="128">
        <f t="shared" si="76"/>
        <v>0</v>
      </c>
      <c r="CX65" s="130">
        <f t="shared" si="77"/>
        <v>3.5999999999999997E-2</v>
      </c>
      <c r="CY65" s="128">
        <f t="shared" si="78"/>
        <v>0</v>
      </c>
      <c r="CZ65" s="128">
        <f t="shared" si="79"/>
        <v>105530.17375000002</v>
      </c>
      <c r="DA65" s="20"/>
      <c r="DB65" s="127">
        <f t="shared" si="144"/>
        <v>1000</v>
      </c>
      <c r="DC65" s="128">
        <f t="shared" si="145"/>
        <v>100000</v>
      </c>
      <c r="DD65" s="128">
        <f t="shared" si="136"/>
        <v>100000</v>
      </c>
      <c r="DE65" s="128">
        <f t="shared" si="137"/>
        <v>105000</v>
      </c>
      <c r="DF65" s="130">
        <f t="shared" si="80"/>
        <v>5.1000000000000004E-2</v>
      </c>
      <c r="DG65" s="128">
        <f t="shared" si="81"/>
        <v>109462.5</v>
      </c>
      <c r="DH65" s="128" t="str">
        <f t="shared" si="82"/>
        <v>nie</v>
      </c>
      <c r="DI65" s="128">
        <f t="shared" si="83"/>
        <v>2000</v>
      </c>
      <c r="DJ65" s="128">
        <f t="shared" si="84"/>
        <v>106044.625</v>
      </c>
      <c r="DK65" s="128">
        <f t="shared" si="85"/>
        <v>0</v>
      </c>
      <c r="DL65" s="130">
        <f t="shared" si="86"/>
        <v>3.5999999999999997E-2</v>
      </c>
      <c r="DM65" s="128">
        <f t="shared" si="87"/>
        <v>0</v>
      </c>
      <c r="DN65" s="128">
        <f t="shared" si="88"/>
        <v>106044.625</v>
      </c>
      <c r="DP65" s="127">
        <f t="shared" si="146"/>
        <v>1000</v>
      </c>
      <c r="DQ65" s="128">
        <f t="shared" si="147"/>
        <v>100000</v>
      </c>
      <c r="DR65" s="128">
        <f t="shared" si="138"/>
        <v>100000</v>
      </c>
      <c r="DS65" s="128">
        <f t="shared" si="139"/>
        <v>105600</v>
      </c>
      <c r="DT65" s="130">
        <f t="shared" si="89"/>
        <v>5.6000000000000001E-2</v>
      </c>
      <c r="DU65" s="128">
        <f t="shared" si="90"/>
        <v>110528</v>
      </c>
      <c r="DV65" s="128" t="str">
        <f t="shared" si="91"/>
        <v>nie</v>
      </c>
      <c r="DW65" s="128">
        <f t="shared" si="92"/>
        <v>3000</v>
      </c>
      <c r="DX65" s="128">
        <f t="shared" si="93"/>
        <v>106097.68</v>
      </c>
      <c r="DY65" s="128">
        <f t="shared" si="94"/>
        <v>0</v>
      </c>
      <c r="DZ65" s="130">
        <f t="shared" si="95"/>
        <v>3.5999999999999997E-2</v>
      </c>
      <c r="EA65" s="128">
        <f t="shared" si="96"/>
        <v>0</v>
      </c>
      <c r="EB65" s="128">
        <f t="shared" si="97"/>
        <v>106097.68</v>
      </c>
    </row>
    <row r="66" spans="1:137">
      <c r="A66" s="212"/>
      <c r="B66" s="188">
        <f t="shared" si="98"/>
        <v>22</v>
      </c>
      <c r="C66" s="128">
        <f t="shared" si="99"/>
        <v>105743.70392505353</v>
      </c>
      <c r="D66" s="128">
        <f t="shared" si="100"/>
        <v>105392.44925552378</v>
      </c>
      <c r="E66" s="128">
        <f t="shared" si="101"/>
        <v>105854.68</v>
      </c>
      <c r="F66" s="128">
        <f t="shared" si="102"/>
        <v>105427.02326276878</v>
      </c>
      <c r="G66" s="128">
        <f t="shared" si="103"/>
        <v>105530.17375000002</v>
      </c>
      <c r="H66" s="128">
        <f t="shared" si="104"/>
        <v>106044.625</v>
      </c>
      <c r="I66" s="128">
        <f t="shared" si="105"/>
        <v>106097.68</v>
      </c>
      <c r="J66" s="128">
        <f t="shared" si="106"/>
        <v>105484.63865217552</v>
      </c>
      <c r="K66" s="128">
        <f t="shared" si="107"/>
        <v>105763.41666666666</v>
      </c>
      <c r="M66" s="36"/>
      <c r="N66" s="32">
        <f t="shared" si="108"/>
        <v>22</v>
      </c>
      <c r="O66" s="25">
        <f t="shared" si="109"/>
        <v>5.7437039250535227E-2</v>
      </c>
      <c r="P66" s="25">
        <f t="shared" si="110"/>
        <v>5.3924492555237791E-2</v>
      </c>
      <c r="Q66" s="25">
        <f t="shared" si="111"/>
        <v>5.854680000000001E-2</v>
      </c>
      <c r="R66" s="25">
        <f t="shared" si="30"/>
        <v>5.427023262768782E-2</v>
      </c>
      <c r="S66" s="25">
        <f t="shared" si="31"/>
        <v>5.5301737500000225E-2</v>
      </c>
      <c r="T66" s="25">
        <f t="shared" si="32"/>
        <v>6.0446250000000035E-2</v>
      </c>
      <c r="U66" s="25">
        <f t="shared" si="33"/>
        <v>6.0976799999999942E-2</v>
      </c>
      <c r="V66" s="25">
        <f t="shared" si="34"/>
        <v>5.4846386521755219E-2</v>
      </c>
      <c r="W66" s="25">
        <f t="shared" si="112"/>
        <v>5.7634166666666653E-2</v>
      </c>
      <c r="X66" s="36"/>
      <c r="Y66" s="36"/>
      <c r="AA66" s="124">
        <f t="shared" si="113"/>
        <v>23</v>
      </c>
      <c r="AB66" s="128">
        <f t="shared" si="35"/>
        <v>106029.75833333333</v>
      </c>
      <c r="AC66" s="124">
        <f t="shared" si="114"/>
        <v>23</v>
      </c>
      <c r="AD66" s="130">
        <f t="shared" si="115"/>
        <v>3.7499999999999999E-2</v>
      </c>
      <c r="AE66" s="127">
        <f t="shared" si="116"/>
        <v>1034</v>
      </c>
      <c r="AF66" s="128">
        <f t="shared" si="117"/>
        <v>103299.70000000001</v>
      </c>
      <c r="AG66" s="128">
        <f t="shared" si="140"/>
        <v>103400</v>
      </c>
      <c r="AH66" s="128">
        <f t="shared" si="118"/>
        <v>103400</v>
      </c>
      <c r="AI66" s="130">
        <f t="shared" si="36"/>
        <v>3.7499999999999999E-2</v>
      </c>
      <c r="AJ66" s="128">
        <f t="shared" si="37"/>
        <v>103723.125</v>
      </c>
      <c r="AK66" s="128" t="str">
        <f t="shared" si="38"/>
        <v>nie</v>
      </c>
      <c r="AL66" s="128">
        <f t="shared" si="39"/>
        <v>517</v>
      </c>
      <c r="AM66" s="128">
        <f t="shared" si="150"/>
        <v>103242.96124999999</v>
      </c>
      <c r="AN66" s="128">
        <f t="shared" si="41"/>
        <v>261.73125000000005</v>
      </c>
      <c r="AO66" s="130">
        <f t="shared" si="42"/>
        <v>3.5999999999999997E-2</v>
      </c>
      <c r="AP66" s="128">
        <f t="shared" si="43"/>
        <v>3030.9179866914237</v>
      </c>
      <c r="AQ66" s="128">
        <f t="shared" si="156"/>
        <v>106012.14798669142</v>
      </c>
      <c r="AS66" s="124">
        <f t="shared" si="119"/>
        <v>23</v>
      </c>
      <c r="AT66" s="130">
        <f t="shared" si="120"/>
        <v>3.7499999999999999E-2</v>
      </c>
      <c r="AU66" s="127">
        <f t="shared" si="121"/>
        <v>1000</v>
      </c>
      <c r="AV66" s="128">
        <f t="shared" si="122"/>
        <v>100000</v>
      </c>
      <c r="AW66" s="128">
        <f t="shared" si="151"/>
        <v>100000</v>
      </c>
      <c r="AX66" s="128">
        <f t="shared" si="123"/>
        <v>100000</v>
      </c>
      <c r="AY66" s="130">
        <f t="shared" si="45"/>
        <v>3.9E-2</v>
      </c>
      <c r="AZ66" s="128">
        <f t="shared" si="46"/>
        <v>100325</v>
      </c>
      <c r="BA66" s="128" t="str">
        <f t="shared" si="47"/>
        <v>nie</v>
      </c>
      <c r="BB66" s="128">
        <f t="shared" si="48"/>
        <v>700</v>
      </c>
      <c r="BC66" s="128">
        <f t="shared" si="152"/>
        <v>99696.25</v>
      </c>
      <c r="BD66" s="128">
        <f t="shared" si="50"/>
        <v>263.25</v>
      </c>
      <c r="BE66" s="130">
        <f t="shared" si="51"/>
        <v>3.5999999999999997E-2</v>
      </c>
      <c r="BF66" s="128">
        <f t="shared" si="52"/>
        <v>6237.1807172147001</v>
      </c>
      <c r="BG66" s="128">
        <f t="shared" si="157"/>
        <v>105670.18071721469</v>
      </c>
      <c r="BI66" s="124">
        <f t="shared" si="124"/>
        <v>23</v>
      </c>
      <c r="BJ66" s="130">
        <f t="shared" si="148"/>
        <v>3.9100000000000003E-2</v>
      </c>
      <c r="BK66" s="127">
        <f t="shared" si="125"/>
        <v>1000</v>
      </c>
      <c r="BL66" s="128">
        <f t="shared" si="126"/>
        <v>100000</v>
      </c>
      <c r="BM66" s="128">
        <f t="shared" si="142"/>
        <v>100000</v>
      </c>
      <c r="BN66" s="128">
        <f t="shared" si="127"/>
        <v>104400</v>
      </c>
      <c r="BO66" s="130">
        <f t="shared" si="54"/>
        <v>4.3999999999999997E-2</v>
      </c>
      <c r="BP66" s="128">
        <f t="shared" si="55"/>
        <v>108610.8</v>
      </c>
      <c r="BQ66" s="128" t="str">
        <f t="shared" si="56"/>
        <v>nie</v>
      </c>
      <c r="BR66" s="128">
        <f t="shared" si="57"/>
        <v>1000</v>
      </c>
      <c r="BS66" s="128">
        <f t="shared" si="153"/>
        <v>106164.74800000001</v>
      </c>
      <c r="BT66" s="128">
        <f t="shared" si="128"/>
        <v>0</v>
      </c>
      <c r="BU66" s="130">
        <f t="shared" si="59"/>
        <v>3.5999999999999997E-2</v>
      </c>
      <c r="BV66" s="128">
        <f t="shared" si="60"/>
        <v>0</v>
      </c>
      <c r="BW66" s="128">
        <f t="shared" si="61"/>
        <v>106164.74800000001</v>
      </c>
      <c r="BY66" s="130">
        <f t="shared" si="149"/>
        <v>3.1E-2</v>
      </c>
      <c r="BZ66" s="127">
        <f t="shared" si="129"/>
        <v>1000</v>
      </c>
      <c r="CA66" s="128">
        <f t="shared" si="130"/>
        <v>100000</v>
      </c>
      <c r="CB66" s="128">
        <f t="shared" si="154"/>
        <v>100000</v>
      </c>
      <c r="CC66" s="128">
        <f t="shared" si="131"/>
        <v>100000</v>
      </c>
      <c r="CD66" s="130">
        <f t="shared" si="62"/>
        <v>4.5999999999999999E-2</v>
      </c>
      <c r="CE66" s="128">
        <f t="shared" si="63"/>
        <v>104216.66666666667</v>
      </c>
      <c r="CF66" s="128" t="str">
        <f t="shared" si="64"/>
        <v>nie</v>
      </c>
      <c r="CG66" s="128">
        <f t="shared" si="65"/>
        <v>2000</v>
      </c>
      <c r="CH66" s="128">
        <f t="shared" si="155"/>
        <v>101795.5</v>
      </c>
      <c r="CI66" s="128">
        <f t="shared" si="67"/>
        <v>0</v>
      </c>
      <c r="CJ66" s="130">
        <f t="shared" si="68"/>
        <v>3.5999999999999997E-2</v>
      </c>
      <c r="CK66" s="128">
        <f t="shared" si="69"/>
        <v>3951.6023792973124</v>
      </c>
      <c r="CL66" s="128">
        <f t="shared" si="70"/>
        <v>105747.10237929731</v>
      </c>
      <c r="CN66" s="127">
        <f t="shared" si="132"/>
        <v>1000</v>
      </c>
      <c r="CO66" s="128">
        <f t="shared" si="133"/>
        <v>100000</v>
      </c>
      <c r="CP66" s="128">
        <f t="shared" si="134"/>
        <v>100000</v>
      </c>
      <c r="CQ66" s="128">
        <f t="shared" si="135"/>
        <v>105350.00000000001</v>
      </c>
      <c r="CR66" s="130">
        <f t="shared" si="71"/>
        <v>5.1000000000000004E-2</v>
      </c>
      <c r="CS66" s="128">
        <f t="shared" si="72"/>
        <v>110275.11250000002</v>
      </c>
      <c r="CT66" s="128" t="str">
        <f t="shared" si="73"/>
        <v>nie</v>
      </c>
      <c r="CU66" s="128">
        <f t="shared" si="74"/>
        <v>3000</v>
      </c>
      <c r="CV66" s="128">
        <f t="shared" si="75"/>
        <v>105892.84112500002</v>
      </c>
      <c r="CW66" s="128">
        <f t="shared" si="76"/>
        <v>0</v>
      </c>
      <c r="CX66" s="130">
        <f t="shared" si="77"/>
        <v>3.5999999999999997E-2</v>
      </c>
      <c r="CY66" s="128">
        <f t="shared" si="78"/>
        <v>0</v>
      </c>
      <c r="CZ66" s="128">
        <f t="shared" si="79"/>
        <v>105892.84112500002</v>
      </c>
      <c r="DA66" s="20"/>
      <c r="DB66" s="127">
        <f t="shared" si="144"/>
        <v>1000</v>
      </c>
      <c r="DC66" s="128">
        <f t="shared" si="145"/>
        <v>100000</v>
      </c>
      <c r="DD66" s="128">
        <f t="shared" si="136"/>
        <v>100000</v>
      </c>
      <c r="DE66" s="128">
        <f t="shared" si="137"/>
        <v>105000</v>
      </c>
      <c r="DF66" s="130">
        <f t="shared" si="80"/>
        <v>5.1000000000000004E-2</v>
      </c>
      <c r="DG66" s="128">
        <f t="shared" si="81"/>
        <v>109908.75</v>
      </c>
      <c r="DH66" s="128" t="str">
        <f t="shared" si="82"/>
        <v>nie</v>
      </c>
      <c r="DI66" s="128">
        <f t="shared" si="83"/>
        <v>2000</v>
      </c>
      <c r="DJ66" s="128">
        <f t="shared" si="84"/>
        <v>106406.08749999999</v>
      </c>
      <c r="DK66" s="128">
        <f t="shared" si="85"/>
        <v>0</v>
      </c>
      <c r="DL66" s="130">
        <f t="shared" si="86"/>
        <v>3.5999999999999997E-2</v>
      </c>
      <c r="DM66" s="128">
        <f t="shared" si="87"/>
        <v>0</v>
      </c>
      <c r="DN66" s="128">
        <f t="shared" si="88"/>
        <v>106406.08749999999</v>
      </c>
      <c r="DP66" s="127">
        <f t="shared" si="146"/>
        <v>1000</v>
      </c>
      <c r="DQ66" s="128">
        <f t="shared" si="147"/>
        <v>100000</v>
      </c>
      <c r="DR66" s="128">
        <f t="shared" si="138"/>
        <v>100000</v>
      </c>
      <c r="DS66" s="128">
        <f t="shared" si="139"/>
        <v>105600</v>
      </c>
      <c r="DT66" s="130">
        <f t="shared" si="89"/>
        <v>5.6000000000000001E-2</v>
      </c>
      <c r="DU66" s="128">
        <f t="shared" si="90"/>
        <v>111020.79999999999</v>
      </c>
      <c r="DV66" s="128" t="str">
        <f t="shared" si="91"/>
        <v>nie</v>
      </c>
      <c r="DW66" s="128">
        <f t="shared" si="92"/>
        <v>3000</v>
      </c>
      <c r="DX66" s="128">
        <f t="shared" si="93"/>
        <v>106496.84799999998</v>
      </c>
      <c r="DY66" s="128">
        <f t="shared" si="94"/>
        <v>0</v>
      </c>
      <c r="DZ66" s="130">
        <f t="shared" si="95"/>
        <v>3.5999999999999997E-2</v>
      </c>
      <c r="EA66" s="128">
        <f t="shared" si="96"/>
        <v>0</v>
      </c>
      <c r="EB66" s="128">
        <f t="shared" si="97"/>
        <v>106496.84799999998</v>
      </c>
    </row>
    <row r="67" spans="1:137" ht="14.25" customHeight="1">
      <c r="A67" s="212"/>
      <c r="B67" s="188">
        <f t="shared" si="98"/>
        <v>23</v>
      </c>
      <c r="C67" s="128">
        <f t="shared" si="99"/>
        <v>106012.14798669142</v>
      </c>
      <c r="D67" s="128">
        <f t="shared" si="100"/>
        <v>105670.18071721469</v>
      </c>
      <c r="E67" s="128">
        <f t="shared" si="101"/>
        <v>106164.74800000001</v>
      </c>
      <c r="F67" s="128">
        <f t="shared" si="102"/>
        <v>105747.10237929731</v>
      </c>
      <c r="G67" s="128">
        <f t="shared" si="103"/>
        <v>105892.84112500002</v>
      </c>
      <c r="H67" s="128">
        <f t="shared" si="104"/>
        <v>106406.08749999999</v>
      </c>
      <c r="I67" s="128">
        <f t="shared" si="105"/>
        <v>106496.84799999998</v>
      </c>
      <c r="J67" s="128">
        <f t="shared" si="106"/>
        <v>105740.9663241003</v>
      </c>
      <c r="K67" s="128">
        <f t="shared" si="107"/>
        <v>106029.75833333333</v>
      </c>
      <c r="M67" s="36"/>
      <c r="N67" s="32">
        <f t="shared" si="108"/>
        <v>23</v>
      </c>
      <c r="O67" s="25">
        <f t="shared" si="109"/>
        <v>6.0121479866914074E-2</v>
      </c>
      <c r="P67" s="25">
        <f t="shared" si="110"/>
        <v>5.6701807172147012E-2</v>
      </c>
      <c r="Q67" s="25">
        <f t="shared" si="111"/>
        <v>6.1647479999999977E-2</v>
      </c>
      <c r="R67" s="25">
        <f t="shared" si="30"/>
        <v>5.7471023792973197E-2</v>
      </c>
      <c r="S67" s="25">
        <f t="shared" si="31"/>
        <v>5.8928411250000146E-2</v>
      </c>
      <c r="T67" s="25">
        <f t="shared" si="32"/>
        <v>6.4060875000000017E-2</v>
      </c>
      <c r="U67" s="25">
        <f t="shared" si="33"/>
        <v>6.4968479999999884E-2</v>
      </c>
      <c r="V67" s="25">
        <f t="shared" si="34"/>
        <v>5.7409663241003051E-2</v>
      </c>
      <c r="W67" s="25">
        <f t="shared" si="112"/>
        <v>6.0297583333333238E-2</v>
      </c>
      <c r="X67" s="36"/>
      <c r="Y67" s="36"/>
      <c r="AA67" s="124">
        <f t="shared" si="113"/>
        <v>24</v>
      </c>
      <c r="AB67" s="128">
        <f t="shared" si="35"/>
        <v>106296.09999999998</v>
      </c>
      <c r="AC67" s="124">
        <f t="shared" si="114"/>
        <v>24</v>
      </c>
      <c r="AD67" s="130">
        <f t="shared" si="115"/>
        <v>3.7499999999999999E-2</v>
      </c>
      <c r="AE67" s="127">
        <f t="shared" si="116"/>
        <v>1034</v>
      </c>
      <c r="AF67" s="128">
        <f t="shared" si="117"/>
        <v>103299.70000000001</v>
      </c>
      <c r="AG67" s="128">
        <f t="shared" si="140"/>
        <v>103400</v>
      </c>
      <c r="AH67" s="128">
        <f t="shared" si="118"/>
        <v>103400</v>
      </c>
      <c r="AI67" s="130">
        <f t="shared" si="36"/>
        <v>3.7499999999999999E-2</v>
      </c>
      <c r="AJ67" s="128">
        <f t="shared" si="37"/>
        <v>103723.125</v>
      </c>
      <c r="AK67" s="128" t="str">
        <f t="shared" si="38"/>
        <v>tak</v>
      </c>
      <c r="AL67" s="128">
        <f t="shared" si="39"/>
        <v>0</v>
      </c>
      <c r="AM67" s="128">
        <f>AJ67-AL67
-(AJ67-AG67-AL67)*podatek_Belki</f>
        <v>103661.73125</v>
      </c>
      <c r="AN67" s="128">
        <f t="shared" si="41"/>
        <v>365.53124999999415</v>
      </c>
      <c r="AO67" s="130">
        <f t="shared" si="42"/>
        <v>3.5999999999999997E-2</v>
      </c>
      <c r="AP67" s="128">
        <f t="shared" si="43"/>
        <v>3403.8143673990776</v>
      </c>
      <c r="AQ67" s="128">
        <f>AP66*(1+AO67/12*(1-podatek_Belki))+AM67</f>
        <v>106700.01436739908</v>
      </c>
      <c r="AS67" s="124">
        <f t="shared" si="119"/>
        <v>24</v>
      </c>
      <c r="AT67" s="130">
        <f t="shared" si="120"/>
        <v>3.7499999999999999E-2</v>
      </c>
      <c r="AU67" s="127">
        <f t="shared" si="121"/>
        <v>1000</v>
      </c>
      <c r="AV67" s="128">
        <f t="shared" si="122"/>
        <v>100000</v>
      </c>
      <c r="AW67" s="128">
        <f t="shared" si="151"/>
        <v>100000</v>
      </c>
      <c r="AX67" s="128">
        <f t="shared" si="123"/>
        <v>100000</v>
      </c>
      <c r="AY67" s="130">
        <f t="shared" si="45"/>
        <v>3.9E-2</v>
      </c>
      <c r="AZ67" s="128">
        <f t="shared" si="46"/>
        <v>100325</v>
      </c>
      <c r="BA67" s="128" t="str">
        <f t="shared" si="47"/>
        <v>tak</v>
      </c>
      <c r="BB67" s="128">
        <f t="shared" si="48"/>
        <v>0</v>
      </c>
      <c r="BC67" s="128">
        <f>AZ67-BB67
-(AZ67-AW67-BB67)*podatek_Belki</f>
        <v>100263.25</v>
      </c>
      <c r="BD67" s="128">
        <f t="shared" si="50"/>
        <v>363.64999999999429</v>
      </c>
      <c r="BE67" s="130">
        <f t="shared" si="51"/>
        <v>3.5999999999999997E-2</v>
      </c>
      <c r="BF67" s="128">
        <f t="shared" si="52"/>
        <v>6615.9870663575257</v>
      </c>
      <c r="BG67" s="128">
        <f>BF66*(1+BE67/12*(1-podatek_Belki))+BC67</f>
        <v>106515.58706635753</v>
      </c>
      <c r="BI67" s="124">
        <f t="shared" si="124"/>
        <v>24</v>
      </c>
      <c r="BJ67" s="130">
        <f t="shared" si="148"/>
        <v>3.9100000000000003E-2</v>
      </c>
      <c r="BK67" s="127">
        <f t="shared" si="125"/>
        <v>1000</v>
      </c>
      <c r="BL67" s="128">
        <f t="shared" si="126"/>
        <v>100000</v>
      </c>
      <c r="BM67" s="128">
        <f t="shared" si="142"/>
        <v>100000</v>
      </c>
      <c r="BN67" s="128">
        <f t="shared" si="127"/>
        <v>104400</v>
      </c>
      <c r="BO67" s="130">
        <f t="shared" si="54"/>
        <v>4.3999999999999997E-2</v>
      </c>
      <c r="BP67" s="128">
        <f t="shared" si="55"/>
        <v>108993.60000000001</v>
      </c>
      <c r="BQ67" s="128" t="str">
        <f t="shared" si="56"/>
        <v>nie</v>
      </c>
      <c r="BR67" s="128">
        <f t="shared" si="57"/>
        <v>1000</v>
      </c>
      <c r="BS67" s="128">
        <f t="shared" si="153"/>
        <v>106474.81600000001</v>
      </c>
      <c r="BT67" s="128">
        <f t="shared" si="128"/>
        <v>0</v>
      </c>
      <c r="BU67" s="130">
        <f t="shared" si="59"/>
        <v>3.5999999999999997E-2</v>
      </c>
      <c r="BV67" s="128">
        <f t="shared" si="60"/>
        <v>0</v>
      </c>
      <c r="BW67" s="128">
        <f t="shared" si="61"/>
        <v>106474.81600000001</v>
      </c>
      <c r="BY67" s="130">
        <f t="shared" si="149"/>
        <v>3.1E-2</v>
      </c>
      <c r="BZ67" s="127">
        <f t="shared" si="129"/>
        <v>1000</v>
      </c>
      <c r="CA67" s="128">
        <f t="shared" si="130"/>
        <v>100000</v>
      </c>
      <c r="CB67" s="128">
        <f t="shared" si="154"/>
        <v>100000</v>
      </c>
      <c r="CC67" s="128">
        <f t="shared" si="131"/>
        <v>100000</v>
      </c>
      <c r="CD67" s="130">
        <f t="shared" si="62"/>
        <v>4.5999999999999999E-2</v>
      </c>
      <c r="CE67" s="128">
        <f t="shared" si="63"/>
        <v>104600</v>
      </c>
      <c r="CF67" s="128" t="str">
        <f t="shared" si="64"/>
        <v>nie</v>
      </c>
      <c r="CG67" s="128">
        <f t="shared" si="65"/>
        <v>2000</v>
      </c>
      <c r="CH67" s="128">
        <f>CE67-CG67
-(CE67-CB67-CG67)*podatek_Belki</f>
        <v>102106</v>
      </c>
      <c r="CI67" s="128">
        <f t="shared" si="67"/>
        <v>3726.0000000000005</v>
      </c>
      <c r="CJ67" s="130">
        <f t="shared" si="68"/>
        <v>3.5999999999999997E-2</v>
      </c>
      <c r="CK67" s="128">
        <f t="shared" si="69"/>
        <v>7687.2047730790055</v>
      </c>
      <c r="CL67" s="128">
        <f t="shared" si="70"/>
        <v>106067.20477307901</v>
      </c>
      <c r="CN67" s="127">
        <f t="shared" si="132"/>
        <v>1000</v>
      </c>
      <c r="CO67" s="128">
        <f t="shared" si="133"/>
        <v>100000</v>
      </c>
      <c r="CP67" s="128">
        <f t="shared" si="134"/>
        <v>100000</v>
      </c>
      <c r="CQ67" s="128">
        <f t="shared" si="135"/>
        <v>105350.00000000001</v>
      </c>
      <c r="CR67" s="130">
        <f t="shared" si="71"/>
        <v>5.1000000000000004E-2</v>
      </c>
      <c r="CS67" s="128">
        <f t="shared" si="72"/>
        <v>110722.85</v>
      </c>
      <c r="CT67" s="128" t="str">
        <f t="shared" si="73"/>
        <v>nie</v>
      </c>
      <c r="CU67" s="128">
        <f t="shared" si="74"/>
        <v>3000</v>
      </c>
      <c r="CV67" s="128">
        <f t="shared" si="75"/>
        <v>106255.50850000001</v>
      </c>
      <c r="CW67" s="128">
        <f t="shared" si="76"/>
        <v>0</v>
      </c>
      <c r="CX67" s="130">
        <f t="shared" si="77"/>
        <v>3.5999999999999997E-2</v>
      </c>
      <c r="CY67" s="128">
        <f t="shared" si="78"/>
        <v>0</v>
      </c>
      <c r="CZ67" s="128">
        <f t="shared" si="79"/>
        <v>106255.50850000001</v>
      </c>
      <c r="DA67" s="20"/>
      <c r="DB67" s="127">
        <f t="shared" si="144"/>
        <v>1000</v>
      </c>
      <c r="DC67" s="128">
        <f t="shared" si="145"/>
        <v>100000</v>
      </c>
      <c r="DD67" s="128">
        <f t="shared" si="136"/>
        <v>100000</v>
      </c>
      <c r="DE67" s="128">
        <f t="shared" si="137"/>
        <v>105000</v>
      </c>
      <c r="DF67" s="130">
        <f t="shared" si="80"/>
        <v>5.1000000000000004E-2</v>
      </c>
      <c r="DG67" s="128">
        <f t="shared" si="81"/>
        <v>110355</v>
      </c>
      <c r="DH67" s="128" t="str">
        <f t="shared" si="82"/>
        <v>nie</v>
      </c>
      <c r="DI67" s="128">
        <f t="shared" si="83"/>
        <v>2000</v>
      </c>
      <c r="DJ67" s="128">
        <f t="shared" si="84"/>
        <v>106767.55</v>
      </c>
      <c r="DK67" s="128">
        <f t="shared" si="85"/>
        <v>0</v>
      </c>
      <c r="DL67" s="130">
        <f t="shared" si="86"/>
        <v>3.5999999999999997E-2</v>
      </c>
      <c r="DM67" s="128">
        <f t="shared" si="87"/>
        <v>0</v>
      </c>
      <c r="DN67" s="128">
        <f t="shared" si="88"/>
        <v>106767.55</v>
      </c>
      <c r="DP67" s="127">
        <f t="shared" si="146"/>
        <v>1000</v>
      </c>
      <c r="DQ67" s="128">
        <f t="shared" si="147"/>
        <v>100000</v>
      </c>
      <c r="DR67" s="128">
        <f t="shared" si="138"/>
        <v>100000</v>
      </c>
      <c r="DS67" s="128">
        <f t="shared" si="139"/>
        <v>105600</v>
      </c>
      <c r="DT67" s="130">
        <f t="shared" si="89"/>
        <v>5.6000000000000001E-2</v>
      </c>
      <c r="DU67" s="128">
        <f t="shared" si="90"/>
        <v>111513.60000000001</v>
      </c>
      <c r="DV67" s="128" t="str">
        <f t="shared" si="91"/>
        <v>nie</v>
      </c>
      <c r="DW67" s="128">
        <f t="shared" si="92"/>
        <v>3000</v>
      </c>
      <c r="DX67" s="128">
        <f t="shared" si="93"/>
        <v>106896.016</v>
      </c>
      <c r="DY67" s="128">
        <f t="shared" si="94"/>
        <v>0</v>
      </c>
      <c r="DZ67" s="130">
        <f t="shared" si="95"/>
        <v>3.5999999999999997E-2</v>
      </c>
      <c r="EA67" s="128">
        <f t="shared" si="96"/>
        <v>0</v>
      </c>
      <c r="EB67" s="128">
        <f t="shared" si="97"/>
        <v>106896.016</v>
      </c>
    </row>
    <row r="68" spans="1:137">
      <c r="A68" s="212"/>
      <c r="B68" s="188">
        <f t="shared" si="98"/>
        <v>24</v>
      </c>
      <c r="C68" s="128">
        <f t="shared" si="99"/>
        <v>106700.01436739908</v>
      </c>
      <c r="D68" s="128">
        <f t="shared" si="100"/>
        <v>106515.58706635753</v>
      </c>
      <c r="E68" s="128">
        <f t="shared" si="101"/>
        <v>106474.81600000001</v>
      </c>
      <c r="F68" s="128">
        <f t="shared" si="102"/>
        <v>106067.20477307901</v>
      </c>
      <c r="G68" s="128">
        <f t="shared" si="103"/>
        <v>106255.50850000001</v>
      </c>
      <c r="H68" s="128">
        <f t="shared" si="104"/>
        <v>106767.55</v>
      </c>
      <c r="I68" s="128">
        <f t="shared" si="105"/>
        <v>106896.016</v>
      </c>
      <c r="J68" s="128">
        <f t="shared" si="106"/>
        <v>105997.91687226786</v>
      </c>
      <c r="K68" s="128">
        <f t="shared" si="107"/>
        <v>106296.09999999998</v>
      </c>
      <c r="M68" s="36"/>
      <c r="N68" s="32">
        <f t="shared" si="108"/>
        <v>24</v>
      </c>
      <c r="O68" s="25">
        <f t="shared" si="109"/>
        <v>6.7000143673990875E-2</v>
      </c>
      <c r="P68" s="25">
        <f t="shared" si="110"/>
        <v>6.515587066357531E-2</v>
      </c>
      <c r="Q68" s="25">
        <f t="shared" si="111"/>
        <v>6.4748160000000166E-2</v>
      </c>
      <c r="R68" s="25">
        <f t="shared" si="30"/>
        <v>6.0672047730790046E-2</v>
      </c>
      <c r="S68" s="25">
        <f t="shared" si="31"/>
        <v>6.2555085000000066E-2</v>
      </c>
      <c r="T68" s="25">
        <f t="shared" si="32"/>
        <v>6.76755E-2</v>
      </c>
      <c r="U68" s="25">
        <f t="shared" si="33"/>
        <v>6.8960160000000048E-2</v>
      </c>
      <c r="V68" s="25">
        <f t="shared" si="34"/>
        <v>5.99791687226785E-2</v>
      </c>
      <c r="W68" s="25">
        <f t="shared" si="112"/>
        <v>6.2960999999999823E-2</v>
      </c>
      <c r="X68" s="36"/>
      <c r="Y68" s="36"/>
      <c r="AA68" s="124">
        <f t="shared" si="113"/>
        <v>25</v>
      </c>
      <c r="AB68" s="128">
        <f t="shared" si="35"/>
        <v>106570.69825833332</v>
      </c>
      <c r="AC68" s="124">
        <f t="shared" si="114"/>
        <v>25</v>
      </c>
      <c r="AD68" s="130">
        <f t="shared" si="115"/>
        <v>3.7499999999999999E-2</v>
      </c>
      <c r="AE68" s="127">
        <f t="shared" si="116"/>
        <v>1071</v>
      </c>
      <c r="AF68" s="128">
        <f t="shared" si="117"/>
        <v>106996.3</v>
      </c>
      <c r="AG68" s="128">
        <f t="shared" si="140"/>
        <v>107100</v>
      </c>
      <c r="AH68" s="128">
        <f t="shared" si="118"/>
        <v>107100</v>
      </c>
      <c r="AI68" s="130">
        <f t="shared" si="36"/>
        <v>0.04</v>
      </c>
      <c r="AJ68" s="128">
        <f t="shared" si="37"/>
        <v>107457.00000000001</v>
      </c>
      <c r="AK68" s="128" t="str">
        <f t="shared" si="38"/>
        <v>nie</v>
      </c>
      <c r="AL68" s="128">
        <f t="shared" si="39"/>
        <v>357.00000000001455</v>
      </c>
      <c r="AM68" s="128">
        <f t="shared" si="150"/>
        <v>107100</v>
      </c>
      <c r="AN68" s="128">
        <f t="shared" si="41"/>
        <v>289.17000000001178</v>
      </c>
      <c r="AO68" s="130">
        <f t="shared" si="42"/>
        <v>3.5999999999999997E-2</v>
      </c>
      <c r="AP68" s="128">
        <f t="shared" si="43"/>
        <v>292.99363631186912</v>
      </c>
      <c r="AQ68" s="128">
        <f t="shared" si="156"/>
        <v>110512.08563631185</v>
      </c>
      <c r="AS68" s="124">
        <f t="shared" si="119"/>
        <v>25</v>
      </c>
      <c r="AT68" s="130">
        <f t="shared" si="120"/>
        <v>3.7499999999999999E-2</v>
      </c>
      <c r="AU68" s="127">
        <f t="shared" si="121"/>
        <v>1069</v>
      </c>
      <c r="AV68" s="128">
        <f t="shared" si="122"/>
        <v>106799.70000000001</v>
      </c>
      <c r="AW68" s="128">
        <f t="shared" si="151"/>
        <v>106900</v>
      </c>
      <c r="AX68" s="128">
        <f t="shared" si="123"/>
        <v>106900</v>
      </c>
      <c r="AY68" s="130">
        <f t="shared" si="45"/>
        <v>4.1500000000000002E-2</v>
      </c>
      <c r="AZ68" s="128">
        <f t="shared" si="46"/>
        <v>107269.69583333333</v>
      </c>
      <c r="BA68" s="128" t="str">
        <f t="shared" si="47"/>
        <v>nie</v>
      </c>
      <c r="BB68" s="128">
        <f t="shared" si="48"/>
        <v>369.69583333333139</v>
      </c>
      <c r="BC68" s="128">
        <f t="shared" ref="BC68:BC131" si="158">AZ68-BB68
-(AZ68-AW68-BB68)*podatek_Belki</f>
        <v>106900</v>
      </c>
      <c r="BD68" s="128">
        <f t="shared" si="50"/>
        <v>299.45362499999845</v>
      </c>
      <c r="BE68" s="130">
        <f t="shared" si="51"/>
        <v>3.5999999999999997E-2</v>
      </c>
      <c r="BF68" s="128">
        <f t="shared" si="52"/>
        <v>315.47953992877291</v>
      </c>
      <c r="BG68" s="128">
        <f t="shared" ref="BG68:BG131" si="159">BF67*(1+BE68/12*(1-podatek_Belki))+BC68</f>
        <v>113532.06391492877</v>
      </c>
      <c r="BI68" s="124">
        <f t="shared" si="124"/>
        <v>25</v>
      </c>
      <c r="BJ68" s="130">
        <f t="shared" si="148"/>
        <v>3.9100000000000003E-2</v>
      </c>
      <c r="BK68" s="127">
        <f t="shared" si="125"/>
        <v>1000</v>
      </c>
      <c r="BL68" s="128">
        <f t="shared" si="126"/>
        <v>100000</v>
      </c>
      <c r="BM68" s="128">
        <f t="shared" si="142"/>
        <v>100000</v>
      </c>
      <c r="BN68" s="128">
        <f t="shared" si="127"/>
        <v>108993.60000000001</v>
      </c>
      <c r="BO68" s="130">
        <f t="shared" si="54"/>
        <v>4.3999999999999997E-2</v>
      </c>
      <c r="BP68" s="128">
        <f t="shared" si="55"/>
        <v>109393.24320000001</v>
      </c>
      <c r="BQ68" s="128" t="str">
        <f t="shared" si="56"/>
        <v>nie</v>
      </c>
      <c r="BR68" s="128">
        <f t="shared" si="57"/>
        <v>1000</v>
      </c>
      <c r="BS68" s="128">
        <f t="shared" si="153"/>
        <v>106798.52699200001</v>
      </c>
      <c r="BT68" s="128">
        <f>IF(AND(BQ68="tak",BL69&lt;&gt;""),
 BS68-BL69,
0)</f>
        <v>0</v>
      </c>
      <c r="BU68" s="130">
        <f t="shared" si="59"/>
        <v>3.5999999999999997E-2</v>
      </c>
      <c r="BV68" s="128">
        <f t="shared" si="60"/>
        <v>0</v>
      </c>
      <c r="BW68" s="128">
        <f t="shared" si="61"/>
        <v>106798.52699200001</v>
      </c>
      <c r="BY68" s="130">
        <f t="shared" si="149"/>
        <v>3.1E-2</v>
      </c>
      <c r="BZ68" s="127">
        <f t="shared" si="129"/>
        <v>1000</v>
      </c>
      <c r="CA68" s="128">
        <f t="shared" si="130"/>
        <v>100000</v>
      </c>
      <c r="CB68" s="128">
        <f t="shared" si="154"/>
        <v>100000</v>
      </c>
      <c r="CC68" s="128">
        <f t="shared" si="131"/>
        <v>100000</v>
      </c>
      <c r="CD68" s="130">
        <f t="shared" si="62"/>
        <v>4.5999999999999999E-2</v>
      </c>
      <c r="CE68" s="128">
        <f t="shared" si="63"/>
        <v>100383.33333333333</v>
      </c>
      <c r="CF68" s="128" t="str">
        <f t="shared" si="64"/>
        <v>nie</v>
      </c>
      <c r="CG68" s="128">
        <f t="shared" si="65"/>
        <v>2000</v>
      </c>
      <c r="CH68" s="128">
        <f t="shared" ref="CH68:CH131" si="160">CE68-CG68
-(CE68-CB68-CG68)*podatek_Belki</f>
        <v>98690.5</v>
      </c>
      <c r="CI68" s="128">
        <f t="shared" si="67"/>
        <v>0</v>
      </c>
      <c r="CJ68" s="130">
        <f t="shared" si="68"/>
        <v>3.5999999999999997E-2</v>
      </c>
      <c r="CK68" s="128">
        <f t="shared" si="69"/>
        <v>7705.8846806775873</v>
      </c>
      <c r="CL68" s="128">
        <f t="shared" si="70"/>
        <v>106396.38468067758</v>
      </c>
      <c r="CN68" s="127">
        <f t="shared" si="132"/>
        <v>1000</v>
      </c>
      <c r="CO68" s="128">
        <f t="shared" si="133"/>
        <v>100000</v>
      </c>
      <c r="CP68" s="128">
        <f t="shared" si="134"/>
        <v>100000</v>
      </c>
      <c r="CQ68" s="128">
        <f t="shared" si="135"/>
        <v>110722.85</v>
      </c>
      <c r="CR68" s="130">
        <f t="shared" si="71"/>
        <v>5.1000000000000004E-2</v>
      </c>
      <c r="CS68" s="128">
        <f t="shared" si="72"/>
        <v>111193.42211250002</v>
      </c>
      <c r="CT68" s="128" t="str">
        <f t="shared" si="73"/>
        <v>nie</v>
      </c>
      <c r="CU68" s="128">
        <f t="shared" si="74"/>
        <v>3000</v>
      </c>
      <c r="CV68" s="128">
        <f t="shared" si="75"/>
        <v>106636.67191112501</v>
      </c>
      <c r="CW68" s="128">
        <f t="shared" si="76"/>
        <v>0</v>
      </c>
      <c r="CX68" s="130">
        <f t="shared" si="77"/>
        <v>3.5999999999999997E-2</v>
      </c>
      <c r="CY68" s="128">
        <f t="shared" si="78"/>
        <v>0</v>
      </c>
      <c r="CZ68" s="128">
        <f t="shared" si="79"/>
        <v>106636.67191112501</v>
      </c>
      <c r="DA68" s="20"/>
      <c r="DB68" s="127">
        <f t="shared" si="144"/>
        <v>1000</v>
      </c>
      <c r="DC68" s="128">
        <f t="shared" si="145"/>
        <v>100000</v>
      </c>
      <c r="DD68" s="128">
        <f t="shared" si="136"/>
        <v>100000</v>
      </c>
      <c r="DE68" s="128">
        <f t="shared" si="137"/>
        <v>110355</v>
      </c>
      <c r="DF68" s="130">
        <f t="shared" si="80"/>
        <v>5.1000000000000004E-2</v>
      </c>
      <c r="DG68" s="128">
        <f t="shared" si="81"/>
        <v>110824.00875000001</v>
      </c>
      <c r="DH68" s="128" t="str">
        <f t="shared" si="82"/>
        <v>nie</v>
      </c>
      <c r="DI68" s="128">
        <f t="shared" si="83"/>
        <v>2000</v>
      </c>
      <c r="DJ68" s="128">
        <f t="shared" si="84"/>
        <v>107147.44708750001</v>
      </c>
      <c r="DK68" s="128">
        <f t="shared" si="85"/>
        <v>0</v>
      </c>
      <c r="DL68" s="130">
        <f t="shared" si="86"/>
        <v>3.5999999999999997E-2</v>
      </c>
      <c r="DM68" s="128">
        <f t="shared" si="87"/>
        <v>0</v>
      </c>
      <c r="DN68" s="128">
        <f t="shared" si="88"/>
        <v>107147.44708750001</v>
      </c>
      <c r="DP68" s="127">
        <f t="shared" si="146"/>
        <v>1000</v>
      </c>
      <c r="DQ68" s="128">
        <f t="shared" si="147"/>
        <v>100000</v>
      </c>
      <c r="DR68" s="128">
        <f t="shared" si="138"/>
        <v>100000</v>
      </c>
      <c r="DS68" s="128">
        <f t="shared" si="139"/>
        <v>111513.60000000001</v>
      </c>
      <c r="DT68" s="130">
        <f t="shared" si="89"/>
        <v>5.6000000000000001E-2</v>
      </c>
      <c r="DU68" s="128">
        <f t="shared" si="90"/>
        <v>112033.99679999999</v>
      </c>
      <c r="DV68" s="128" t="str">
        <f t="shared" si="91"/>
        <v>nie</v>
      </c>
      <c r="DW68" s="128">
        <f t="shared" si="92"/>
        <v>3000</v>
      </c>
      <c r="DX68" s="128">
        <f t="shared" si="93"/>
        <v>107317.53740799999</v>
      </c>
      <c r="DY68" s="128">
        <f t="shared" si="94"/>
        <v>0</v>
      </c>
      <c r="DZ68" s="130">
        <f t="shared" si="95"/>
        <v>3.5999999999999997E-2</v>
      </c>
      <c r="EA68" s="128">
        <f t="shared" si="96"/>
        <v>0</v>
      </c>
      <c r="EB68" s="128">
        <f t="shared" si="97"/>
        <v>107317.53740799999</v>
      </c>
    </row>
    <row r="69" spans="1:137">
      <c r="A69" s="212">
        <f>ROUNDUP(B80/12,0)</f>
        <v>3</v>
      </c>
      <c r="B69" s="188">
        <f t="shared" si="98"/>
        <v>25</v>
      </c>
      <c r="C69" s="128">
        <f t="shared" si="99"/>
        <v>110512.08563631185</v>
      </c>
      <c r="D69" s="128">
        <f t="shared" si="100"/>
        <v>113532.06391492877</v>
      </c>
      <c r="E69" s="128">
        <f t="shared" si="101"/>
        <v>106798.52699200001</v>
      </c>
      <c r="F69" s="128">
        <f t="shared" si="102"/>
        <v>106396.38468067758</v>
      </c>
      <c r="G69" s="128">
        <f t="shared" si="103"/>
        <v>106636.67191112501</v>
      </c>
      <c r="H69" s="128">
        <f t="shared" si="104"/>
        <v>107147.44708750001</v>
      </c>
      <c r="I69" s="128">
        <f t="shared" si="105"/>
        <v>107317.53740799999</v>
      </c>
      <c r="J69" s="128">
        <f t="shared" si="106"/>
        <v>106255.49181026746</v>
      </c>
      <c r="K69" s="128">
        <f t="shared" si="107"/>
        <v>106570.69825833332</v>
      </c>
      <c r="M69" s="36"/>
      <c r="N69" s="32">
        <f t="shared" si="108"/>
        <v>25</v>
      </c>
      <c r="O69" s="25">
        <f t="shared" si="109"/>
        <v>0.10512085636311852</v>
      </c>
      <c r="P69" s="25">
        <f t="shared" si="110"/>
        <v>0.13532063914928782</v>
      </c>
      <c r="Q69" s="25">
        <f t="shared" si="111"/>
        <v>6.7985269920000091E-2</v>
      </c>
      <c r="R69" s="25">
        <f t="shared" si="30"/>
        <v>6.3963846806775804E-2</v>
      </c>
      <c r="S69" s="25">
        <f t="shared" si="31"/>
        <v>6.6366719111250028E-2</v>
      </c>
      <c r="T69" s="25">
        <f t="shared" si="32"/>
        <v>7.147447087500014E-2</v>
      </c>
      <c r="U69" s="25">
        <f t="shared" si="33"/>
        <v>7.3175374079999855E-2</v>
      </c>
      <c r="V69" s="25">
        <f t="shared" si="34"/>
        <v>6.255491810267455E-2</v>
      </c>
      <c r="W69" s="25">
        <f t="shared" si="112"/>
        <v>6.5706982583333184E-2</v>
      </c>
      <c r="X69" s="36"/>
      <c r="Y69" s="36"/>
      <c r="AA69" s="124">
        <f t="shared" si="113"/>
        <v>26</v>
      </c>
      <c r="AB69" s="128">
        <f t="shared" si="35"/>
        <v>106845.29651666665</v>
      </c>
      <c r="AC69" s="124">
        <f t="shared" si="114"/>
        <v>26</v>
      </c>
      <c r="AD69" s="130">
        <f t="shared" si="115"/>
        <v>3.7499999999999999E-2</v>
      </c>
      <c r="AE69" s="127">
        <f t="shared" si="116"/>
        <v>1071</v>
      </c>
      <c r="AF69" s="128">
        <f t="shared" si="117"/>
        <v>106996.3</v>
      </c>
      <c r="AG69" s="128">
        <f t="shared" si="140"/>
        <v>107100</v>
      </c>
      <c r="AH69" s="128">
        <f t="shared" si="118"/>
        <v>107100</v>
      </c>
      <c r="AI69" s="130">
        <f t="shared" si="36"/>
        <v>3.7499999999999999E-2</v>
      </c>
      <c r="AJ69" s="128">
        <f t="shared" si="37"/>
        <v>107434.6875</v>
      </c>
      <c r="AK69" s="128" t="str">
        <f t="shared" si="38"/>
        <v>nie</v>
      </c>
      <c r="AL69" s="128">
        <f t="shared" si="39"/>
        <v>535.5</v>
      </c>
      <c r="AM69" s="128">
        <f t="shared" si="150"/>
        <v>106937.341875</v>
      </c>
      <c r="AN69" s="128">
        <f t="shared" si="41"/>
        <v>271.09687500000001</v>
      </c>
      <c r="AO69" s="130">
        <f t="shared" si="42"/>
        <v>3.5999999999999997E-2</v>
      </c>
      <c r="AP69" s="128">
        <f t="shared" si="43"/>
        <v>564.80248584810693</v>
      </c>
      <c r="AQ69" s="128">
        <f t="shared" si="156"/>
        <v>107231.0474858481</v>
      </c>
      <c r="AS69" s="124">
        <f t="shared" si="119"/>
        <v>26</v>
      </c>
      <c r="AT69" s="130">
        <f t="shared" si="120"/>
        <v>3.7499999999999999E-2</v>
      </c>
      <c r="AU69" s="127">
        <f t="shared" si="121"/>
        <v>1069</v>
      </c>
      <c r="AV69" s="128">
        <f t="shared" si="122"/>
        <v>106799.70000000001</v>
      </c>
      <c r="AW69" s="128">
        <f t="shared" si="151"/>
        <v>106900</v>
      </c>
      <c r="AX69" s="128">
        <f t="shared" si="123"/>
        <v>106900</v>
      </c>
      <c r="AY69" s="130">
        <f t="shared" si="45"/>
        <v>3.9E-2</v>
      </c>
      <c r="AZ69" s="128">
        <f t="shared" si="46"/>
        <v>107247.425</v>
      </c>
      <c r="BA69" s="128" t="str">
        <f t="shared" si="47"/>
        <v>nie</v>
      </c>
      <c r="BB69" s="128">
        <f t="shared" si="48"/>
        <v>748.3</v>
      </c>
      <c r="BC69" s="128">
        <f t="shared" si="158"/>
        <v>106575.29124999999</v>
      </c>
      <c r="BD69" s="128">
        <f t="shared" si="50"/>
        <v>281.41425000000237</v>
      </c>
      <c r="BE69" s="130">
        <f t="shared" si="51"/>
        <v>3.5999999999999997E-2</v>
      </c>
      <c r="BF69" s="128">
        <f t="shared" si="52"/>
        <v>597.6604052108022</v>
      </c>
      <c r="BG69" s="128">
        <f t="shared" si="159"/>
        <v>106891.53740521079</v>
      </c>
      <c r="BI69" s="124">
        <f t="shared" si="124"/>
        <v>26</v>
      </c>
      <c r="BJ69" s="130">
        <f t="shared" si="148"/>
        <v>3.9100000000000003E-2</v>
      </c>
      <c r="BK69" s="127">
        <f t="shared" si="125"/>
        <v>1000</v>
      </c>
      <c r="BL69" s="128">
        <f t="shared" si="126"/>
        <v>100000</v>
      </c>
      <c r="BM69" s="128">
        <f t="shared" si="142"/>
        <v>100000</v>
      </c>
      <c r="BN69" s="128">
        <f t="shared" si="127"/>
        <v>108993.60000000001</v>
      </c>
      <c r="BO69" s="130">
        <f t="shared" si="54"/>
        <v>4.3999999999999997E-2</v>
      </c>
      <c r="BP69" s="128">
        <f t="shared" si="55"/>
        <v>109792.88640000002</v>
      </c>
      <c r="BQ69" s="128" t="str">
        <f t="shared" si="56"/>
        <v>nie</v>
      </c>
      <c r="BR69" s="128">
        <f t="shared" si="57"/>
        <v>1000</v>
      </c>
      <c r="BS69" s="128">
        <f t="shared" si="153"/>
        <v>107122.23798400002</v>
      </c>
      <c r="BT69" s="128">
        <f t="shared" si="128"/>
        <v>0</v>
      </c>
      <c r="BU69" s="130">
        <f t="shared" si="59"/>
        <v>3.5999999999999997E-2</v>
      </c>
      <c r="BV69" s="128">
        <f t="shared" si="60"/>
        <v>0</v>
      </c>
      <c r="BW69" s="128">
        <f t="shared" si="61"/>
        <v>107122.23798400002</v>
      </c>
      <c r="BY69" s="130">
        <f t="shared" si="149"/>
        <v>3.1E-2</v>
      </c>
      <c r="BZ69" s="127">
        <f t="shared" si="129"/>
        <v>1000</v>
      </c>
      <c r="CA69" s="128">
        <f t="shared" si="130"/>
        <v>100000</v>
      </c>
      <c r="CB69" s="128">
        <f t="shared" si="154"/>
        <v>100000</v>
      </c>
      <c r="CC69" s="128">
        <f t="shared" si="131"/>
        <v>100000</v>
      </c>
      <c r="CD69" s="130">
        <f t="shared" si="62"/>
        <v>4.5999999999999999E-2</v>
      </c>
      <c r="CE69" s="128">
        <f t="shared" si="63"/>
        <v>100766.66666666667</v>
      </c>
      <c r="CF69" s="128" t="str">
        <f t="shared" si="64"/>
        <v>nie</v>
      </c>
      <c r="CG69" s="128">
        <f t="shared" si="65"/>
        <v>2000</v>
      </c>
      <c r="CH69" s="128">
        <f t="shared" si="160"/>
        <v>99001</v>
      </c>
      <c r="CI69" s="128">
        <f t="shared" si="67"/>
        <v>0</v>
      </c>
      <c r="CJ69" s="130">
        <f t="shared" si="68"/>
        <v>3.5999999999999997E-2</v>
      </c>
      <c r="CK69" s="128">
        <f t="shared" si="69"/>
        <v>7724.6099804516334</v>
      </c>
      <c r="CL69" s="128">
        <f t="shared" si="70"/>
        <v>106725.60998045163</v>
      </c>
      <c r="CN69" s="127">
        <f t="shared" si="132"/>
        <v>1000</v>
      </c>
      <c r="CO69" s="128">
        <f t="shared" si="133"/>
        <v>100000</v>
      </c>
      <c r="CP69" s="128">
        <f t="shared" si="134"/>
        <v>100000</v>
      </c>
      <c r="CQ69" s="128">
        <f t="shared" si="135"/>
        <v>110722.85</v>
      </c>
      <c r="CR69" s="130">
        <f t="shared" si="71"/>
        <v>5.1000000000000004E-2</v>
      </c>
      <c r="CS69" s="128">
        <f t="shared" si="72"/>
        <v>111663.994225</v>
      </c>
      <c r="CT69" s="128" t="str">
        <f t="shared" si="73"/>
        <v>nie</v>
      </c>
      <c r="CU69" s="128">
        <f t="shared" si="74"/>
        <v>3000</v>
      </c>
      <c r="CV69" s="128">
        <f t="shared" si="75"/>
        <v>107017.83532225</v>
      </c>
      <c r="CW69" s="128">
        <f t="shared" si="76"/>
        <v>0</v>
      </c>
      <c r="CX69" s="130">
        <f t="shared" si="77"/>
        <v>3.5999999999999997E-2</v>
      </c>
      <c r="CY69" s="128">
        <f t="shared" si="78"/>
        <v>0</v>
      </c>
      <c r="CZ69" s="128">
        <f t="shared" si="79"/>
        <v>107017.83532225</v>
      </c>
      <c r="DA69" s="20"/>
      <c r="DB69" s="127">
        <f t="shared" si="144"/>
        <v>1000</v>
      </c>
      <c r="DC69" s="128">
        <f t="shared" si="145"/>
        <v>100000</v>
      </c>
      <c r="DD69" s="128">
        <f t="shared" si="136"/>
        <v>100000</v>
      </c>
      <c r="DE69" s="128">
        <f t="shared" si="137"/>
        <v>110355</v>
      </c>
      <c r="DF69" s="130">
        <f t="shared" si="80"/>
        <v>5.1000000000000004E-2</v>
      </c>
      <c r="DG69" s="128">
        <f t="shared" si="81"/>
        <v>111293.0175</v>
      </c>
      <c r="DH69" s="128" t="str">
        <f t="shared" si="82"/>
        <v>nie</v>
      </c>
      <c r="DI69" s="128">
        <f t="shared" si="83"/>
        <v>2000</v>
      </c>
      <c r="DJ69" s="128">
        <f t="shared" si="84"/>
        <v>107527.34417500001</v>
      </c>
      <c r="DK69" s="128">
        <f t="shared" si="85"/>
        <v>0</v>
      </c>
      <c r="DL69" s="130">
        <f t="shared" si="86"/>
        <v>3.5999999999999997E-2</v>
      </c>
      <c r="DM69" s="128">
        <f t="shared" si="87"/>
        <v>0</v>
      </c>
      <c r="DN69" s="128">
        <f t="shared" si="88"/>
        <v>107527.34417500001</v>
      </c>
      <c r="DP69" s="127">
        <f t="shared" si="146"/>
        <v>1000</v>
      </c>
      <c r="DQ69" s="128">
        <f t="shared" si="147"/>
        <v>100000</v>
      </c>
      <c r="DR69" s="128">
        <f t="shared" si="138"/>
        <v>100000</v>
      </c>
      <c r="DS69" s="128">
        <f t="shared" si="139"/>
        <v>111513.60000000001</v>
      </c>
      <c r="DT69" s="130">
        <f t="shared" si="89"/>
        <v>5.6000000000000001E-2</v>
      </c>
      <c r="DU69" s="128">
        <f t="shared" si="90"/>
        <v>112554.39360000001</v>
      </c>
      <c r="DV69" s="128" t="str">
        <f t="shared" si="91"/>
        <v>nie</v>
      </c>
      <c r="DW69" s="128">
        <f t="shared" si="92"/>
        <v>3000</v>
      </c>
      <c r="DX69" s="128">
        <f t="shared" si="93"/>
        <v>107739.058816</v>
      </c>
      <c r="DY69" s="128">
        <f t="shared" si="94"/>
        <v>0</v>
      </c>
      <c r="DZ69" s="130">
        <f t="shared" si="95"/>
        <v>3.5999999999999997E-2</v>
      </c>
      <c r="EA69" s="128">
        <f t="shared" si="96"/>
        <v>0</v>
      </c>
      <c r="EB69" s="128">
        <f t="shared" si="97"/>
        <v>107739.058816</v>
      </c>
    </row>
    <row r="70" spans="1:137">
      <c r="A70" s="212"/>
      <c r="B70" s="188">
        <f t="shared" si="98"/>
        <v>26</v>
      </c>
      <c r="C70" s="128">
        <f t="shared" si="99"/>
        <v>107231.0474858481</v>
      </c>
      <c r="D70" s="128">
        <f t="shared" si="100"/>
        <v>106891.53740521079</v>
      </c>
      <c r="E70" s="128">
        <f t="shared" si="101"/>
        <v>107122.23798400002</v>
      </c>
      <c r="F70" s="128">
        <f t="shared" si="102"/>
        <v>106725.60998045163</v>
      </c>
      <c r="G70" s="128">
        <f t="shared" si="103"/>
        <v>107017.83532225</v>
      </c>
      <c r="H70" s="128">
        <f t="shared" si="104"/>
        <v>107527.34417500001</v>
      </c>
      <c r="I70" s="128">
        <f t="shared" si="105"/>
        <v>107739.058816</v>
      </c>
      <c r="J70" s="128">
        <f t="shared" si="106"/>
        <v>106513.69265536639</v>
      </c>
      <c r="K70" s="128">
        <f t="shared" si="107"/>
        <v>106845.29651666665</v>
      </c>
      <c r="M70" s="36"/>
      <c r="N70" s="32">
        <f t="shared" si="108"/>
        <v>26</v>
      </c>
      <c r="O70" s="25">
        <f t="shared" si="109"/>
        <v>7.2310474858481077E-2</v>
      </c>
      <c r="P70" s="25">
        <f t="shared" si="110"/>
        <v>6.8915374052108014E-2</v>
      </c>
      <c r="Q70" s="25">
        <f t="shared" si="111"/>
        <v>7.1222379840000238E-2</v>
      </c>
      <c r="R70" s="25">
        <f t="shared" si="30"/>
        <v>6.725609980451619E-2</v>
      </c>
      <c r="S70" s="25">
        <f t="shared" si="31"/>
        <v>7.017835322249999E-2</v>
      </c>
      <c r="T70" s="25">
        <f t="shared" si="32"/>
        <v>7.5273441750000059E-2</v>
      </c>
      <c r="U70" s="25">
        <f t="shared" si="33"/>
        <v>7.7390588160000107E-2</v>
      </c>
      <c r="V70" s="25">
        <f t="shared" si="34"/>
        <v>6.5136926553663876E-2</v>
      </c>
      <c r="W70" s="25">
        <f t="shared" si="112"/>
        <v>6.8452965166666546E-2</v>
      </c>
      <c r="X70" s="36"/>
      <c r="Y70" s="36"/>
      <c r="AA70" s="124">
        <f t="shared" si="113"/>
        <v>27</v>
      </c>
      <c r="AB70" s="128">
        <f t="shared" si="35"/>
        <v>107119.89477499996</v>
      </c>
      <c r="AC70" s="124">
        <f t="shared" si="114"/>
        <v>27</v>
      </c>
      <c r="AD70" s="130">
        <f t="shared" si="115"/>
        <v>3.7499999999999999E-2</v>
      </c>
      <c r="AE70" s="127">
        <f t="shared" si="116"/>
        <v>1071</v>
      </c>
      <c r="AF70" s="128">
        <f t="shared" si="117"/>
        <v>106996.3</v>
      </c>
      <c r="AG70" s="128">
        <f t="shared" si="140"/>
        <v>107100</v>
      </c>
      <c r="AH70" s="128">
        <f t="shared" si="118"/>
        <v>107100</v>
      </c>
      <c r="AI70" s="130">
        <f t="shared" si="36"/>
        <v>3.7499999999999999E-2</v>
      </c>
      <c r="AJ70" s="128">
        <f t="shared" si="37"/>
        <v>107434.6875</v>
      </c>
      <c r="AK70" s="128" t="str">
        <f t="shared" si="38"/>
        <v>nie</v>
      </c>
      <c r="AL70" s="128">
        <f t="shared" si="39"/>
        <v>535.5</v>
      </c>
      <c r="AM70" s="128">
        <f t="shared" si="150"/>
        <v>106937.341875</v>
      </c>
      <c r="AN70" s="128">
        <f t="shared" si="41"/>
        <v>271.09687500000001</v>
      </c>
      <c r="AO70" s="130">
        <f t="shared" si="42"/>
        <v>3.5999999999999997E-2</v>
      </c>
      <c r="AP70" s="128">
        <f t="shared" si="43"/>
        <v>837.27183088871789</v>
      </c>
      <c r="AQ70" s="128">
        <f t="shared" si="156"/>
        <v>107503.51683088872</v>
      </c>
      <c r="AS70" s="124">
        <f t="shared" si="119"/>
        <v>27</v>
      </c>
      <c r="AT70" s="130">
        <f t="shared" si="120"/>
        <v>3.7499999999999999E-2</v>
      </c>
      <c r="AU70" s="127">
        <f t="shared" si="121"/>
        <v>1069</v>
      </c>
      <c r="AV70" s="128">
        <f t="shared" si="122"/>
        <v>106799.70000000001</v>
      </c>
      <c r="AW70" s="128">
        <f t="shared" si="151"/>
        <v>106900</v>
      </c>
      <c r="AX70" s="128">
        <f t="shared" si="123"/>
        <v>106900</v>
      </c>
      <c r="AY70" s="130">
        <f t="shared" si="45"/>
        <v>3.9E-2</v>
      </c>
      <c r="AZ70" s="128">
        <f t="shared" si="46"/>
        <v>107247.425</v>
      </c>
      <c r="BA70" s="128" t="str">
        <f t="shared" si="47"/>
        <v>nie</v>
      </c>
      <c r="BB70" s="128">
        <f t="shared" si="48"/>
        <v>748.3</v>
      </c>
      <c r="BC70" s="128">
        <f t="shared" si="158"/>
        <v>106575.29124999999</v>
      </c>
      <c r="BD70" s="128">
        <f t="shared" si="50"/>
        <v>281.41425000000237</v>
      </c>
      <c r="BE70" s="130">
        <f t="shared" si="51"/>
        <v>3.5999999999999997E-2</v>
      </c>
      <c r="BF70" s="128">
        <f t="shared" si="52"/>
        <v>880.52696999546674</v>
      </c>
      <c r="BG70" s="128">
        <f t="shared" si="159"/>
        <v>107174.40396999546</v>
      </c>
      <c r="BI70" s="124">
        <f t="shared" si="124"/>
        <v>27</v>
      </c>
      <c r="BJ70" s="130">
        <f t="shared" si="148"/>
        <v>3.9100000000000003E-2</v>
      </c>
      <c r="BK70" s="127">
        <f t="shared" si="125"/>
        <v>1000</v>
      </c>
      <c r="BL70" s="128">
        <f t="shared" si="126"/>
        <v>100000</v>
      </c>
      <c r="BM70" s="128">
        <f t="shared" si="142"/>
        <v>100000</v>
      </c>
      <c r="BN70" s="128">
        <f t="shared" si="127"/>
        <v>108993.60000000001</v>
      </c>
      <c r="BO70" s="130">
        <f t="shared" si="54"/>
        <v>4.3999999999999997E-2</v>
      </c>
      <c r="BP70" s="128">
        <f t="shared" si="55"/>
        <v>110192.52959999999</v>
      </c>
      <c r="BQ70" s="128" t="str">
        <f t="shared" si="56"/>
        <v>nie</v>
      </c>
      <c r="BR70" s="128">
        <f t="shared" si="57"/>
        <v>1000</v>
      </c>
      <c r="BS70" s="128">
        <f t="shared" si="153"/>
        <v>107445.948976</v>
      </c>
      <c r="BT70" s="128">
        <f t="shared" si="128"/>
        <v>0</v>
      </c>
      <c r="BU70" s="130">
        <f t="shared" si="59"/>
        <v>3.5999999999999997E-2</v>
      </c>
      <c r="BV70" s="128">
        <f t="shared" si="60"/>
        <v>0</v>
      </c>
      <c r="BW70" s="128">
        <f t="shared" si="61"/>
        <v>107445.948976</v>
      </c>
      <c r="BY70" s="130">
        <f t="shared" si="149"/>
        <v>3.1E-2</v>
      </c>
      <c r="BZ70" s="127">
        <f t="shared" si="129"/>
        <v>1000</v>
      </c>
      <c r="CA70" s="128">
        <f t="shared" si="130"/>
        <v>100000</v>
      </c>
      <c r="CB70" s="128">
        <f t="shared" si="154"/>
        <v>100000</v>
      </c>
      <c r="CC70" s="128">
        <f t="shared" si="131"/>
        <v>100000</v>
      </c>
      <c r="CD70" s="130">
        <f t="shared" si="62"/>
        <v>4.5999999999999999E-2</v>
      </c>
      <c r="CE70" s="128">
        <f t="shared" si="63"/>
        <v>101150</v>
      </c>
      <c r="CF70" s="128" t="str">
        <f t="shared" si="64"/>
        <v>nie</v>
      </c>
      <c r="CG70" s="128">
        <f t="shared" si="65"/>
        <v>2000</v>
      </c>
      <c r="CH70" s="128">
        <f t="shared" si="160"/>
        <v>99311.5</v>
      </c>
      <c r="CI70" s="128">
        <f t="shared" si="67"/>
        <v>0</v>
      </c>
      <c r="CJ70" s="130">
        <f t="shared" si="68"/>
        <v>3.5999999999999997E-2</v>
      </c>
      <c r="CK70" s="128">
        <f t="shared" si="69"/>
        <v>7743.3807827041301</v>
      </c>
      <c r="CL70" s="128">
        <f t="shared" si="70"/>
        <v>107054.88078270413</v>
      </c>
      <c r="CN70" s="127">
        <f t="shared" si="132"/>
        <v>1000</v>
      </c>
      <c r="CO70" s="128">
        <f t="shared" si="133"/>
        <v>100000</v>
      </c>
      <c r="CP70" s="128">
        <f t="shared" si="134"/>
        <v>100000</v>
      </c>
      <c r="CQ70" s="128">
        <f t="shared" si="135"/>
        <v>110722.85</v>
      </c>
      <c r="CR70" s="130">
        <f t="shared" si="71"/>
        <v>5.1000000000000004E-2</v>
      </c>
      <c r="CS70" s="128">
        <f t="shared" si="72"/>
        <v>112134.56633750001</v>
      </c>
      <c r="CT70" s="128" t="str">
        <f t="shared" si="73"/>
        <v>nie</v>
      </c>
      <c r="CU70" s="128">
        <f t="shared" si="74"/>
        <v>3000</v>
      </c>
      <c r="CV70" s="128">
        <f t="shared" si="75"/>
        <v>107398.99873337502</v>
      </c>
      <c r="CW70" s="128">
        <f t="shared" si="76"/>
        <v>0</v>
      </c>
      <c r="CX70" s="130">
        <f t="shared" si="77"/>
        <v>3.5999999999999997E-2</v>
      </c>
      <c r="CY70" s="128">
        <f t="shared" si="78"/>
        <v>0</v>
      </c>
      <c r="CZ70" s="128">
        <f t="shared" si="79"/>
        <v>107398.99873337502</v>
      </c>
      <c r="DA70" s="20"/>
      <c r="DB70" s="127">
        <f t="shared" si="144"/>
        <v>1000</v>
      </c>
      <c r="DC70" s="128">
        <f t="shared" si="145"/>
        <v>100000</v>
      </c>
      <c r="DD70" s="128">
        <f t="shared" si="136"/>
        <v>100000</v>
      </c>
      <c r="DE70" s="128">
        <f t="shared" si="137"/>
        <v>110355</v>
      </c>
      <c r="DF70" s="130">
        <f t="shared" si="80"/>
        <v>5.1000000000000004E-2</v>
      </c>
      <c r="DG70" s="128">
        <f t="shared" si="81"/>
        <v>111762.02625000001</v>
      </c>
      <c r="DH70" s="128" t="str">
        <f t="shared" si="82"/>
        <v>nie</v>
      </c>
      <c r="DI70" s="128">
        <f t="shared" si="83"/>
        <v>2000</v>
      </c>
      <c r="DJ70" s="128">
        <f t="shared" si="84"/>
        <v>107907.24126250001</v>
      </c>
      <c r="DK70" s="128">
        <f t="shared" si="85"/>
        <v>0</v>
      </c>
      <c r="DL70" s="130">
        <f t="shared" si="86"/>
        <v>3.5999999999999997E-2</v>
      </c>
      <c r="DM70" s="128">
        <f t="shared" si="87"/>
        <v>0</v>
      </c>
      <c r="DN70" s="128">
        <f t="shared" si="88"/>
        <v>107907.24126250001</v>
      </c>
      <c r="DP70" s="127">
        <f t="shared" si="146"/>
        <v>1000</v>
      </c>
      <c r="DQ70" s="128">
        <f t="shared" si="147"/>
        <v>100000</v>
      </c>
      <c r="DR70" s="128">
        <f t="shared" si="138"/>
        <v>100000</v>
      </c>
      <c r="DS70" s="128">
        <f t="shared" si="139"/>
        <v>111513.60000000001</v>
      </c>
      <c r="DT70" s="130">
        <f t="shared" si="89"/>
        <v>5.6000000000000001E-2</v>
      </c>
      <c r="DU70" s="128">
        <f t="shared" si="90"/>
        <v>113074.79040000001</v>
      </c>
      <c r="DV70" s="128" t="str">
        <f t="shared" si="91"/>
        <v>nie</v>
      </c>
      <c r="DW70" s="128">
        <f t="shared" si="92"/>
        <v>3000</v>
      </c>
      <c r="DX70" s="128">
        <f t="shared" si="93"/>
        <v>108160.580224</v>
      </c>
      <c r="DY70" s="128">
        <f t="shared" si="94"/>
        <v>0</v>
      </c>
      <c r="DZ70" s="130">
        <f t="shared" si="95"/>
        <v>3.5999999999999997E-2</v>
      </c>
      <c r="EA70" s="128">
        <f t="shared" si="96"/>
        <v>0</v>
      </c>
      <c r="EB70" s="128">
        <f t="shared" si="97"/>
        <v>108160.580224</v>
      </c>
    </row>
    <row r="71" spans="1:137">
      <c r="A71" s="212"/>
      <c r="B71" s="188">
        <f t="shared" si="98"/>
        <v>27</v>
      </c>
      <c r="C71" s="128">
        <f t="shared" si="99"/>
        <v>107503.51683088872</v>
      </c>
      <c r="D71" s="128">
        <f t="shared" si="100"/>
        <v>107174.40396999546</v>
      </c>
      <c r="E71" s="128">
        <f t="shared" si="101"/>
        <v>107445.948976</v>
      </c>
      <c r="F71" s="128">
        <f t="shared" si="102"/>
        <v>107054.88078270413</v>
      </c>
      <c r="G71" s="128">
        <f t="shared" si="103"/>
        <v>107398.99873337502</v>
      </c>
      <c r="H71" s="128">
        <f t="shared" si="104"/>
        <v>107907.24126250001</v>
      </c>
      <c r="I71" s="128">
        <f t="shared" si="105"/>
        <v>108160.580224</v>
      </c>
      <c r="J71" s="128">
        <f t="shared" si="106"/>
        <v>106772.52092851893</v>
      </c>
      <c r="K71" s="128">
        <f t="shared" si="107"/>
        <v>107119.89477499996</v>
      </c>
      <c r="M71" s="36"/>
      <c r="N71" s="32">
        <f t="shared" si="108"/>
        <v>27</v>
      </c>
      <c r="O71" s="25">
        <f t="shared" si="109"/>
        <v>7.5035168308887235E-2</v>
      </c>
      <c r="P71" s="25">
        <f t="shared" si="110"/>
        <v>7.1744039699954687E-2</v>
      </c>
      <c r="Q71" s="25">
        <f t="shared" si="111"/>
        <v>7.4459489759999942E-2</v>
      </c>
      <c r="R71" s="25">
        <f t="shared" si="30"/>
        <v>7.0548807827041315E-2</v>
      </c>
      <c r="S71" s="25">
        <f t="shared" si="31"/>
        <v>7.3989987333750173E-2</v>
      </c>
      <c r="T71" s="25">
        <f t="shared" si="32"/>
        <v>7.9072412625000199E-2</v>
      </c>
      <c r="U71" s="25">
        <f t="shared" si="33"/>
        <v>8.1605802240000136E-2</v>
      </c>
      <c r="V71" s="25">
        <f t="shared" si="34"/>
        <v>6.7725209285189436E-2</v>
      </c>
      <c r="W71" s="25">
        <f t="shared" si="112"/>
        <v>7.1198947749999686E-2</v>
      </c>
      <c r="X71" s="36"/>
      <c r="Y71" s="36"/>
      <c r="AA71" s="124">
        <f t="shared" si="113"/>
        <v>28</v>
      </c>
      <c r="AB71" s="128">
        <f t="shared" si="35"/>
        <v>107394.4930333333</v>
      </c>
      <c r="AC71" s="124">
        <f t="shared" si="114"/>
        <v>28</v>
      </c>
      <c r="AD71" s="130">
        <f t="shared" si="115"/>
        <v>3.7499999999999999E-2</v>
      </c>
      <c r="AE71" s="127">
        <f t="shared" si="116"/>
        <v>1071</v>
      </c>
      <c r="AF71" s="128">
        <f t="shared" si="117"/>
        <v>106996.3</v>
      </c>
      <c r="AG71" s="128">
        <f t="shared" si="140"/>
        <v>107100</v>
      </c>
      <c r="AH71" s="128">
        <f t="shared" si="118"/>
        <v>107100</v>
      </c>
      <c r="AI71" s="130">
        <f t="shared" si="36"/>
        <v>3.7499999999999999E-2</v>
      </c>
      <c r="AJ71" s="128">
        <f t="shared" si="37"/>
        <v>107434.6875</v>
      </c>
      <c r="AK71" s="128" t="str">
        <f t="shared" si="38"/>
        <v>nie</v>
      </c>
      <c r="AL71" s="128">
        <f t="shared" si="39"/>
        <v>535.5</v>
      </c>
      <c r="AM71" s="128">
        <f t="shared" si="150"/>
        <v>106937.341875</v>
      </c>
      <c r="AN71" s="128">
        <f t="shared" si="41"/>
        <v>271.09687500000001</v>
      </c>
      <c r="AO71" s="130">
        <f t="shared" si="42"/>
        <v>3.5999999999999997E-2</v>
      </c>
      <c r="AP71" s="128">
        <f t="shared" si="43"/>
        <v>1110.4032764377773</v>
      </c>
      <c r="AQ71" s="128">
        <f t="shared" si="156"/>
        <v>107776.64827643777</v>
      </c>
      <c r="AS71" s="124">
        <f t="shared" si="119"/>
        <v>28</v>
      </c>
      <c r="AT71" s="130">
        <f t="shared" si="120"/>
        <v>3.7499999999999999E-2</v>
      </c>
      <c r="AU71" s="127">
        <f t="shared" si="121"/>
        <v>1069</v>
      </c>
      <c r="AV71" s="128">
        <f t="shared" si="122"/>
        <v>106799.70000000001</v>
      </c>
      <c r="AW71" s="128">
        <f t="shared" si="151"/>
        <v>106900</v>
      </c>
      <c r="AX71" s="128">
        <f t="shared" si="123"/>
        <v>106900</v>
      </c>
      <c r="AY71" s="130">
        <f t="shared" si="45"/>
        <v>3.9E-2</v>
      </c>
      <c r="AZ71" s="128">
        <f t="shared" si="46"/>
        <v>107247.425</v>
      </c>
      <c r="BA71" s="128" t="str">
        <f t="shared" si="47"/>
        <v>nie</v>
      </c>
      <c r="BB71" s="128">
        <f t="shared" si="48"/>
        <v>748.3</v>
      </c>
      <c r="BC71" s="128">
        <f t="shared" si="158"/>
        <v>106575.29124999999</v>
      </c>
      <c r="BD71" s="128">
        <f t="shared" si="50"/>
        <v>281.41425000000237</v>
      </c>
      <c r="BE71" s="130">
        <f t="shared" si="51"/>
        <v>3.5999999999999997E-2</v>
      </c>
      <c r="BF71" s="128">
        <f t="shared" si="52"/>
        <v>1164.080900532558</v>
      </c>
      <c r="BG71" s="128">
        <f t="shared" si="159"/>
        <v>107457.95790053255</v>
      </c>
      <c r="BI71" s="124">
        <f t="shared" si="124"/>
        <v>28</v>
      </c>
      <c r="BJ71" s="130">
        <f t="shared" si="148"/>
        <v>3.9100000000000003E-2</v>
      </c>
      <c r="BK71" s="127">
        <f t="shared" si="125"/>
        <v>1000</v>
      </c>
      <c r="BL71" s="128">
        <f t="shared" si="126"/>
        <v>100000</v>
      </c>
      <c r="BM71" s="128">
        <f t="shared" si="142"/>
        <v>100000</v>
      </c>
      <c r="BN71" s="128">
        <f t="shared" si="127"/>
        <v>108993.60000000001</v>
      </c>
      <c r="BO71" s="130">
        <f t="shared" si="54"/>
        <v>4.3999999999999997E-2</v>
      </c>
      <c r="BP71" s="128">
        <f t="shared" si="55"/>
        <v>110592.1728</v>
      </c>
      <c r="BQ71" s="128" t="str">
        <f t="shared" si="56"/>
        <v>nie</v>
      </c>
      <c r="BR71" s="128">
        <f t="shared" si="57"/>
        <v>1000</v>
      </c>
      <c r="BS71" s="128">
        <f t="shared" si="153"/>
        <v>107769.65996800001</v>
      </c>
      <c r="BT71" s="128">
        <f t="shared" si="128"/>
        <v>0</v>
      </c>
      <c r="BU71" s="130">
        <f t="shared" si="59"/>
        <v>3.5999999999999997E-2</v>
      </c>
      <c r="BV71" s="128">
        <f t="shared" si="60"/>
        <v>0</v>
      </c>
      <c r="BW71" s="128">
        <f t="shared" si="61"/>
        <v>107769.65996800001</v>
      </c>
      <c r="BY71" s="130">
        <f t="shared" si="149"/>
        <v>3.1E-2</v>
      </c>
      <c r="BZ71" s="127">
        <f t="shared" si="129"/>
        <v>1000</v>
      </c>
      <c r="CA71" s="128">
        <f t="shared" si="130"/>
        <v>100000</v>
      </c>
      <c r="CB71" s="128">
        <f t="shared" si="154"/>
        <v>100000</v>
      </c>
      <c r="CC71" s="128">
        <f t="shared" si="131"/>
        <v>100000</v>
      </c>
      <c r="CD71" s="130">
        <f t="shared" si="62"/>
        <v>4.5999999999999999E-2</v>
      </c>
      <c r="CE71" s="128">
        <f t="shared" si="63"/>
        <v>101533.33333333334</v>
      </c>
      <c r="CF71" s="128" t="str">
        <f t="shared" si="64"/>
        <v>nie</v>
      </c>
      <c r="CG71" s="128">
        <f t="shared" si="65"/>
        <v>2000</v>
      </c>
      <c r="CH71" s="128">
        <f t="shared" si="160"/>
        <v>99622.000000000015</v>
      </c>
      <c r="CI71" s="128">
        <f t="shared" si="67"/>
        <v>0</v>
      </c>
      <c r="CJ71" s="130">
        <f t="shared" si="68"/>
        <v>3.5999999999999997E-2</v>
      </c>
      <c r="CK71" s="128">
        <f t="shared" si="69"/>
        <v>7762.1971980061007</v>
      </c>
      <c r="CL71" s="128">
        <f t="shared" si="70"/>
        <v>107384.19719800612</v>
      </c>
      <c r="CN71" s="127">
        <f t="shared" si="132"/>
        <v>1000</v>
      </c>
      <c r="CO71" s="128">
        <f t="shared" si="133"/>
        <v>100000</v>
      </c>
      <c r="CP71" s="128">
        <f t="shared" si="134"/>
        <v>100000</v>
      </c>
      <c r="CQ71" s="128">
        <f t="shared" si="135"/>
        <v>110722.85</v>
      </c>
      <c r="CR71" s="130">
        <f t="shared" si="71"/>
        <v>5.1000000000000004E-2</v>
      </c>
      <c r="CS71" s="128">
        <f t="shared" si="72"/>
        <v>112605.13845</v>
      </c>
      <c r="CT71" s="128" t="str">
        <f t="shared" si="73"/>
        <v>nie</v>
      </c>
      <c r="CU71" s="128">
        <f t="shared" si="74"/>
        <v>3000</v>
      </c>
      <c r="CV71" s="128">
        <f t="shared" si="75"/>
        <v>107780.16214450001</v>
      </c>
      <c r="CW71" s="128">
        <f t="shared" si="76"/>
        <v>0</v>
      </c>
      <c r="CX71" s="130">
        <f t="shared" si="77"/>
        <v>3.5999999999999997E-2</v>
      </c>
      <c r="CY71" s="128">
        <f t="shared" si="78"/>
        <v>0</v>
      </c>
      <c r="CZ71" s="128">
        <f t="shared" si="79"/>
        <v>107780.16214450001</v>
      </c>
      <c r="DA71" s="20"/>
      <c r="DB71" s="127">
        <f t="shared" si="144"/>
        <v>1000</v>
      </c>
      <c r="DC71" s="128">
        <f t="shared" si="145"/>
        <v>100000</v>
      </c>
      <c r="DD71" s="128">
        <f t="shared" si="136"/>
        <v>100000</v>
      </c>
      <c r="DE71" s="128">
        <f t="shared" si="137"/>
        <v>110355</v>
      </c>
      <c r="DF71" s="130">
        <f t="shared" si="80"/>
        <v>5.1000000000000004E-2</v>
      </c>
      <c r="DG71" s="128">
        <f t="shared" si="81"/>
        <v>112231.03499999999</v>
      </c>
      <c r="DH71" s="128" t="str">
        <f t="shared" si="82"/>
        <v>nie</v>
      </c>
      <c r="DI71" s="128">
        <f t="shared" si="83"/>
        <v>2000</v>
      </c>
      <c r="DJ71" s="128">
        <f t="shared" si="84"/>
        <v>108287.13834999999</v>
      </c>
      <c r="DK71" s="128">
        <f t="shared" si="85"/>
        <v>0</v>
      </c>
      <c r="DL71" s="130">
        <f t="shared" si="86"/>
        <v>3.5999999999999997E-2</v>
      </c>
      <c r="DM71" s="128">
        <f t="shared" si="87"/>
        <v>0</v>
      </c>
      <c r="DN71" s="128">
        <f t="shared" si="88"/>
        <v>108287.13834999999</v>
      </c>
      <c r="DP71" s="127">
        <f t="shared" si="146"/>
        <v>1000</v>
      </c>
      <c r="DQ71" s="128">
        <f t="shared" si="147"/>
        <v>100000</v>
      </c>
      <c r="DR71" s="128">
        <f t="shared" si="138"/>
        <v>100000</v>
      </c>
      <c r="DS71" s="128">
        <f t="shared" si="139"/>
        <v>111513.60000000001</v>
      </c>
      <c r="DT71" s="130">
        <f t="shared" si="89"/>
        <v>5.6000000000000001E-2</v>
      </c>
      <c r="DU71" s="128">
        <f t="shared" si="90"/>
        <v>113595.1872</v>
      </c>
      <c r="DV71" s="128" t="str">
        <f t="shared" si="91"/>
        <v>nie</v>
      </c>
      <c r="DW71" s="128">
        <f t="shared" si="92"/>
        <v>3000</v>
      </c>
      <c r="DX71" s="128">
        <f t="shared" si="93"/>
        <v>108582.10163200001</v>
      </c>
      <c r="DY71" s="128">
        <f t="shared" si="94"/>
        <v>0</v>
      </c>
      <c r="DZ71" s="130">
        <f t="shared" si="95"/>
        <v>3.5999999999999997E-2</v>
      </c>
      <c r="EA71" s="128">
        <f t="shared" si="96"/>
        <v>0</v>
      </c>
      <c r="EB71" s="128">
        <f t="shared" si="97"/>
        <v>108582.10163200001</v>
      </c>
    </row>
    <row r="72" spans="1:137">
      <c r="A72" s="212"/>
      <c r="B72" s="188">
        <f t="shared" si="98"/>
        <v>28</v>
      </c>
      <c r="C72" s="128">
        <f t="shared" si="99"/>
        <v>107776.64827643777</v>
      </c>
      <c r="D72" s="128">
        <f t="shared" si="100"/>
        <v>107457.95790053255</v>
      </c>
      <c r="E72" s="128">
        <f t="shared" si="101"/>
        <v>107769.65996800001</v>
      </c>
      <c r="F72" s="128">
        <f t="shared" si="102"/>
        <v>107384.19719800612</v>
      </c>
      <c r="G72" s="128">
        <f t="shared" si="103"/>
        <v>107780.16214450001</v>
      </c>
      <c r="H72" s="128">
        <f t="shared" si="104"/>
        <v>108287.13834999999</v>
      </c>
      <c r="I72" s="128">
        <f t="shared" si="105"/>
        <v>108582.10163200001</v>
      </c>
      <c r="J72" s="128">
        <f t="shared" si="106"/>
        <v>107031.97815437523</v>
      </c>
      <c r="K72" s="128">
        <f t="shared" si="107"/>
        <v>107394.4930333333</v>
      </c>
      <c r="M72" s="36"/>
      <c r="N72" s="32">
        <f t="shared" si="108"/>
        <v>28</v>
      </c>
      <c r="O72" s="25">
        <f t="shared" si="109"/>
        <v>7.7766482764377809E-2</v>
      </c>
      <c r="P72" s="25">
        <f t="shared" si="110"/>
        <v>7.4579579005325414E-2</v>
      </c>
      <c r="Q72" s="25">
        <f t="shared" si="111"/>
        <v>7.7696599680000089E-2</v>
      </c>
      <c r="R72" s="25">
        <f t="shared" si="30"/>
        <v>7.384197198006115E-2</v>
      </c>
      <c r="S72" s="25">
        <f t="shared" si="31"/>
        <v>7.7801621445000135E-2</v>
      </c>
      <c r="T72" s="25">
        <f t="shared" si="32"/>
        <v>8.2871383499999896E-2</v>
      </c>
      <c r="U72" s="25">
        <f t="shared" si="33"/>
        <v>8.5821016319999943E-2</v>
      </c>
      <c r="V72" s="25">
        <f t="shared" si="34"/>
        <v>7.0319781543752402E-2</v>
      </c>
      <c r="W72" s="25">
        <f t="shared" si="112"/>
        <v>7.3944930333333048E-2</v>
      </c>
      <c r="X72" s="36"/>
      <c r="Y72" s="36"/>
      <c r="AA72" s="124">
        <f t="shared" si="113"/>
        <v>29</v>
      </c>
      <c r="AB72" s="128">
        <f t="shared" si="35"/>
        <v>107669.09129166664</v>
      </c>
      <c r="AC72" s="124">
        <f t="shared" si="114"/>
        <v>29</v>
      </c>
      <c r="AD72" s="130">
        <f t="shared" si="115"/>
        <v>3.7499999999999999E-2</v>
      </c>
      <c r="AE72" s="127">
        <f t="shared" si="116"/>
        <v>1071</v>
      </c>
      <c r="AF72" s="128">
        <f t="shared" si="117"/>
        <v>106996.3</v>
      </c>
      <c r="AG72" s="128">
        <f t="shared" si="140"/>
        <v>107100</v>
      </c>
      <c r="AH72" s="128">
        <f t="shared" si="118"/>
        <v>107100</v>
      </c>
      <c r="AI72" s="130">
        <f t="shared" si="36"/>
        <v>3.7499999999999999E-2</v>
      </c>
      <c r="AJ72" s="128">
        <f t="shared" si="37"/>
        <v>107434.6875</v>
      </c>
      <c r="AK72" s="128" t="str">
        <f t="shared" si="38"/>
        <v>nie</v>
      </c>
      <c r="AL72" s="128">
        <f t="shared" si="39"/>
        <v>535.5</v>
      </c>
      <c r="AM72" s="128">
        <f t="shared" si="150"/>
        <v>106937.341875</v>
      </c>
      <c r="AN72" s="128">
        <f t="shared" si="41"/>
        <v>271.09687500000001</v>
      </c>
      <c r="AO72" s="130">
        <f t="shared" si="42"/>
        <v>3.5999999999999997E-2</v>
      </c>
      <c r="AP72" s="128">
        <f t="shared" si="43"/>
        <v>1384.198431399521</v>
      </c>
      <c r="AQ72" s="128">
        <f t="shared" si="156"/>
        <v>108050.44343139952</v>
      </c>
      <c r="AS72" s="124">
        <f t="shared" si="119"/>
        <v>29</v>
      </c>
      <c r="AT72" s="130">
        <f t="shared" si="120"/>
        <v>3.7499999999999999E-2</v>
      </c>
      <c r="AU72" s="127">
        <f t="shared" si="121"/>
        <v>1069</v>
      </c>
      <c r="AV72" s="128">
        <f t="shared" si="122"/>
        <v>106799.70000000001</v>
      </c>
      <c r="AW72" s="128">
        <f t="shared" si="151"/>
        <v>106900</v>
      </c>
      <c r="AX72" s="128">
        <f t="shared" si="123"/>
        <v>106900</v>
      </c>
      <c r="AY72" s="130">
        <f t="shared" si="45"/>
        <v>3.9E-2</v>
      </c>
      <c r="AZ72" s="128">
        <f t="shared" si="46"/>
        <v>107247.425</v>
      </c>
      <c r="BA72" s="128" t="str">
        <f t="shared" si="47"/>
        <v>nie</v>
      </c>
      <c r="BB72" s="128">
        <f t="shared" si="48"/>
        <v>748.3</v>
      </c>
      <c r="BC72" s="128">
        <f t="shared" si="158"/>
        <v>106575.29124999999</v>
      </c>
      <c r="BD72" s="128">
        <f t="shared" si="50"/>
        <v>281.41425000000237</v>
      </c>
      <c r="BE72" s="130">
        <f t="shared" si="51"/>
        <v>3.5999999999999997E-2</v>
      </c>
      <c r="BF72" s="128">
        <f t="shared" si="52"/>
        <v>1448.3238671208544</v>
      </c>
      <c r="BG72" s="128">
        <f t="shared" si="159"/>
        <v>107742.20086712085</v>
      </c>
      <c r="BI72" s="124">
        <f t="shared" si="124"/>
        <v>29</v>
      </c>
      <c r="BJ72" s="130">
        <f t="shared" si="148"/>
        <v>3.9100000000000003E-2</v>
      </c>
      <c r="BK72" s="127">
        <f t="shared" si="125"/>
        <v>1000</v>
      </c>
      <c r="BL72" s="128">
        <f t="shared" si="126"/>
        <v>100000</v>
      </c>
      <c r="BM72" s="128">
        <f t="shared" si="142"/>
        <v>100000</v>
      </c>
      <c r="BN72" s="128">
        <f t="shared" si="127"/>
        <v>108993.60000000001</v>
      </c>
      <c r="BO72" s="130">
        <f t="shared" si="54"/>
        <v>4.3999999999999997E-2</v>
      </c>
      <c r="BP72" s="128">
        <f t="shared" si="55"/>
        <v>110991.81600000001</v>
      </c>
      <c r="BQ72" s="128" t="str">
        <f t="shared" si="56"/>
        <v>nie</v>
      </c>
      <c r="BR72" s="128">
        <f t="shared" si="57"/>
        <v>1000</v>
      </c>
      <c r="BS72" s="128">
        <f t="shared" si="153"/>
        <v>108093.37096</v>
      </c>
      <c r="BT72" s="128">
        <f t="shared" si="128"/>
        <v>0</v>
      </c>
      <c r="BU72" s="130">
        <f t="shared" si="59"/>
        <v>3.5999999999999997E-2</v>
      </c>
      <c r="BV72" s="128">
        <f t="shared" si="60"/>
        <v>0</v>
      </c>
      <c r="BW72" s="128">
        <f t="shared" si="61"/>
        <v>108093.37096</v>
      </c>
      <c r="BY72" s="130">
        <f t="shared" si="149"/>
        <v>3.1E-2</v>
      </c>
      <c r="BZ72" s="127">
        <f t="shared" si="129"/>
        <v>1000</v>
      </c>
      <c r="CA72" s="128">
        <f t="shared" si="130"/>
        <v>100000</v>
      </c>
      <c r="CB72" s="128">
        <f t="shared" si="154"/>
        <v>100000</v>
      </c>
      <c r="CC72" s="128">
        <f t="shared" si="131"/>
        <v>100000</v>
      </c>
      <c r="CD72" s="130">
        <f t="shared" si="62"/>
        <v>4.5999999999999999E-2</v>
      </c>
      <c r="CE72" s="128">
        <f t="shared" si="63"/>
        <v>101916.66666666666</v>
      </c>
      <c r="CF72" s="128" t="str">
        <f t="shared" si="64"/>
        <v>nie</v>
      </c>
      <c r="CG72" s="128">
        <f t="shared" si="65"/>
        <v>2000</v>
      </c>
      <c r="CH72" s="128">
        <f t="shared" si="160"/>
        <v>99932.499999999985</v>
      </c>
      <c r="CI72" s="128">
        <f t="shared" si="67"/>
        <v>0</v>
      </c>
      <c r="CJ72" s="130">
        <f t="shared" si="68"/>
        <v>3.5999999999999997E-2</v>
      </c>
      <c r="CK72" s="128">
        <f t="shared" si="69"/>
        <v>7781.0593371972554</v>
      </c>
      <c r="CL72" s="128">
        <f t="shared" si="70"/>
        <v>107713.55933719724</v>
      </c>
      <c r="CN72" s="127">
        <f t="shared" si="132"/>
        <v>1000</v>
      </c>
      <c r="CO72" s="128">
        <f t="shared" si="133"/>
        <v>100000</v>
      </c>
      <c r="CP72" s="128">
        <f t="shared" si="134"/>
        <v>100000</v>
      </c>
      <c r="CQ72" s="128">
        <f t="shared" si="135"/>
        <v>110722.85</v>
      </c>
      <c r="CR72" s="130">
        <f t="shared" si="71"/>
        <v>5.1000000000000004E-2</v>
      </c>
      <c r="CS72" s="128">
        <f t="shared" si="72"/>
        <v>113075.71056250001</v>
      </c>
      <c r="CT72" s="128" t="str">
        <f t="shared" si="73"/>
        <v>nie</v>
      </c>
      <c r="CU72" s="128">
        <f t="shared" si="74"/>
        <v>3000</v>
      </c>
      <c r="CV72" s="128">
        <f t="shared" si="75"/>
        <v>108161.32555562501</v>
      </c>
      <c r="CW72" s="128">
        <f t="shared" si="76"/>
        <v>0</v>
      </c>
      <c r="CX72" s="130">
        <f t="shared" si="77"/>
        <v>3.5999999999999997E-2</v>
      </c>
      <c r="CY72" s="128">
        <f t="shared" si="78"/>
        <v>0</v>
      </c>
      <c r="CZ72" s="128">
        <f t="shared" si="79"/>
        <v>108161.32555562501</v>
      </c>
      <c r="DA72" s="20"/>
      <c r="DB72" s="127">
        <f t="shared" si="144"/>
        <v>1000</v>
      </c>
      <c r="DC72" s="128">
        <f t="shared" si="145"/>
        <v>100000</v>
      </c>
      <c r="DD72" s="128">
        <f t="shared" si="136"/>
        <v>100000</v>
      </c>
      <c r="DE72" s="128">
        <f t="shared" si="137"/>
        <v>110355</v>
      </c>
      <c r="DF72" s="130">
        <f t="shared" si="80"/>
        <v>5.1000000000000004E-2</v>
      </c>
      <c r="DG72" s="128">
        <f t="shared" si="81"/>
        <v>112700.04375</v>
      </c>
      <c r="DH72" s="128" t="str">
        <f t="shared" si="82"/>
        <v>nie</v>
      </c>
      <c r="DI72" s="128">
        <f t="shared" si="83"/>
        <v>2000</v>
      </c>
      <c r="DJ72" s="128">
        <f t="shared" si="84"/>
        <v>108667.0354375</v>
      </c>
      <c r="DK72" s="128">
        <f t="shared" si="85"/>
        <v>0</v>
      </c>
      <c r="DL72" s="130">
        <f t="shared" si="86"/>
        <v>3.5999999999999997E-2</v>
      </c>
      <c r="DM72" s="128">
        <f t="shared" si="87"/>
        <v>0</v>
      </c>
      <c r="DN72" s="128">
        <f t="shared" si="88"/>
        <v>108667.0354375</v>
      </c>
      <c r="DP72" s="127">
        <f t="shared" si="146"/>
        <v>1000</v>
      </c>
      <c r="DQ72" s="128">
        <f t="shared" si="147"/>
        <v>100000</v>
      </c>
      <c r="DR72" s="128">
        <f t="shared" si="138"/>
        <v>100000</v>
      </c>
      <c r="DS72" s="128">
        <f t="shared" si="139"/>
        <v>111513.60000000001</v>
      </c>
      <c r="DT72" s="130">
        <f t="shared" si="89"/>
        <v>5.6000000000000001E-2</v>
      </c>
      <c r="DU72" s="128">
        <f t="shared" si="90"/>
        <v>114115.58400000002</v>
      </c>
      <c r="DV72" s="128" t="str">
        <f t="shared" si="91"/>
        <v>nie</v>
      </c>
      <c r="DW72" s="128">
        <f t="shared" si="92"/>
        <v>3000</v>
      </c>
      <c r="DX72" s="128">
        <f t="shared" si="93"/>
        <v>109003.62304000002</v>
      </c>
      <c r="DY72" s="128">
        <f t="shared" si="94"/>
        <v>0</v>
      </c>
      <c r="DZ72" s="130">
        <f t="shared" si="95"/>
        <v>3.5999999999999997E-2</v>
      </c>
      <c r="EA72" s="128">
        <f t="shared" si="96"/>
        <v>0</v>
      </c>
      <c r="EB72" s="128">
        <f t="shared" si="97"/>
        <v>109003.62304000002</v>
      </c>
    </row>
    <row r="73" spans="1:137">
      <c r="A73" s="212"/>
      <c r="B73" s="188">
        <f t="shared" si="98"/>
        <v>29</v>
      </c>
      <c r="C73" s="128">
        <f t="shared" si="99"/>
        <v>108050.44343139952</v>
      </c>
      <c r="D73" s="128">
        <f t="shared" si="100"/>
        <v>107742.20086712085</v>
      </c>
      <c r="E73" s="128">
        <f t="shared" si="101"/>
        <v>108093.37096</v>
      </c>
      <c r="F73" s="128">
        <f t="shared" si="102"/>
        <v>107713.55933719724</v>
      </c>
      <c r="G73" s="128">
        <f t="shared" si="103"/>
        <v>108161.32555562501</v>
      </c>
      <c r="H73" s="128">
        <f t="shared" si="104"/>
        <v>108667.0354375</v>
      </c>
      <c r="I73" s="128">
        <f t="shared" si="105"/>
        <v>109003.62304000002</v>
      </c>
      <c r="J73" s="128">
        <f t="shared" si="106"/>
        <v>107292.06586129035</v>
      </c>
      <c r="K73" s="128">
        <f t="shared" si="107"/>
        <v>107669.09129166664</v>
      </c>
      <c r="M73" s="36"/>
      <c r="N73" s="32">
        <f t="shared" si="108"/>
        <v>29</v>
      </c>
      <c r="O73" s="25">
        <f t="shared" si="109"/>
        <v>8.0504434313995121E-2</v>
      </c>
      <c r="P73" s="25">
        <f t="shared" si="110"/>
        <v>7.742200867120852E-2</v>
      </c>
      <c r="Q73" s="25">
        <f t="shared" si="111"/>
        <v>8.0933709600000014E-2</v>
      </c>
      <c r="R73" s="25">
        <f t="shared" si="30"/>
        <v>7.71355933719724E-2</v>
      </c>
      <c r="S73" s="25">
        <f t="shared" si="31"/>
        <v>8.1613255556250097E-2</v>
      </c>
      <c r="T73" s="25">
        <f t="shared" si="32"/>
        <v>8.6670354375000036E-2</v>
      </c>
      <c r="U73" s="25">
        <f t="shared" si="33"/>
        <v>9.0036230400000195E-2</v>
      </c>
      <c r="V73" s="25">
        <f t="shared" si="34"/>
        <v>7.2920658612903422E-2</v>
      </c>
      <c r="W73" s="25">
        <f t="shared" si="112"/>
        <v>7.6690912916666409E-2</v>
      </c>
      <c r="X73" s="36"/>
      <c r="Y73" s="36"/>
      <c r="AA73" s="124">
        <f t="shared" si="113"/>
        <v>30</v>
      </c>
      <c r="AB73" s="128">
        <f t="shared" si="35"/>
        <v>107943.68954999998</v>
      </c>
      <c r="AC73" s="124">
        <f t="shared" si="114"/>
        <v>30</v>
      </c>
      <c r="AD73" s="130">
        <f t="shared" si="115"/>
        <v>3.7499999999999999E-2</v>
      </c>
      <c r="AE73" s="127">
        <f t="shared" si="116"/>
        <v>1071</v>
      </c>
      <c r="AF73" s="128">
        <f t="shared" si="117"/>
        <v>106996.3</v>
      </c>
      <c r="AG73" s="128">
        <f t="shared" si="140"/>
        <v>107100</v>
      </c>
      <c r="AH73" s="128">
        <f t="shared" si="118"/>
        <v>107100</v>
      </c>
      <c r="AI73" s="130">
        <f t="shared" si="36"/>
        <v>3.7499999999999999E-2</v>
      </c>
      <c r="AJ73" s="128">
        <f t="shared" si="37"/>
        <v>107434.6875</v>
      </c>
      <c r="AK73" s="128" t="str">
        <f t="shared" si="38"/>
        <v>nie</v>
      </c>
      <c r="AL73" s="128">
        <f t="shared" si="39"/>
        <v>535.5</v>
      </c>
      <c r="AM73" s="128">
        <f t="shared" si="150"/>
        <v>106937.341875</v>
      </c>
      <c r="AN73" s="128">
        <f t="shared" si="41"/>
        <v>271.09687500000001</v>
      </c>
      <c r="AO73" s="130">
        <f t="shared" si="42"/>
        <v>3.5999999999999997E-2</v>
      </c>
      <c r="AP73" s="128">
        <f t="shared" si="43"/>
        <v>1658.6589085878218</v>
      </c>
      <c r="AQ73" s="128">
        <f t="shared" si="156"/>
        <v>108324.90390858782</v>
      </c>
      <c r="AS73" s="124">
        <f t="shared" si="119"/>
        <v>30</v>
      </c>
      <c r="AT73" s="130">
        <f t="shared" si="120"/>
        <v>3.7499999999999999E-2</v>
      </c>
      <c r="AU73" s="127">
        <f t="shared" si="121"/>
        <v>1069</v>
      </c>
      <c r="AV73" s="128">
        <f t="shared" si="122"/>
        <v>106799.70000000001</v>
      </c>
      <c r="AW73" s="128">
        <f t="shared" si="151"/>
        <v>106900</v>
      </c>
      <c r="AX73" s="128">
        <f t="shared" si="123"/>
        <v>106900</v>
      </c>
      <c r="AY73" s="130">
        <f t="shared" si="45"/>
        <v>3.9E-2</v>
      </c>
      <c r="AZ73" s="128">
        <f t="shared" si="46"/>
        <v>107247.425</v>
      </c>
      <c r="BA73" s="128" t="str">
        <f t="shared" si="47"/>
        <v>nie</v>
      </c>
      <c r="BB73" s="128">
        <f t="shared" si="48"/>
        <v>748.3</v>
      </c>
      <c r="BC73" s="128">
        <f t="shared" si="158"/>
        <v>106575.29124999999</v>
      </c>
      <c r="BD73" s="128">
        <f t="shared" si="50"/>
        <v>281.41425000000237</v>
      </c>
      <c r="BE73" s="130">
        <f t="shared" si="51"/>
        <v>3.5999999999999997E-2</v>
      </c>
      <c r="BF73" s="128">
        <f t="shared" si="52"/>
        <v>1733.2575441179604</v>
      </c>
      <c r="BG73" s="128">
        <f t="shared" si="159"/>
        <v>108027.13454411796</v>
      </c>
      <c r="BI73" s="124">
        <f t="shared" si="124"/>
        <v>30</v>
      </c>
      <c r="BJ73" s="130">
        <f t="shared" si="148"/>
        <v>3.9100000000000003E-2</v>
      </c>
      <c r="BK73" s="127">
        <f t="shared" si="125"/>
        <v>1000</v>
      </c>
      <c r="BL73" s="128">
        <f t="shared" si="126"/>
        <v>100000</v>
      </c>
      <c r="BM73" s="128">
        <f t="shared" si="142"/>
        <v>100000</v>
      </c>
      <c r="BN73" s="128">
        <f t="shared" si="127"/>
        <v>108993.60000000001</v>
      </c>
      <c r="BO73" s="130">
        <f t="shared" si="54"/>
        <v>4.3999999999999997E-2</v>
      </c>
      <c r="BP73" s="128">
        <f t="shared" si="55"/>
        <v>111391.45920000001</v>
      </c>
      <c r="BQ73" s="128" t="str">
        <f t="shared" si="56"/>
        <v>nie</v>
      </c>
      <c r="BR73" s="128">
        <f t="shared" si="57"/>
        <v>1000</v>
      </c>
      <c r="BS73" s="128">
        <f t="shared" si="153"/>
        <v>108417.08195200001</v>
      </c>
      <c r="BT73" s="128">
        <f t="shared" si="128"/>
        <v>0</v>
      </c>
      <c r="BU73" s="130">
        <f t="shared" si="59"/>
        <v>3.5999999999999997E-2</v>
      </c>
      <c r="BV73" s="128">
        <f t="shared" si="60"/>
        <v>0</v>
      </c>
      <c r="BW73" s="128">
        <f t="shared" si="61"/>
        <v>108417.08195200001</v>
      </c>
      <c r="BY73" s="130">
        <f t="shared" si="149"/>
        <v>3.1E-2</v>
      </c>
      <c r="BZ73" s="127">
        <f t="shared" si="129"/>
        <v>1000</v>
      </c>
      <c r="CA73" s="128">
        <f t="shared" si="130"/>
        <v>100000</v>
      </c>
      <c r="CB73" s="128">
        <f t="shared" si="154"/>
        <v>100000</v>
      </c>
      <c r="CC73" s="128">
        <f t="shared" si="131"/>
        <v>100000</v>
      </c>
      <c r="CD73" s="130">
        <f t="shared" si="62"/>
        <v>4.5999999999999999E-2</v>
      </c>
      <c r="CE73" s="128">
        <f t="shared" si="63"/>
        <v>102299.99999999999</v>
      </c>
      <c r="CF73" s="128" t="str">
        <f t="shared" si="64"/>
        <v>nie</v>
      </c>
      <c r="CG73" s="128">
        <f t="shared" si="65"/>
        <v>2000</v>
      </c>
      <c r="CH73" s="128">
        <f t="shared" si="160"/>
        <v>100242.99999999999</v>
      </c>
      <c r="CI73" s="128">
        <f t="shared" si="67"/>
        <v>0</v>
      </c>
      <c r="CJ73" s="130">
        <f t="shared" si="68"/>
        <v>3.5999999999999997E-2</v>
      </c>
      <c r="CK73" s="128">
        <f t="shared" si="69"/>
        <v>7799.9673113866438</v>
      </c>
      <c r="CL73" s="128">
        <f t="shared" si="70"/>
        <v>108042.96731138663</v>
      </c>
      <c r="CN73" s="127">
        <f t="shared" si="132"/>
        <v>1000</v>
      </c>
      <c r="CO73" s="128">
        <f t="shared" si="133"/>
        <v>100000</v>
      </c>
      <c r="CP73" s="128">
        <f t="shared" si="134"/>
        <v>100000</v>
      </c>
      <c r="CQ73" s="128">
        <f t="shared" si="135"/>
        <v>110722.85</v>
      </c>
      <c r="CR73" s="130">
        <f t="shared" si="71"/>
        <v>5.1000000000000004E-2</v>
      </c>
      <c r="CS73" s="128">
        <f t="shared" si="72"/>
        <v>113546.28267500001</v>
      </c>
      <c r="CT73" s="128" t="str">
        <f t="shared" si="73"/>
        <v>nie</v>
      </c>
      <c r="CU73" s="128">
        <f t="shared" si="74"/>
        <v>3000</v>
      </c>
      <c r="CV73" s="128">
        <f t="shared" si="75"/>
        <v>108542.48896675001</v>
      </c>
      <c r="CW73" s="128">
        <f t="shared" si="76"/>
        <v>0</v>
      </c>
      <c r="CX73" s="130">
        <f t="shared" si="77"/>
        <v>3.5999999999999997E-2</v>
      </c>
      <c r="CY73" s="128">
        <f t="shared" si="78"/>
        <v>0</v>
      </c>
      <c r="CZ73" s="128">
        <f t="shared" si="79"/>
        <v>108542.48896675001</v>
      </c>
      <c r="DA73" s="20"/>
      <c r="DB73" s="127">
        <f t="shared" si="144"/>
        <v>1000</v>
      </c>
      <c r="DC73" s="128">
        <f t="shared" si="145"/>
        <v>100000</v>
      </c>
      <c r="DD73" s="128">
        <f t="shared" si="136"/>
        <v>100000</v>
      </c>
      <c r="DE73" s="128">
        <f t="shared" si="137"/>
        <v>110355</v>
      </c>
      <c r="DF73" s="130">
        <f t="shared" si="80"/>
        <v>5.1000000000000004E-2</v>
      </c>
      <c r="DG73" s="128">
        <f t="shared" si="81"/>
        <v>113169.05250000001</v>
      </c>
      <c r="DH73" s="128" t="str">
        <f t="shared" si="82"/>
        <v>nie</v>
      </c>
      <c r="DI73" s="128">
        <f t="shared" si="83"/>
        <v>2000</v>
      </c>
      <c r="DJ73" s="128">
        <f t="shared" si="84"/>
        <v>109046.93252500001</v>
      </c>
      <c r="DK73" s="128">
        <f t="shared" si="85"/>
        <v>0</v>
      </c>
      <c r="DL73" s="130">
        <f t="shared" si="86"/>
        <v>3.5999999999999997E-2</v>
      </c>
      <c r="DM73" s="128">
        <f t="shared" si="87"/>
        <v>0</v>
      </c>
      <c r="DN73" s="128">
        <f t="shared" si="88"/>
        <v>109046.93252500001</v>
      </c>
      <c r="DP73" s="127">
        <f t="shared" si="146"/>
        <v>1000</v>
      </c>
      <c r="DQ73" s="128">
        <f t="shared" si="147"/>
        <v>100000</v>
      </c>
      <c r="DR73" s="128">
        <f t="shared" si="138"/>
        <v>100000</v>
      </c>
      <c r="DS73" s="128">
        <f t="shared" si="139"/>
        <v>111513.60000000001</v>
      </c>
      <c r="DT73" s="130">
        <f t="shared" si="89"/>
        <v>5.6000000000000001E-2</v>
      </c>
      <c r="DU73" s="128">
        <f t="shared" si="90"/>
        <v>114635.9808</v>
      </c>
      <c r="DV73" s="128" t="str">
        <f t="shared" si="91"/>
        <v>nie</v>
      </c>
      <c r="DW73" s="128">
        <f t="shared" si="92"/>
        <v>3000</v>
      </c>
      <c r="DX73" s="128">
        <f t="shared" si="93"/>
        <v>109425.14444800001</v>
      </c>
      <c r="DY73" s="128">
        <f t="shared" si="94"/>
        <v>0</v>
      </c>
      <c r="DZ73" s="130">
        <f t="shared" si="95"/>
        <v>3.5999999999999997E-2</v>
      </c>
      <c r="EA73" s="128">
        <f t="shared" si="96"/>
        <v>0</v>
      </c>
      <c r="EB73" s="128">
        <f t="shared" si="97"/>
        <v>109425.14444800001</v>
      </c>
      <c r="EE73" s="68"/>
      <c r="EF73" s="68"/>
      <c r="EG73" s="68"/>
    </row>
    <row r="74" spans="1:137">
      <c r="A74" s="212"/>
      <c r="B74" s="188">
        <f t="shared" si="98"/>
        <v>30</v>
      </c>
      <c r="C74" s="128">
        <f t="shared" si="99"/>
        <v>108324.90390858782</v>
      </c>
      <c r="D74" s="128">
        <f t="shared" si="100"/>
        <v>108027.13454411796</v>
      </c>
      <c r="E74" s="128">
        <f t="shared" si="101"/>
        <v>108417.08195200001</v>
      </c>
      <c r="F74" s="128">
        <f t="shared" si="102"/>
        <v>108042.96731138663</v>
      </c>
      <c r="G74" s="128">
        <f t="shared" si="103"/>
        <v>108542.48896675001</v>
      </c>
      <c r="H74" s="128">
        <f t="shared" si="104"/>
        <v>109046.93252500001</v>
      </c>
      <c r="I74" s="128">
        <f t="shared" si="105"/>
        <v>109425.14444800001</v>
      </c>
      <c r="J74" s="128">
        <f t="shared" si="106"/>
        <v>107552.78558133327</v>
      </c>
      <c r="K74" s="128">
        <f t="shared" si="107"/>
        <v>107943.68954999998</v>
      </c>
      <c r="M74" s="36"/>
      <c r="N74" s="32">
        <f t="shared" si="108"/>
        <v>30</v>
      </c>
      <c r="O74" s="25">
        <f t="shared" si="109"/>
        <v>8.3249039085878218E-2</v>
      </c>
      <c r="P74" s="25">
        <f t="shared" si="110"/>
        <v>8.0271345441179642E-2</v>
      </c>
      <c r="Q74" s="25">
        <f t="shared" si="111"/>
        <v>8.4170819520000162E-2</v>
      </c>
      <c r="R74" s="25">
        <f t="shared" si="30"/>
        <v>8.0429673113866285E-2</v>
      </c>
      <c r="S74" s="25">
        <f t="shared" si="31"/>
        <v>8.5424889667500059E-2</v>
      </c>
      <c r="T74" s="25">
        <f t="shared" si="32"/>
        <v>9.0469325250000177E-2</v>
      </c>
      <c r="U74" s="25">
        <f t="shared" si="33"/>
        <v>9.4251444480000002E-2</v>
      </c>
      <c r="V74" s="25">
        <f t="shared" si="34"/>
        <v>7.5527855813332767E-2</v>
      </c>
      <c r="W74" s="25">
        <f t="shared" si="112"/>
        <v>7.9436895499999771E-2</v>
      </c>
      <c r="X74" s="36"/>
      <c r="Y74" s="36"/>
      <c r="AA74" s="124">
        <f t="shared" si="113"/>
        <v>31</v>
      </c>
      <c r="AB74" s="128">
        <f t="shared" si="35"/>
        <v>108218.28780833331</v>
      </c>
      <c r="AC74" s="124">
        <f t="shared" si="114"/>
        <v>31</v>
      </c>
      <c r="AD74" s="130">
        <f t="shared" si="115"/>
        <v>3.7499999999999999E-2</v>
      </c>
      <c r="AE74" s="127">
        <f t="shared" si="116"/>
        <v>1071</v>
      </c>
      <c r="AF74" s="128">
        <f t="shared" si="117"/>
        <v>106996.3</v>
      </c>
      <c r="AG74" s="128">
        <f t="shared" si="140"/>
        <v>107100</v>
      </c>
      <c r="AH74" s="128">
        <f t="shared" si="118"/>
        <v>107100</v>
      </c>
      <c r="AI74" s="130">
        <f t="shared" si="36"/>
        <v>3.7499999999999999E-2</v>
      </c>
      <c r="AJ74" s="128">
        <f t="shared" si="37"/>
        <v>107434.6875</v>
      </c>
      <c r="AK74" s="128" t="str">
        <f t="shared" si="38"/>
        <v>nie</v>
      </c>
      <c r="AL74" s="128">
        <f t="shared" si="39"/>
        <v>535.5</v>
      </c>
      <c r="AM74" s="128">
        <f t="shared" si="150"/>
        <v>106937.341875</v>
      </c>
      <c r="AN74" s="128">
        <f t="shared" si="41"/>
        <v>271.09687500000001</v>
      </c>
      <c r="AO74" s="130">
        <f t="shared" si="42"/>
        <v>3.5999999999999997E-2</v>
      </c>
      <c r="AP74" s="128">
        <f t="shared" si="43"/>
        <v>1933.78632473569</v>
      </c>
      <c r="AQ74" s="128">
        <f t="shared" si="156"/>
        <v>108600.03132473568</v>
      </c>
      <c r="AS74" s="124">
        <f t="shared" si="119"/>
        <v>31</v>
      </c>
      <c r="AT74" s="130">
        <f t="shared" si="120"/>
        <v>3.7499999999999999E-2</v>
      </c>
      <c r="AU74" s="127">
        <f t="shared" si="121"/>
        <v>1069</v>
      </c>
      <c r="AV74" s="128">
        <f t="shared" si="122"/>
        <v>106799.70000000001</v>
      </c>
      <c r="AW74" s="128">
        <f t="shared" si="151"/>
        <v>106900</v>
      </c>
      <c r="AX74" s="128">
        <f t="shared" si="123"/>
        <v>106900</v>
      </c>
      <c r="AY74" s="130">
        <f t="shared" si="45"/>
        <v>3.9E-2</v>
      </c>
      <c r="AZ74" s="128">
        <f t="shared" si="46"/>
        <v>107247.425</v>
      </c>
      <c r="BA74" s="128" t="str">
        <f t="shared" si="47"/>
        <v>nie</v>
      </c>
      <c r="BB74" s="128">
        <f t="shared" si="48"/>
        <v>748.3</v>
      </c>
      <c r="BC74" s="128">
        <f t="shared" si="158"/>
        <v>106575.29124999999</v>
      </c>
      <c r="BD74" s="128">
        <f t="shared" si="50"/>
        <v>281.41425000000237</v>
      </c>
      <c r="BE74" s="130">
        <f t="shared" si="51"/>
        <v>3.5999999999999997E-2</v>
      </c>
      <c r="BF74" s="128">
        <f t="shared" si="52"/>
        <v>2018.8836099501693</v>
      </c>
      <c r="BG74" s="128">
        <f t="shared" si="159"/>
        <v>108312.76060995016</v>
      </c>
      <c r="BI74" s="124">
        <f t="shared" si="124"/>
        <v>31</v>
      </c>
      <c r="BJ74" s="130">
        <f t="shared" si="148"/>
        <v>3.9100000000000003E-2</v>
      </c>
      <c r="BK74" s="127">
        <f t="shared" si="125"/>
        <v>1000</v>
      </c>
      <c r="BL74" s="128">
        <f t="shared" si="126"/>
        <v>100000</v>
      </c>
      <c r="BM74" s="128">
        <f t="shared" si="142"/>
        <v>100000</v>
      </c>
      <c r="BN74" s="128">
        <f t="shared" si="127"/>
        <v>108993.60000000001</v>
      </c>
      <c r="BO74" s="130">
        <f t="shared" si="54"/>
        <v>4.3999999999999997E-2</v>
      </c>
      <c r="BP74" s="128">
        <f t="shared" si="55"/>
        <v>111791.10240000002</v>
      </c>
      <c r="BQ74" s="128" t="str">
        <f t="shared" si="56"/>
        <v>nie</v>
      </c>
      <c r="BR74" s="128">
        <f t="shared" si="57"/>
        <v>1000</v>
      </c>
      <c r="BS74" s="128">
        <f t="shared" si="153"/>
        <v>108740.79294400002</v>
      </c>
      <c r="BT74" s="128">
        <f t="shared" si="128"/>
        <v>0</v>
      </c>
      <c r="BU74" s="130">
        <f t="shared" si="59"/>
        <v>3.5999999999999997E-2</v>
      </c>
      <c r="BV74" s="128">
        <f t="shared" si="60"/>
        <v>0</v>
      </c>
      <c r="BW74" s="128">
        <f t="shared" si="61"/>
        <v>108740.79294400002</v>
      </c>
      <c r="BY74" s="130">
        <f t="shared" si="149"/>
        <v>3.1E-2</v>
      </c>
      <c r="BZ74" s="127">
        <f t="shared" si="129"/>
        <v>1000</v>
      </c>
      <c r="CA74" s="128">
        <f t="shared" si="130"/>
        <v>100000</v>
      </c>
      <c r="CB74" s="128">
        <f t="shared" si="154"/>
        <v>100000</v>
      </c>
      <c r="CC74" s="128">
        <f t="shared" si="131"/>
        <v>100000</v>
      </c>
      <c r="CD74" s="130">
        <f t="shared" si="62"/>
        <v>4.5999999999999999E-2</v>
      </c>
      <c r="CE74" s="128">
        <f t="shared" si="63"/>
        <v>102683.33333333333</v>
      </c>
      <c r="CF74" s="128" t="str">
        <f t="shared" si="64"/>
        <v>nie</v>
      </c>
      <c r="CG74" s="128">
        <f t="shared" si="65"/>
        <v>2000</v>
      </c>
      <c r="CH74" s="128">
        <f t="shared" si="160"/>
        <v>100553.5</v>
      </c>
      <c r="CI74" s="128">
        <f t="shared" si="67"/>
        <v>0</v>
      </c>
      <c r="CJ74" s="130">
        <f t="shared" si="68"/>
        <v>3.5999999999999997E-2</v>
      </c>
      <c r="CK74" s="128">
        <f t="shared" si="69"/>
        <v>7818.9212319533126</v>
      </c>
      <c r="CL74" s="128">
        <f t="shared" si="70"/>
        <v>108372.42123195331</v>
      </c>
      <c r="CN74" s="127">
        <f t="shared" si="132"/>
        <v>1000</v>
      </c>
      <c r="CO74" s="128">
        <f t="shared" si="133"/>
        <v>100000</v>
      </c>
      <c r="CP74" s="128">
        <f t="shared" si="134"/>
        <v>100000</v>
      </c>
      <c r="CQ74" s="128">
        <f t="shared" si="135"/>
        <v>110722.85</v>
      </c>
      <c r="CR74" s="130">
        <f t="shared" si="71"/>
        <v>5.1000000000000004E-2</v>
      </c>
      <c r="CS74" s="128">
        <f t="shared" si="72"/>
        <v>114016.85478749999</v>
      </c>
      <c r="CT74" s="128" t="str">
        <f t="shared" si="73"/>
        <v>nie</v>
      </c>
      <c r="CU74" s="128">
        <f t="shared" si="74"/>
        <v>3000</v>
      </c>
      <c r="CV74" s="128">
        <f t="shared" si="75"/>
        <v>108923.652377875</v>
      </c>
      <c r="CW74" s="128">
        <f t="shared" si="76"/>
        <v>0</v>
      </c>
      <c r="CX74" s="130">
        <f t="shared" si="77"/>
        <v>3.5999999999999997E-2</v>
      </c>
      <c r="CY74" s="128">
        <f t="shared" si="78"/>
        <v>0</v>
      </c>
      <c r="CZ74" s="128">
        <f t="shared" si="79"/>
        <v>108923.652377875</v>
      </c>
      <c r="DA74" s="20"/>
      <c r="DB74" s="127">
        <f t="shared" si="144"/>
        <v>1000</v>
      </c>
      <c r="DC74" s="128">
        <f t="shared" si="145"/>
        <v>100000</v>
      </c>
      <c r="DD74" s="128">
        <f t="shared" si="136"/>
        <v>100000</v>
      </c>
      <c r="DE74" s="128">
        <f t="shared" si="137"/>
        <v>110355</v>
      </c>
      <c r="DF74" s="130">
        <f t="shared" si="80"/>
        <v>5.1000000000000004E-2</v>
      </c>
      <c r="DG74" s="128">
        <f t="shared" si="81"/>
        <v>113638.06125</v>
      </c>
      <c r="DH74" s="128" t="str">
        <f t="shared" si="82"/>
        <v>nie</v>
      </c>
      <c r="DI74" s="128">
        <f t="shared" si="83"/>
        <v>2000</v>
      </c>
      <c r="DJ74" s="128">
        <f t="shared" si="84"/>
        <v>109426.82961250001</v>
      </c>
      <c r="DK74" s="128">
        <f t="shared" si="85"/>
        <v>0</v>
      </c>
      <c r="DL74" s="130">
        <f t="shared" si="86"/>
        <v>3.5999999999999997E-2</v>
      </c>
      <c r="DM74" s="128">
        <f t="shared" si="87"/>
        <v>0</v>
      </c>
      <c r="DN74" s="128">
        <f t="shared" si="88"/>
        <v>109426.82961250001</v>
      </c>
      <c r="DP74" s="127">
        <f t="shared" si="146"/>
        <v>1000</v>
      </c>
      <c r="DQ74" s="128">
        <f t="shared" si="147"/>
        <v>100000</v>
      </c>
      <c r="DR74" s="128">
        <f t="shared" si="138"/>
        <v>100000</v>
      </c>
      <c r="DS74" s="128">
        <f t="shared" si="139"/>
        <v>111513.60000000001</v>
      </c>
      <c r="DT74" s="130">
        <f t="shared" si="89"/>
        <v>5.6000000000000001E-2</v>
      </c>
      <c r="DU74" s="128">
        <f t="shared" si="90"/>
        <v>115156.37760000001</v>
      </c>
      <c r="DV74" s="128" t="str">
        <f t="shared" si="91"/>
        <v>nie</v>
      </c>
      <c r="DW74" s="128">
        <f t="shared" si="92"/>
        <v>3000</v>
      </c>
      <c r="DX74" s="128">
        <f t="shared" si="93"/>
        <v>109846.66585600001</v>
      </c>
      <c r="DY74" s="128">
        <f t="shared" si="94"/>
        <v>0</v>
      </c>
      <c r="DZ74" s="130">
        <f t="shared" si="95"/>
        <v>3.5999999999999997E-2</v>
      </c>
      <c r="EA74" s="128">
        <f t="shared" si="96"/>
        <v>0</v>
      </c>
      <c r="EB74" s="128">
        <f t="shared" si="97"/>
        <v>109846.66585600001</v>
      </c>
    </row>
    <row r="75" spans="1:137">
      <c r="A75" s="212"/>
      <c r="B75" s="188">
        <f t="shared" si="98"/>
        <v>31</v>
      </c>
      <c r="C75" s="128">
        <f t="shared" si="99"/>
        <v>108600.03132473568</v>
      </c>
      <c r="D75" s="128">
        <f t="shared" si="100"/>
        <v>108312.76060995016</v>
      </c>
      <c r="E75" s="128">
        <f t="shared" si="101"/>
        <v>108740.79294400002</v>
      </c>
      <c r="F75" s="128">
        <f t="shared" si="102"/>
        <v>108372.42123195331</v>
      </c>
      <c r="G75" s="128">
        <f t="shared" si="103"/>
        <v>108923.652377875</v>
      </c>
      <c r="H75" s="128">
        <f t="shared" si="104"/>
        <v>109426.82961250001</v>
      </c>
      <c r="I75" s="128">
        <f t="shared" si="105"/>
        <v>109846.66585600001</v>
      </c>
      <c r="J75" s="128">
        <f t="shared" si="106"/>
        <v>107814.1388502959</v>
      </c>
      <c r="K75" s="128">
        <f t="shared" si="107"/>
        <v>108218.28780833331</v>
      </c>
      <c r="M75" s="36"/>
      <c r="N75" s="32">
        <f t="shared" si="108"/>
        <v>31</v>
      </c>
      <c r="O75" s="25">
        <f t="shared" si="109"/>
        <v>8.6000313247356797E-2</v>
      </c>
      <c r="P75" s="25">
        <f t="shared" si="110"/>
        <v>8.312760609950165E-2</v>
      </c>
      <c r="Q75" s="25">
        <f t="shared" si="111"/>
        <v>8.7407929440000087E-2</v>
      </c>
      <c r="R75" s="25">
        <f t="shared" si="30"/>
        <v>8.3724212319533198E-2</v>
      </c>
      <c r="S75" s="25">
        <f t="shared" si="31"/>
        <v>8.9236523778750021E-2</v>
      </c>
      <c r="T75" s="25">
        <f t="shared" si="32"/>
        <v>9.4268296125000095E-2</v>
      </c>
      <c r="U75" s="25">
        <f t="shared" si="33"/>
        <v>9.8466658560000031E-2</v>
      </c>
      <c r="V75" s="25">
        <f t="shared" si="34"/>
        <v>7.8141388502958931E-2</v>
      </c>
      <c r="W75" s="25">
        <f t="shared" si="112"/>
        <v>8.2182878083333133E-2</v>
      </c>
      <c r="X75" s="36"/>
      <c r="Y75" s="36"/>
      <c r="AA75" s="124">
        <f t="shared" si="113"/>
        <v>32</v>
      </c>
      <c r="AB75" s="128">
        <f t="shared" si="35"/>
        <v>108492.88606666664</v>
      </c>
      <c r="AC75" s="124">
        <f t="shared" si="114"/>
        <v>32</v>
      </c>
      <c r="AD75" s="130">
        <f t="shared" si="115"/>
        <v>3.7499999999999999E-2</v>
      </c>
      <c r="AE75" s="127">
        <f t="shared" si="116"/>
        <v>1071</v>
      </c>
      <c r="AF75" s="128">
        <f t="shared" si="117"/>
        <v>106996.3</v>
      </c>
      <c r="AG75" s="128">
        <f t="shared" si="140"/>
        <v>107100</v>
      </c>
      <c r="AH75" s="128">
        <f t="shared" si="118"/>
        <v>107100</v>
      </c>
      <c r="AI75" s="130">
        <f t="shared" si="36"/>
        <v>3.7499999999999999E-2</v>
      </c>
      <c r="AJ75" s="128">
        <f t="shared" si="37"/>
        <v>107434.6875</v>
      </c>
      <c r="AK75" s="128" t="str">
        <f t="shared" si="38"/>
        <v>nie</v>
      </c>
      <c r="AL75" s="128">
        <f t="shared" si="39"/>
        <v>535.5</v>
      </c>
      <c r="AM75" s="128">
        <f t="shared" si="150"/>
        <v>106937.341875</v>
      </c>
      <c r="AN75" s="128">
        <f t="shared" si="41"/>
        <v>271.09687500000001</v>
      </c>
      <c r="AO75" s="130">
        <f t="shared" si="42"/>
        <v>3.5999999999999997E-2</v>
      </c>
      <c r="AP75" s="128">
        <f t="shared" si="43"/>
        <v>2209.5823005047978</v>
      </c>
      <c r="AQ75" s="128">
        <f t="shared" si="156"/>
        <v>108875.8273005048</v>
      </c>
      <c r="AS75" s="124">
        <f t="shared" si="119"/>
        <v>32</v>
      </c>
      <c r="AT75" s="130">
        <f t="shared" si="120"/>
        <v>3.7499999999999999E-2</v>
      </c>
      <c r="AU75" s="127">
        <f t="shared" si="121"/>
        <v>1069</v>
      </c>
      <c r="AV75" s="128">
        <f t="shared" si="122"/>
        <v>106799.70000000001</v>
      </c>
      <c r="AW75" s="128">
        <f t="shared" si="151"/>
        <v>106900</v>
      </c>
      <c r="AX75" s="128">
        <f t="shared" si="123"/>
        <v>106900</v>
      </c>
      <c r="AY75" s="130">
        <f t="shared" si="45"/>
        <v>3.9E-2</v>
      </c>
      <c r="AZ75" s="128">
        <f t="shared" si="46"/>
        <v>107247.425</v>
      </c>
      <c r="BA75" s="128" t="str">
        <f t="shared" si="47"/>
        <v>nie</v>
      </c>
      <c r="BB75" s="128">
        <f t="shared" si="48"/>
        <v>748.3</v>
      </c>
      <c r="BC75" s="128">
        <f t="shared" si="158"/>
        <v>106575.29124999999</v>
      </c>
      <c r="BD75" s="128">
        <f t="shared" si="50"/>
        <v>281.41425000000237</v>
      </c>
      <c r="BE75" s="130">
        <f t="shared" si="51"/>
        <v>3.5999999999999997E-2</v>
      </c>
      <c r="BF75" s="128">
        <f t="shared" si="52"/>
        <v>2305.2037471223507</v>
      </c>
      <c r="BG75" s="128">
        <f t="shared" si="159"/>
        <v>108599.08074712234</v>
      </c>
      <c r="BI75" s="124">
        <f t="shared" si="124"/>
        <v>32</v>
      </c>
      <c r="BJ75" s="130">
        <f t="shared" si="148"/>
        <v>3.9100000000000003E-2</v>
      </c>
      <c r="BK75" s="127">
        <f t="shared" si="125"/>
        <v>1000</v>
      </c>
      <c r="BL75" s="128">
        <f t="shared" si="126"/>
        <v>100000</v>
      </c>
      <c r="BM75" s="128">
        <f t="shared" si="142"/>
        <v>100000</v>
      </c>
      <c r="BN75" s="128">
        <f t="shared" si="127"/>
        <v>108993.60000000001</v>
      </c>
      <c r="BO75" s="130">
        <f t="shared" si="54"/>
        <v>4.3999999999999997E-2</v>
      </c>
      <c r="BP75" s="128">
        <f t="shared" si="55"/>
        <v>112190.74560000002</v>
      </c>
      <c r="BQ75" s="128" t="str">
        <f t="shared" si="56"/>
        <v>nie</v>
      </c>
      <c r="BR75" s="128">
        <f t="shared" si="57"/>
        <v>1000</v>
      </c>
      <c r="BS75" s="128">
        <f t="shared" si="153"/>
        <v>109064.50393600002</v>
      </c>
      <c r="BT75" s="128">
        <f t="shared" si="128"/>
        <v>0</v>
      </c>
      <c r="BU75" s="130">
        <f t="shared" si="59"/>
        <v>3.5999999999999997E-2</v>
      </c>
      <c r="BV75" s="128">
        <f t="shared" si="60"/>
        <v>0</v>
      </c>
      <c r="BW75" s="128">
        <f t="shared" si="61"/>
        <v>109064.50393600002</v>
      </c>
      <c r="BY75" s="130">
        <f t="shared" si="149"/>
        <v>3.1E-2</v>
      </c>
      <c r="BZ75" s="127">
        <f t="shared" si="129"/>
        <v>1000</v>
      </c>
      <c r="CA75" s="128">
        <f t="shared" si="130"/>
        <v>100000</v>
      </c>
      <c r="CB75" s="128">
        <f t="shared" si="154"/>
        <v>100000</v>
      </c>
      <c r="CC75" s="128">
        <f t="shared" si="131"/>
        <v>100000</v>
      </c>
      <c r="CD75" s="130">
        <f t="shared" si="62"/>
        <v>4.5999999999999999E-2</v>
      </c>
      <c r="CE75" s="128">
        <f t="shared" si="63"/>
        <v>103066.66666666666</v>
      </c>
      <c r="CF75" s="128" t="str">
        <f t="shared" si="64"/>
        <v>nie</v>
      </c>
      <c r="CG75" s="128">
        <f t="shared" si="65"/>
        <v>2000</v>
      </c>
      <c r="CH75" s="128">
        <f t="shared" si="160"/>
        <v>100863.99999999999</v>
      </c>
      <c r="CI75" s="128">
        <f t="shared" si="67"/>
        <v>0</v>
      </c>
      <c r="CJ75" s="130">
        <f t="shared" si="68"/>
        <v>3.5999999999999997E-2</v>
      </c>
      <c r="CK75" s="128">
        <f t="shared" si="69"/>
        <v>7837.9212105469587</v>
      </c>
      <c r="CL75" s="128">
        <f t="shared" si="70"/>
        <v>108701.92121054695</v>
      </c>
      <c r="CN75" s="127">
        <f t="shared" si="132"/>
        <v>1000</v>
      </c>
      <c r="CO75" s="128">
        <f t="shared" si="133"/>
        <v>100000</v>
      </c>
      <c r="CP75" s="128">
        <f t="shared" si="134"/>
        <v>100000</v>
      </c>
      <c r="CQ75" s="128">
        <f t="shared" si="135"/>
        <v>110722.85</v>
      </c>
      <c r="CR75" s="130">
        <f t="shared" si="71"/>
        <v>5.1000000000000004E-2</v>
      </c>
      <c r="CS75" s="128">
        <f t="shared" si="72"/>
        <v>114487.42690000001</v>
      </c>
      <c r="CT75" s="128" t="str">
        <f t="shared" si="73"/>
        <v>nie</v>
      </c>
      <c r="CU75" s="128">
        <f t="shared" si="74"/>
        <v>3000</v>
      </c>
      <c r="CV75" s="128">
        <f t="shared" si="75"/>
        <v>109304.815789</v>
      </c>
      <c r="CW75" s="128">
        <f t="shared" si="76"/>
        <v>0</v>
      </c>
      <c r="CX75" s="130">
        <f t="shared" si="77"/>
        <v>3.5999999999999997E-2</v>
      </c>
      <c r="CY75" s="128">
        <f t="shared" si="78"/>
        <v>0</v>
      </c>
      <c r="CZ75" s="128">
        <f t="shared" si="79"/>
        <v>109304.815789</v>
      </c>
      <c r="DA75" s="20"/>
      <c r="DB75" s="127">
        <f t="shared" si="144"/>
        <v>1000</v>
      </c>
      <c r="DC75" s="128">
        <f t="shared" si="145"/>
        <v>100000</v>
      </c>
      <c r="DD75" s="128">
        <f t="shared" si="136"/>
        <v>100000</v>
      </c>
      <c r="DE75" s="128">
        <f t="shared" si="137"/>
        <v>110355</v>
      </c>
      <c r="DF75" s="130">
        <f t="shared" si="80"/>
        <v>5.1000000000000004E-2</v>
      </c>
      <c r="DG75" s="128">
        <f t="shared" si="81"/>
        <v>114107.07</v>
      </c>
      <c r="DH75" s="128" t="str">
        <f t="shared" si="82"/>
        <v>nie</v>
      </c>
      <c r="DI75" s="128">
        <f t="shared" si="83"/>
        <v>2000</v>
      </c>
      <c r="DJ75" s="128">
        <f t="shared" si="84"/>
        <v>109806.7267</v>
      </c>
      <c r="DK75" s="128">
        <f t="shared" si="85"/>
        <v>0</v>
      </c>
      <c r="DL75" s="130">
        <f t="shared" si="86"/>
        <v>3.5999999999999997E-2</v>
      </c>
      <c r="DM75" s="128">
        <f t="shared" si="87"/>
        <v>0</v>
      </c>
      <c r="DN75" s="128">
        <f t="shared" si="88"/>
        <v>109806.7267</v>
      </c>
      <c r="DP75" s="127">
        <f t="shared" si="146"/>
        <v>1000</v>
      </c>
      <c r="DQ75" s="128">
        <f t="shared" si="147"/>
        <v>100000</v>
      </c>
      <c r="DR75" s="128">
        <f t="shared" si="138"/>
        <v>100000</v>
      </c>
      <c r="DS75" s="128">
        <f t="shared" si="139"/>
        <v>111513.60000000001</v>
      </c>
      <c r="DT75" s="130">
        <f t="shared" si="89"/>
        <v>5.6000000000000001E-2</v>
      </c>
      <c r="DU75" s="128">
        <f t="shared" si="90"/>
        <v>115676.77440000002</v>
      </c>
      <c r="DV75" s="128" t="str">
        <f t="shared" si="91"/>
        <v>nie</v>
      </c>
      <c r="DW75" s="128">
        <f t="shared" si="92"/>
        <v>3000</v>
      </c>
      <c r="DX75" s="128">
        <f t="shared" si="93"/>
        <v>110268.18726400002</v>
      </c>
      <c r="DY75" s="128">
        <f t="shared" si="94"/>
        <v>0</v>
      </c>
      <c r="DZ75" s="130">
        <f t="shared" si="95"/>
        <v>3.5999999999999997E-2</v>
      </c>
      <c r="EA75" s="128">
        <f t="shared" si="96"/>
        <v>0</v>
      </c>
      <c r="EB75" s="128">
        <f t="shared" si="97"/>
        <v>110268.18726400002</v>
      </c>
    </row>
    <row r="76" spans="1:137">
      <c r="A76" s="212"/>
      <c r="B76" s="188">
        <f t="shared" si="98"/>
        <v>32</v>
      </c>
      <c r="C76" s="128">
        <f t="shared" si="99"/>
        <v>108875.8273005048</v>
      </c>
      <c r="D76" s="128">
        <f t="shared" si="100"/>
        <v>108599.08074712234</v>
      </c>
      <c r="E76" s="128">
        <f t="shared" si="101"/>
        <v>109064.50393600002</v>
      </c>
      <c r="F76" s="128">
        <f t="shared" si="102"/>
        <v>108701.92121054695</v>
      </c>
      <c r="G76" s="128">
        <f t="shared" si="103"/>
        <v>109304.815789</v>
      </c>
      <c r="H76" s="128">
        <f t="shared" si="104"/>
        <v>109806.7267</v>
      </c>
      <c r="I76" s="128">
        <f t="shared" si="105"/>
        <v>110268.18726400002</v>
      </c>
      <c r="J76" s="128">
        <f t="shared" si="106"/>
        <v>108076.12720770211</v>
      </c>
      <c r="K76" s="128">
        <f t="shared" si="107"/>
        <v>108492.88606666664</v>
      </c>
      <c r="M76" s="36"/>
      <c r="N76" s="32">
        <f t="shared" si="108"/>
        <v>32</v>
      </c>
      <c r="O76" s="25">
        <f t="shared" si="109"/>
        <v>8.8758273005048016E-2</v>
      </c>
      <c r="P76" s="25">
        <f t="shared" si="110"/>
        <v>8.5990807471223452E-2</v>
      </c>
      <c r="Q76" s="25">
        <f t="shared" si="111"/>
        <v>9.0645039360000235E-2</v>
      </c>
      <c r="R76" s="25">
        <f t="shared" ref="R76:R107" si="161">F76/zakup_domyslny_wartosc-1</f>
        <v>8.701921210546959E-2</v>
      </c>
      <c r="S76" s="25">
        <f t="shared" ref="S76:S107" si="162">G76/zakup_domyslny_wartosc-1</f>
        <v>9.3048157889999983E-2</v>
      </c>
      <c r="T76" s="25">
        <f t="shared" ref="T76:T107" si="163">H76/zakup_domyslny_wartosc-1</f>
        <v>9.8067267000000014E-2</v>
      </c>
      <c r="U76" s="25">
        <f t="shared" ref="U76:U107" si="164">I76/zakup_domyslny_wartosc-1</f>
        <v>0.10268187264000028</v>
      </c>
      <c r="V76" s="25">
        <f t="shared" ref="V76:V107" si="165">J76/zakup_domyslny_wartosc-1</f>
        <v>8.0761272077021218E-2</v>
      </c>
      <c r="W76" s="25">
        <f t="shared" ref="W76:W107" si="166">K76/zakup_domyslny_wartosc-1</f>
        <v>8.4928860666666495E-2</v>
      </c>
      <c r="X76" s="36"/>
      <c r="Y76" s="36"/>
      <c r="AA76" s="124">
        <f t="shared" si="113"/>
        <v>33</v>
      </c>
      <c r="AB76" s="128">
        <f t="shared" ref="AB76:AB107" si="167">zakup_domyslny_wartosc*IFERROR((INDEX(scenariusz_I_inflacja_skumulowana,MATCH(ROUNDDOWN(AA76/12,0),scenariusz_I_rok,0))+1),1)
*(1+MOD(AA76,12)*INDEX(scenariusz_I_inflacja,MATCH(ROUNDUP(AA76/12,0),scenariusz_I_rok,0))/12)</f>
        <v>108767.48432499997</v>
      </c>
      <c r="AC76" s="124">
        <f t="shared" si="114"/>
        <v>33</v>
      </c>
      <c r="AD76" s="130">
        <f t="shared" si="115"/>
        <v>3.7499999999999999E-2</v>
      </c>
      <c r="AE76" s="127">
        <f t="shared" si="116"/>
        <v>1071</v>
      </c>
      <c r="AF76" s="128">
        <f t="shared" si="117"/>
        <v>106996.3</v>
      </c>
      <c r="AG76" s="128">
        <f t="shared" si="140"/>
        <v>107100</v>
      </c>
      <c r="AH76" s="128">
        <f t="shared" si="118"/>
        <v>107100</v>
      </c>
      <c r="AI76" s="130">
        <f t="shared" ref="AI76:AI107" si="168">IF(AND(MOD($AA76,zapadalnosc_ROR)&lt;=zmiana_oprocentowania_co_ile_mc_ROR,MOD($AA76,zapadalnosc_ROR)&lt;&gt;0),proc_I_okres_ROR,(marza_ROR+AD76))</f>
        <v>3.7499999999999999E-2</v>
      </c>
      <c r="AJ76" s="128">
        <f t="shared" ref="AJ76:AJ107" si="169">AH76*(1+AI76*IF(MOD($AA76,wyplata_odsetek_ROR)&lt;&gt;0,MOD($AA76,wyplata_odsetek_ROR),wyplata_odsetek_ROR)/12)</f>
        <v>107434.6875</v>
      </c>
      <c r="AK76" s="128" t="str">
        <f t="shared" ref="AK76:AK107" si="170">IF(MOD($AA76,zapadalnosc_ROR)=0,"tak","nie")</f>
        <v>nie</v>
      </c>
      <c r="AL76" s="128">
        <f t="shared" ref="AL76:AL107" si="171">IF(MOD($AA76,zapadalnosc_ROR)=0,0,
IF(AND(MOD($AA76,zapadalnosc_ROR)&lt;zapadalnosc_ROR,MOD($AA76,zapadalnosc_ROR)&lt;=koszt_wczesniejszy_wykup_ochrona_ROR),
MIN(AJ76-AG76,AE76*koszt_wczesniejszy_wykup_ROR),AE76*koszt_wczesniejszy_wykup_ROR))</f>
        <v>535.5</v>
      </c>
      <c r="AM76" s="128">
        <f t="shared" si="150"/>
        <v>106937.341875</v>
      </c>
      <c r="AN76" s="128">
        <f t="shared" ref="AN76:AN107" si="172">IF(MOD($AA76,wyplata_odsetek_ROR)=0, (AJ76-AG76)*(1-podatek_Belki),0)
+IF(AK76="tak",ROUNDDOWN(AJ76/zamiana_ROR,0)*(100-zamiana_ROR),0)</f>
        <v>271.09687500000001</v>
      </c>
      <c r="AO76" s="130">
        <f t="shared" ref="AO76:AO107" si="173">INDEX(scenariusz_I_konto,MATCH(ROUNDUP($AA76/12,0),scenariusz_I_rok,0))</f>
        <v>3.5999999999999997E-2</v>
      </c>
      <c r="AP76" s="128">
        <f t="shared" ref="AP76:AP107" si="174">(AP75-IF(AK75="tak",ROUNDDOWN(AP75/100,0)*100,0))*
(1+AO76/12*(1-podatek_Belki))+AN76</f>
        <v>2486.0484604950243</v>
      </c>
      <c r="AQ76" s="128">
        <f t="shared" si="156"/>
        <v>109152.29346049503</v>
      </c>
      <c r="AS76" s="124">
        <f t="shared" si="119"/>
        <v>33</v>
      </c>
      <c r="AT76" s="130">
        <f t="shared" si="120"/>
        <v>3.7499999999999999E-2</v>
      </c>
      <c r="AU76" s="127">
        <f t="shared" si="121"/>
        <v>1069</v>
      </c>
      <c r="AV76" s="128">
        <f t="shared" si="122"/>
        <v>106799.70000000001</v>
      </c>
      <c r="AW76" s="128">
        <f t="shared" si="151"/>
        <v>106900</v>
      </c>
      <c r="AX76" s="128">
        <f t="shared" si="123"/>
        <v>106900</v>
      </c>
      <c r="AY76" s="130">
        <f t="shared" ref="AY76:AY107" si="175">IF(AND(MOD($AA76,zapadalnosc_DOR)&lt;=zmiana_oprocentowania_co_ile_mc_DOR,MOD($AA76,zapadalnosc_DOR)&lt;&gt;0),proc_I_okres_DOR,(marza_DOR+AT76))</f>
        <v>3.9E-2</v>
      </c>
      <c r="AZ76" s="128">
        <f t="shared" ref="AZ76:AZ107" si="176">AX76*(1+AY76*IF(MOD($AA76,wyplata_odsetek_DOR)&lt;&gt;0,MOD($AA76,wyplata_odsetek_DOR),wyplata_odsetek_DOR)/12)</f>
        <v>107247.425</v>
      </c>
      <c r="BA76" s="128" t="str">
        <f t="shared" ref="BA76:BA107" si="177">IF(MOD($AA76,zapadalnosc_DOR)=0,"tak","nie")</f>
        <v>nie</v>
      </c>
      <c r="BB76" s="128">
        <f t="shared" ref="BB76:BB107" si="178">IF(MOD($AA76,zapadalnosc_DOR)=0,0,
IF(AND(MOD($AA76,zapadalnosc_DOR)&lt;zapadalnosc_DOR,MOD($AA76,zapadalnosc_DOR)&lt;=koszt_wczesniejszy_wykup_ochrona_DOR),
MIN(AZ76-AW76,AU76*koszt_wczesniejszy_wykup_DOR),AU76*koszt_wczesniejszy_wykup_DOR))</f>
        <v>748.3</v>
      </c>
      <c r="BC76" s="128">
        <f t="shared" si="158"/>
        <v>106575.29124999999</v>
      </c>
      <c r="BD76" s="128">
        <f t="shared" ref="BD76:BD107" si="179">IF(MOD($AA76,wyplata_odsetek_DOR)=0, (AZ76-AW76)*(1-podatek_Belki),0)
+IF(BA76="tak",ROUNDDOWN(AZ76/zamiana_DOR,0)*(100-zamiana_DOR),0)</f>
        <v>281.41425000000237</v>
      </c>
      <c r="BE76" s="130">
        <f t="shared" si="51"/>
        <v>3.5999999999999997E-2</v>
      </c>
      <c r="BF76" s="128">
        <f t="shared" ref="BF76:BF107" si="180">(BF75-IF(BA75="tak",ROUNDDOWN(BF75/100,0)*100,0))*
(1+BE76/12*(1-podatek_Belki))+BD76</f>
        <v>2592.2196422278603</v>
      </c>
      <c r="BG76" s="128">
        <f t="shared" si="159"/>
        <v>108886.09664222786</v>
      </c>
      <c r="BI76" s="124">
        <f t="shared" si="124"/>
        <v>33</v>
      </c>
      <c r="BJ76" s="130">
        <f t="shared" si="148"/>
        <v>3.9100000000000003E-2</v>
      </c>
      <c r="BK76" s="127">
        <f t="shared" si="125"/>
        <v>1000</v>
      </c>
      <c r="BL76" s="128">
        <f t="shared" si="126"/>
        <v>100000</v>
      </c>
      <c r="BM76" s="128">
        <f t="shared" si="142"/>
        <v>100000</v>
      </c>
      <c r="BN76" s="128">
        <f t="shared" si="127"/>
        <v>108993.60000000001</v>
      </c>
      <c r="BO76" s="130">
        <f t="shared" ref="BO76:BO107" si="181">IF(AND(MOD($AA76,zapadalnosc_TOS)&lt;=12,MOD($AA76,zapadalnosc_TOS)&lt;&gt;0),proc_I_okres_TOS,(marza_TOS+proc_I_okres_TOS))</f>
        <v>4.3999999999999997E-2</v>
      </c>
      <c r="BP76" s="128">
        <f t="shared" ref="BP76:BP107" si="182">BN76*(1+BO76*IF(MOD($AA76,12)&lt;&gt;0,MOD($AA76,12),12)/12)</f>
        <v>112590.3888</v>
      </c>
      <c r="BQ76" s="128" t="str">
        <f t="shared" ref="BQ76:BQ107" si="183">IF(MOD($AA76,zapadalnosc_TOS)=0,"tak","nie")</f>
        <v>nie</v>
      </c>
      <c r="BR76" s="128">
        <f t="shared" ref="BR76:BR107" si="184">IF(MOD($AA76,zapadalnosc_TOS)=0,0,
IF(AND(MOD($AA76,zapadalnosc_TOS)&lt;zapadalnosc_TOS,MOD($AA76,zapadalnosc_TOS)&lt;=koszt_wczesniejszy_wykup_ochrona_TOS),
MIN(BP76-BM76,BK76*koszt_wczesniejszy_wykup_TOS),BK76*koszt_wczesniejszy_wykup_TOS))</f>
        <v>1000</v>
      </c>
      <c r="BS76" s="128">
        <f t="shared" si="153"/>
        <v>109388.214928</v>
      </c>
      <c r="BT76" s="128">
        <f t="shared" si="128"/>
        <v>0</v>
      </c>
      <c r="BU76" s="130">
        <f t="shared" ref="BU76:BU107" si="185">INDEX(scenariusz_I_konto,MATCH(ROUNDUP($AA76/12,0),scenariusz_I_rok,0))</f>
        <v>3.5999999999999997E-2</v>
      </c>
      <c r="BV76" s="128">
        <f t="shared" si="60"/>
        <v>0</v>
      </c>
      <c r="BW76" s="128">
        <f t="shared" si="61"/>
        <v>109388.214928</v>
      </c>
      <c r="BY76" s="130">
        <f t="shared" si="149"/>
        <v>3.1E-2</v>
      </c>
      <c r="BZ76" s="127">
        <f t="shared" si="129"/>
        <v>1000</v>
      </c>
      <c r="CA76" s="128">
        <f t="shared" si="130"/>
        <v>100000</v>
      </c>
      <c r="CB76" s="128">
        <f t="shared" si="154"/>
        <v>100000</v>
      </c>
      <c r="CC76" s="128">
        <f t="shared" si="131"/>
        <v>100000</v>
      </c>
      <c r="CD76" s="130">
        <f t="shared" ref="CD76:CD107" si="186">IF(AND(MOD($AA76,zapadalnosc_COI)&lt;=zmiana_oprocentowania_co_ile_mc_COI,MOD($AA76,zapadalnosc_COI)&lt;&gt;0),proc_I_okres_COI,(marza_COI+BY76))</f>
        <v>4.5999999999999999E-2</v>
      </c>
      <c r="CE76" s="128">
        <f t="shared" ref="CE76:CE107" si="187">CC76*(1+CD76*IF(MOD($AA76,wyplata_odsetek_COI)&lt;&gt;0,MOD($AA76,wyplata_odsetek_COI),wyplata_odsetek_COI)/12)</f>
        <v>103450</v>
      </c>
      <c r="CF76" s="128" t="str">
        <f t="shared" ref="CF76:CF107" si="188">IF(MOD($AA76,zapadalnosc_COI)=0,"tak","nie")</f>
        <v>nie</v>
      </c>
      <c r="CG76" s="128">
        <f t="shared" ref="CG76:CG107" si="189">IF(MOD($AA76,zapadalnosc_COI)=0,0,
IF(AND(MOD($AA76,zapadalnosc_COI)&lt;zapadalnosc_COI,MOD($AA76,zapadalnosc_COI)&lt;=koszt_wczesniejszy_wykup_ochrona_COI),
MIN(CE76-CB76,BZ76*koszt_wczesniejszy_wykup_COI),BZ76*koszt_wczesniejszy_wykup_COI))</f>
        <v>2000</v>
      </c>
      <c r="CH76" s="128">
        <f t="shared" si="160"/>
        <v>101174.5</v>
      </c>
      <c r="CI76" s="128">
        <f t="shared" ref="CI76:CI107" si="190" xml:space="preserve"> IF(CF76="tak",
CH76-ROUNDDOWN(CH76/zamiana_COI,0)*zamiana_COI,
IF(MOD($AA76,wyplata_odsetek_COI)=0, (CE76-CB76)*(1-podatek_Belki),0))</f>
        <v>0</v>
      </c>
      <c r="CJ76" s="130">
        <f t="shared" si="68"/>
        <v>3.5999999999999997E-2</v>
      </c>
      <c r="CK76" s="128">
        <f t="shared" ref="CK76:CK107" si="191">(CK75-IF(CF75="tak",ROUNDDOWN(CK75/100,0)*100,0))*
(1+CJ76/12*(1-podatek_Belki))+CI76</f>
        <v>7856.9673590885877</v>
      </c>
      <c r="CL76" s="128">
        <f t="shared" ref="CL76:CL107" si="192">(CK75-IF(MOD($AA75,zapadalnosc_COI)=0,ROUNDDOWN(CK75/100,0)*100,0))*(1+CJ76/12*(1-podatek_Belki))+CH76</f>
        <v>109031.46735908859</v>
      </c>
      <c r="CN76" s="127">
        <f t="shared" si="132"/>
        <v>1000</v>
      </c>
      <c r="CO76" s="128">
        <f t="shared" si="133"/>
        <v>100000</v>
      </c>
      <c r="CP76" s="128">
        <f t="shared" si="134"/>
        <v>100000</v>
      </c>
      <c r="CQ76" s="128">
        <f t="shared" si="135"/>
        <v>110722.85</v>
      </c>
      <c r="CR76" s="130">
        <f t="shared" ref="CR76:CR107" si="193">IF(AND(MOD($AA76,zapadalnosc_EDO)&lt;=12,MOD($AA76,zapadalnosc_EDO)&lt;&gt;0),proc_I_okres_EDO,(marza_EDO+$BY76))</f>
        <v>5.1000000000000004E-2</v>
      </c>
      <c r="CS76" s="128">
        <f t="shared" ref="CS76:CS107" si="194">CQ76*(1+CR76*IF(MOD($AA76,12)&lt;&gt;0,MOD($AA76,12),12)/12)</f>
        <v>114957.99901249999</v>
      </c>
      <c r="CT76" s="128" t="str">
        <f t="shared" ref="CT76:CT107" si="195">IF(MOD($AA76,zapadalnosc_EDO)=0,"tak","nie")</f>
        <v>nie</v>
      </c>
      <c r="CU76" s="128">
        <f t="shared" ref="CU76:CU107" si="196">IF(AND(MOD($AA76,zapadalnosc_EDO)&lt;zapadalnosc_EDO,MOD($AA76,zapadalnosc_EDO)&lt;&gt;0),MIN(CS76-CP76,CN76*koszt_wczesniejszy_wykup_EDO),0)</f>
        <v>3000</v>
      </c>
      <c r="CV76" s="128">
        <f t="shared" ref="CV76:CV107" si="197">CS76-CU76
-(CS76-CP76-CU76)*podatek_Belki</f>
        <v>109685.97920012499</v>
      </c>
      <c r="CW76" s="128">
        <f t="shared" si="76"/>
        <v>0</v>
      </c>
      <c r="CX76" s="130">
        <f t="shared" ref="CX76:CX107" si="198">INDEX(scenariusz_I_konto,MATCH(ROUNDUP($AA76/12,0),scenariusz_I_rok,0))</f>
        <v>3.5999999999999997E-2</v>
      </c>
      <c r="CY76" s="128">
        <f t="shared" ref="CY76:CY107" si="199">CY75*(1+CX76/12*(1-podatek_Belki))+CW76</f>
        <v>0</v>
      </c>
      <c r="CZ76" s="128">
        <f t="shared" ref="CZ76:CZ107" si="200">CY75*(1+CX76/12*(1-podatek_Belki))+CV76</f>
        <v>109685.97920012499</v>
      </c>
      <c r="DA76" s="20"/>
      <c r="DB76" s="127">
        <f t="shared" si="144"/>
        <v>1000</v>
      </c>
      <c r="DC76" s="128">
        <f t="shared" si="145"/>
        <v>100000</v>
      </c>
      <c r="DD76" s="128">
        <f t="shared" si="136"/>
        <v>100000</v>
      </c>
      <c r="DE76" s="128">
        <f t="shared" si="137"/>
        <v>110355</v>
      </c>
      <c r="DF76" s="130">
        <f t="shared" ref="DF76:DF107" si="201">IF(AND(MOD($AA76,zapadalnosc_ROS)&lt;=12,MOD($AA76,zapadalnosc_ROS)&lt;&gt;0),proc_I_okres_ROS,(marza_ROS+$BY76))</f>
        <v>5.1000000000000004E-2</v>
      </c>
      <c r="DG76" s="128">
        <f t="shared" ref="DG76:DG107" si="202">DE76*(1+DF76*IF(MOD($AA76,12)&lt;&gt;0,MOD($AA76,12),12)/12)</f>
        <v>114576.07874999999</v>
      </c>
      <c r="DH76" s="128" t="str">
        <f t="shared" ref="DH76:DH107" si="203">IF(MOD($AA76,zapadalnosc_ROS)=0,"tak","nie")</f>
        <v>nie</v>
      </c>
      <c r="DI76" s="128">
        <f t="shared" ref="DI76:DI107" si="204">IF(AND(MOD($AA76,zapadalnosc_ROS)&lt;zapadalnosc_ROS,MOD($AA76,zapadalnosc_ROS)&lt;&gt;0),MIN(DG76-DD76,DB76*koszt_wczesniejszy_wykup_ROS),0)</f>
        <v>2000</v>
      </c>
      <c r="DJ76" s="128">
        <f t="shared" ref="DJ76:DJ107" si="205">DG76-DI76
-(DG76-DD76-DI76)*podatek_Belki</f>
        <v>110186.62378749999</v>
      </c>
      <c r="DK76" s="128">
        <f t="shared" si="85"/>
        <v>0</v>
      </c>
      <c r="DL76" s="130">
        <f t="shared" ref="DL76:DL107" si="206">INDEX(scenariusz_I_konto,MATCH(ROUNDUP($AA76/12,0),scenariusz_I_rok,0))</f>
        <v>3.5999999999999997E-2</v>
      </c>
      <c r="DM76" s="128">
        <f t="shared" ref="DM76:DM107" si="207">DM75*(1+DL76/12*(1-podatek_Belki))+DK76</f>
        <v>0</v>
      </c>
      <c r="DN76" s="128">
        <f t="shared" ref="DN76:DN107" si="208">DM75*(1+DL76/12*(1-podatek_Belki))+DJ76</f>
        <v>110186.62378749999</v>
      </c>
      <c r="DP76" s="127">
        <f t="shared" si="146"/>
        <v>1000</v>
      </c>
      <c r="DQ76" s="128">
        <f t="shared" si="147"/>
        <v>100000</v>
      </c>
      <c r="DR76" s="128">
        <f t="shared" si="138"/>
        <v>100000</v>
      </c>
      <c r="DS76" s="128">
        <f t="shared" si="139"/>
        <v>111513.60000000001</v>
      </c>
      <c r="DT76" s="130">
        <f t="shared" ref="DT76:DT107" si="209">IF(AND(MOD($AA76,zapadalnosc_ROD)&lt;=12,MOD($AA76,zapadalnosc_ROD)&lt;&gt;0),proc_I_okres_ROD,(marza_ROD+$BY76))</f>
        <v>5.6000000000000001E-2</v>
      </c>
      <c r="DU76" s="128">
        <f t="shared" ref="DU76:DU107" si="210">DS76*(1+DT76*IF(MOD($AA76,12)&lt;&gt;0,MOD($AA76,12),12)/12)</f>
        <v>116197.17120000001</v>
      </c>
      <c r="DV76" s="128" t="str">
        <f t="shared" ref="DV76:DV107" si="211">IF(MOD($AA76,zapadalnosc_ROD)=0,"tak","nie")</f>
        <v>nie</v>
      </c>
      <c r="DW76" s="128">
        <f t="shared" ref="DW76:DW107" si="212">IF(AND(MOD($AA76,zapadalnosc_ROD)&lt;zapadalnosc_ROD,MOD($AA76,zapadalnosc_ROD)&lt;&gt;0),MIN(DU76-DR76,DP76*koszt_wczesniejszy_wykup_ROD),0)</f>
        <v>3000</v>
      </c>
      <c r="DX76" s="128">
        <f t="shared" si="93"/>
        <v>110689.70867200001</v>
      </c>
      <c r="DY76" s="128">
        <f t="shared" si="94"/>
        <v>0</v>
      </c>
      <c r="DZ76" s="130">
        <f t="shared" ref="DZ76:DZ107" si="213">INDEX(scenariusz_I_konto,MATCH(ROUNDUP($AA76/12,0),scenariusz_I_rok,0))</f>
        <v>3.5999999999999997E-2</v>
      </c>
      <c r="EA76" s="128">
        <f t="shared" ref="EA76:EA107" si="214">EA75*(1+DZ76/12*(1-podatek_Belki))+DY76</f>
        <v>0</v>
      </c>
      <c r="EB76" s="128">
        <f t="shared" ref="EB76:EB107" si="215">EA75*(1+DZ76/12*(1-podatek_Belki))+DX76</f>
        <v>110689.70867200001</v>
      </c>
    </row>
    <row r="77" spans="1:137">
      <c r="A77" s="212"/>
      <c r="B77" s="188">
        <f t="shared" ref="B77:B108" si="216">AA76</f>
        <v>33</v>
      </c>
      <c r="C77" s="128">
        <f t="shared" ref="C77:C108" si="217">AQ76</f>
        <v>109152.29346049503</v>
      </c>
      <c r="D77" s="128">
        <f t="shared" ref="D77:D108" si="218">BG76</f>
        <v>108886.09664222786</v>
      </c>
      <c r="E77" s="128">
        <f t="shared" ref="E77:E108" si="219">BW76</f>
        <v>109388.214928</v>
      </c>
      <c r="F77" s="128">
        <f t="shared" ref="F77:F108" si="220">CL76</f>
        <v>109031.46735908859</v>
      </c>
      <c r="G77" s="128">
        <f t="shared" ref="G77:G108" si="221">CZ76</f>
        <v>109685.97920012499</v>
      </c>
      <c r="H77" s="128">
        <f t="shared" ref="H77:H108" si="222">DN76</f>
        <v>110186.62378749999</v>
      </c>
      <c r="I77" s="128">
        <f t="shared" ref="I77:I108" si="223">EB76</f>
        <v>110689.70867200001</v>
      </c>
      <c r="J77" s="128">
        <f t="shared" ref="J77:J108" si="224">FV(INDEX(scenariusz_I_konto,MATCH(ROUNDUP(B77/12,0),scenariusz_I_rok,0))/12*(1-podatek_Belki),1,0,-J76,1)</f>
        <v>108338.75219681681</v>
      </c>
      <c r="K77" s="128">
        <f t="shared" ref="K77:K108" si="225">AB76</f>
        <v>108767.48432499997</v>
      </c>
      <c r="M77" s="36"/>
      <c r="N77" s="32">
        <f t="shared" ref="N77:N108" si="226">B77</f>
        <v>33</v>
      </c>
      <c r="O77" s="25">
        <f t="shared" si="109"/>
        <v>9.1522934604950201E-2</v>
      </c>
      <c r="P77" s="25">
        <f t="shared" si="110"/>
        <v>8.8860966422278587E-2</v>
      </c>
      <c r="Q77" s="25">
        <f t="shared" si="111"/>
        <v>9.3882149279999938E-2</v>
      </c>
      <c r="R77" s="25">
        <f t="shared" si="161"/>
        <v>9.0314673590885963E-2</v>
      </c>
      <c r="S77" s="25">
        <f t="shared" si="162"/>
        <v>9.6859792001249945E-2</v>
      </c>
      <c r="T77" s="25">
        <f t="shared" si="163"/>
        <v>0.10186623787499993</v>
      </c>
      <c r="U77" s="25">
        <f t="shared" si="164"/>
        <v>0.10689708672000009</v>
      </c>
      <c r="V77" s="25">
        <f t="shared" si="165"/>
        <v>8.3387521968168121E-2</v>
      </c>
      <c r="W77" s="25">
        <f t="shared" si="166"/>
        <v>8.7674843249999634E-2</v>
      </c>
      <c r="X77" s="36"/>
      <c r="Y77" s="36"/>
      <c r="AA77" s="124">
        <f t="shared" si="113"/>
        <v>34</v>
      </c>
      <c r="AB77" s="128">
        <f t="shared" si="167"/>
        <v>109042.08258333331</v>
      </c>
      <c r="AC77" s="124">
        <f t="shared" si="114"/>
        <v>34</v>
      </c>
      <c r="AD77" s="130">
        <f t="shared" ref="AD77:AD108" si="227">MAX(INDEX(scenariusz_I_stopa_NBP,MATCH(ROUNDUP(AC77/12,0),scenariusz_I_rok,0)),0)</f>
        <v>3.7499999999999999E-2</v>
      </c>
      <c r="AE77" s="127">
        <f t="shared" ref="AE77:AE108" si="228">IF(AK76="tak",
ROUNDDOWN(AM76/zamiana_ROR,0)+ROUNDDOWN(AP76/100,0),
AE76)</f>
        <v>1071</v>
      </c>
      <c r="AF77" s="128">
        <f t="shared" ref="AF77:AF108" si="229">IF(AK76="tak",
ROUNDDOWN(AM76/zamiana_ROR,0)*zamiana_ROR+ROUNDDOWN(AP76/100,0)*100,
AF76)</f>
        <v>106996.3</v>
      </c>
      <c r="AG77" s="128">
        <f t="shared" si="140"/>
        <v>107100</v>
      </c>
      <c r="AH77" s="128">
        <f t="shared" si="118"/>
        <v>107100</v>
      </c>
      <c r="AI77" s="130">
        <f t="shared" si="168"/>
        <v>3.7499999999999999E-2</v>
      </c>
      <c r="AJ77" s="128">
        <f t="shared" si="169"/>
        <v>107434.6875</v>
      </c>
      <c r="AK77" s="128" t="str">
        <f t="shared" si="170"/>
        <v>nie</v>
      </c>
      <c r="AL77" s="128">
        <f t="shared" si="171"/>
        <v>535.5</v>
      </c>
      <c r="AM77" s="128">
        <f t="shared" si="150"/>
        <v>106937.341875</v>
      </c>
      <c r="AN77" s="128">
        <f t="shared" si="172"/>
        <v>271.09687500000001</v>
      </c>
      <c r="AO77" s="130">
        <f t="shared" si="173"/>
        <v>3.5999999999999997E-2</v>
      </c>
      <c r="AP77" s="128">
        <f t="shared" si="174"/>
        <v>2763.1864332540272</v>
      </c>
      <c r="AQ77" s="128">
        <f t="shared" si="156"/>
        <v>109429.43143325402</v>
      </c>
      <c r="AS77" s="124">
        <f t="shared" si="119"/>
        <v>34</v>
      </c>
      <c r="AT77" s="130">
        <f t="shared" si="120"/>
        <v>3.7499999999999999E-2</v>
      </c>
      <c r="AU77" s="127">
        <f t="shared" ref="AU77:AU108" si="230">IF(BA76="tak",
ROUNDDOWN(BC76/zamiana_DOR,0)+ROUNDDOWN(BF76/100,0),
AU76)</f>
        <v>1069</v>
      </c>
      <c r="AV77" s="128">
        <f t="shared" ref="AV77:AV108" si="231">IF(BA76="tak",
ROUNDDOWN(BC76/zamiana_DOR,0)*zamiana_DOR+ROUNDDOWN(BF76/100,0)*100,
AV76)</f>
        <v>106799.70000000001</v>
      </c>
      <c r="AW77" s="128">
        <f t="shared" si="151"/>
        <v>106900</v>
      </c>
      <c r="AX77" s="128">
        <f t="shared" si="123"/>
        <v>106900</v>
      </c>
      <c r="AY77" s="130">
        <f t="shared" si="175"/>
        <v>3.9E-2</v>
      </c>
      <c r="AZ77" s="128">
        <f t="shared" si="176"/>
        <v>107247.425</v>
      </c>
      <c r="BA77" s="128" t="str">
        <f t="shared" si="177"/>
        <v>nie</v>
      </c>
      <c r="BB77" s="128">
        <f t="shared" si="178"/>
        <v>748.3</v>
      </c>
      <c r="BC77" s="128">
        <f t="shared" si="158"/>
        <v>106575.29124999999</v>
      </c>
      <c r="BD77" s="128">
        <f t="shared" si="179"/>
        <v>281.41425000000237</v>
      </c>
      <c r="BE77" s="130">
        <f t="shared" si="51"/>
        <v>3.5999999999999997E-2</v>
      </c>
      <c r="BF77" s="128">
        <f t="shared" si="180"/>
        <v>2879.9329859584764</v>
      </c>
      <c r="BG77" s="128">
        <f t="shared" si="159"/>
        <v>109173.80998595846</v>
      </c>
      <c r="BI77" s="124">
        <f t="shared" si="124"/>
        <v>34</v>
      </c>
      <c r="BJ77" s="130">
        <f t="shared" si="148"/>
        <v>3.9100000000000003E-2</v>
      </c>
      <c r="BK77" s="127">
        <f t="shared" ref="BK77:BK108" si="232">IF(BQ76="tak",
ROUNDDOWN(BS76/zamiana_TOS,0),
BK76)</f>
        <v>1000</v>
      </c>
      <c r="BL77" s="128">
        <f t="shared" ref="BL77:BL108" si="233">IF(BQ76="tak",
BK77*zamiana_TOS,
BL76)</f>
        <v>100000</v>
      </c>
      <c r="BM77" s="128">
        <f t="shared" si="142"/>
        <v>100000</v>
      </c>
      <c r="BN77" s="128">
        <f t="shared" ref="BN77:BN108" si="234">IF(BQ76="tak",
 BM77,
IF(MOD($AA77,kapitalizacja_odsetek_mc_ROS)&lt;&gt;1,BN76,BP76))</f>
        <v>108993.60000000001</v>
      </c>
      <c r="BO77" s="130">
        <f t="shared" si="181"/>
        <v>4.3999999999999997E-2</v>
      </c>
      <c r="BP77" s="128">
        <f t="shared" si="182"/>
        <v>112990.03200000001</v>
      </c>
      <c r="BQ77" s="128" t="str">
        <f t="shared" si="183"/>
        <v>nie</v>
      </c>
      <c r="BR77" s="128">
        <f t="shared" si="184"/>
        <v>1000</v>
      </c>
      <c r="BS77" s="128">
        <f t="shared" si="153"/>
        <v>109711.92592000001</v>
      </c>
      <c r="BT77" s="128">
        <f t="shared" si="128"/>
        <v>0</v>
      </c>
      <c r="BU77" s="130">
        <f t="shared" si="185"/>
        <v>3.5999999999999997E-2</v>
      </c>
      <c r="BV77" s="128">
        <f t="shared" si="60"/>
        <v>0</v>
      </c>
      <c r="BW77" s="128">
        <f t="shared" si="61"/>
        <v>109711.92592000001</v>
      </c>
      <c r="BY77" s="130">
        <f t="shared" si="149"/>
        <v>3.1E-2</v>
      </c>
      <c r="BZ77" s="127">
        <f t="shared" ref="BZ77:BZ108" si="235">IF(CF76="tak",
ROUNDDOWN(CH76/zamiana_COI,0)+ROUNDDOWN(CK76/100,0),
BZ76)</f>
        <v>1000</v>
      </c>
      <c r="CA77" s="128">
        <f t="shared" ref="CA77:CA108" si="236">IF(CF76="tak",
ROUNDDOWN(CH76/zamiana_COI,0)*zamiana_COI+ROUNDDOWN(CK76/100,0)*100,
CA76)</f>
        <v>100000</v>
      </c>
      <c r="CB77" s="128">
        <f t="shared" si="154"/>
        <v>100000</v>
      </c>
      <c r="CC77" s="128">
        <f t="shared" si="131"/>
        <v>100000</v>
      </c>
      <c r="CD77" s="130">
        <f t="shared" si="186"/>
        <v>4.5999999999999999E-2</v>
      </c>
      <c r="CE77" s="128">
        <f t="shared" si="187"/>
        <v>103833.33333333333</v>
      </c>
      <c r="CF77" s="128" t="str">
        <f t="shared" si="188"/>
        <v>nie</v>
      </c>
      <c r="CG77" s="128">
        <f t="shared" si="189"/>
        <v>2000</v>
      </c>
      <c r="CH77" s="128">
        <f t="shared" si="160"/>
        <v>101485</v>
      </c>
      <c r="CI77" s="128">
        <f t="shared" si="190"/>
        <v>0</v>
      </c>
      <c r="CJ77" s="130">
        <f t="shared" si="68"/>
        <v>3.5999999999999997E-2</v>
      </c>
      <c r="CK77" s="128">
        <f t="shared" si="191"/>
        <v>7876.0597897711723</v>
      </c>
      <c r="CL77" s="128">
        <f t="shared" si="192"/>
        <v>109361.05978977117</v>
      </c>
      <c r="CN77" s="127">
        <f t="shared" ref="CN77:CN108" si="237">IF(CT76="tak",
ROUNDDOWN(CV76/zamiana_EDO,0),
CN76)</f>
        <v>1000</v>
      </c>
      <c r="CO77" s="128">
        <f t="shared" ref="CO77:CO108" si="238">IF(CT76="tak",
CN77*zamiana_EDO,
CO76)</f>
        <v>100000</v>
      </c>
      <c r="CP77" s="128">
        <f t="shared" si="134"/>
        <v>100000</v>
      </c>
      <c r="CQ77" s="128">
        <f t="shared" ref="CQ77:CQ108" si="239">IF(CT76="tak",
 CP77,
IF(MOD($AA77,kapitalizacja_odsetek_mc_EDO)&lt;&gt;1,CQ76,CS76))</f>
        <v>110722.85</v>
      </c>
      <c r="CR77" s="130">
        <f t="shared" si="193"/>
        <v>5.1000000000000004E-2</v>
      </c>
      <c r="CS77" s="128">
        <f t="shared" si="194"/>
        <v>115428.571125</v>
      </c>
      <c r="CT77" s="128" t="str">
        <f t="shared" si="195"/>
        <v>nie</v>
      </c>
      <c r="CU77" s="128">
        <f t="shared" si="196"/>
        <v>3000</v>
      </c>
      <c r="CV77" s="128">
        <f t="shared" si="197"/>
        <v>110067.14261125</v>
      </c>
      <c r="CW77" s="128">
        <f t="shared" si="76"/>
        <v>0</v>
      </c>
      <c r="CX77" s="130">
        <f t="shared" si="198"/>
        <v>3.5999999999999997E-2</v>
      </c>
      <c r="CY77" s="128">
        <f t="shared" si="199"/>
        <v>0</v>
      </c>
      <c r="CZ77" s="128">
        <f t="shared" si="200"/>
        <v>110067.14261125</v>
      </c>
      <c r="DA77" s="20"/>
      <c r="DB77" s="127">
        <f t="shared" si="144"/>
        <v>1000</v>
      </c>
      <c r="DC77" s="128">
        <f t="shared" si="145"/>
        <v>100000</v>
      </c>
      <c r="DD77" s="128">
        <f t="shared" si="136"/>
        <v>100000</v>
      </c>
      <c r="DE77" s="128">
        <f t="shared" ref="DE77:DE108" si="240">IF(DH76="tak",
 DD77,
IF(MOD($AA77,kapitalizacja_odsetek_mc_ROS)&lt;&gt;1,DE76,DG76))</f>
        <v>110355</v>
      </c>
      <c r="DF77" s="130">
        <f t="shared" si="201"/>
        <v>5.1000000000000004E-2</v>
      </c>
      <c r="DG77" s="128">
        <f t="shared" si="202"/>
        <v>115045.08749999999</v>
      </c>
      <c r="DH77" s="128" t="str">
        <f t="shared" si="203"/>
        <v>nie</v>
      </c>
      <c r="DI77" s="128">
        <f t="shared" si="204"/>
        <v>2000</v>
      </c>
      <c r="DJ77" s="128">
        <f t="shared" si="205"/>
        <v>110566.520875</v>
      </c>
      <c r="DK77" s="128">
        <f t="shared" si="85"/>
        <v>0</v>
      </c>
      <c r="DL77" s="130">
        <f t="shared" si="206"/>
        <v>3.5999999999999997E-2</v>
      </c>
      <c r="DM77" s="128">
        <f t="shared" si="207"/>
        <v>0</v>
      </c>
      <c r="DN77" s="128">
        <f t="shared" si="208"/>
        <v>110566.520875</v>
      </c>
      <c r="DP77" s="127">
        <f t="shared" si="146"/>
        <v>1000</v>
      </c>
      <c r="DQ77" s="128">
        <f t="shared" si="147"/>
        <v>100000</v>
      </c>
      <c r="DR77" s="128">
        <f t="shared" si="138"/>
        <v>100000</v>
      </c>
      <c r="DS77" s="128">
        <f t="shared" ref="DS77:DS108" si="241">IF(DV76="tak",
 DR77,
IF(MOD($AA77,kapitalizacja_odsetek_mc_ROD)&lt;&gt;1,DS76,DU76))</f>
        <v>111513.60000000001</v>
      </c>
      <c r="DT77" s="130">
        <f t="shared" si="209"/>
        <v>5.6000000000000001E-2</v>
      </c>
      <c r="DU77" s="128">
        <f t="shared" si="210"/>
        <v>116717.568</v>
      </c>
      <c r="DV77" s="128" t="str">
        <f t="shared" si="211"/>
        <v>nie</v>
      </c>
      <c r="DW77" s="128">
        <f t="shared" si="212"/>
        <v>3000</v>
      </c>
      <c r="DX77" s="128">
        <f t="shared" si="93"/>
        <v>111111.23007999999</v>
      </c>
      <c r="DY77" s="128">
        <f t="shared" si="94"/>
        <v>0</v>
      </c>
      <c r="DZ77" s="130">
        <f t="shared" si="213"/>
        <v>3.5999999999999997E-2</v>
      </c>
      <c r="EA77" s="128">
        <f t="shared" si="214"/>
        <v>0</v>
      </c>
      <c r="EB77" s="128">
        <f t="shared" si="215"/>
        <v>111111.23007999999</v>
      </c>
    </row>
    <row r="78" spans="1:137">
      <c r="A78" s="212"/>
      <c r="B78" s="188">
        <f t="shared" si="216"/>
        <v>34</v>
      </c>
      <c r="C78" s="128">
        <f t="shared" si="217"/>
        <v>109429.43143325402</v>
      </c>
      <c r="D78" s="128">
        <f t="shared" si="218"/>
        <v>109173.80998595846</v>
      </c>
      <c r="E78" s="128">
        <f t="shared" si="219"/>
        <v>109711.92592000001</v>
      </c>
      <c r="F78" s="128">
        <f t="shared" si="220"/>
        <v>109361.05978977117</v>
      </c>
      <c r="G78" s="128">
        <f t="shared" si="221"/>
        <v>110067.14261125</v>
      </c>
      <c r="H78" s="128">
        <f t="shared" si="222"/>
        <v>110566.520875</v>
      </c>
      <c r="I78" s="128">
        <f t="shared" si="223"/>
        <v>111111.23007999999</v>
      </c>
      <c r="J78" s="128">
        <f t="shared" si="224"/>
        <v>108602.01536465508</v>
      </c>
      <c r="K78" s="128">
        <f t="shared" si="225"/>
        <v>109042.08258333331</v>
      </c>
      <c r="M78" s="36"/>
      <c r="N78" s="32">
        <f t="shared" si="226"/>
        <v>34</v>
      </c>
      <c r="O78" s="25">
        <f t="shared" si="109"/>
        <v>9.4294314332540319E-2</v>
      </c>
      <c r="P78" s="25">
        <f t="shared" si="110"/>
        <v>9.1738099859584699E-2</v>
      </c>
      <c r="Q78" s="25">
        <f t="shared" si="111"/>
        <v>9.7119259200000085E-2</v>
      </c>
      <c r="R78" s="25">
        <f t="shared" si="161"/>
        <v>9.3610597897711756E-2</v>
      </c>
      <c r="S78" s="25">
        <f t="shared" si="162"/>
        <v>0.10067142611250013</v>
      </c>
      <c r="T78" s="25">
        <f t="shared" si="163"/>
        <v>0.10566520875000007</v>
      </c>
      <c r="U78" s="25">
        <f t="shared" si="164"/>
        <v>0.1111123007999999</v>
      </c>
      <c r="V78" s="25">
        <f t="shared" si="165"/>
        <v>8.6020153646550801E-2</v>
      </c>
      <c r="W78" s="25">
        <f t="shared" si="166"/>
        <v>9.0420825833332996E-2</v>
      </c>
      <c r="X78" s="36"/>
      <c r="Y78" s="36"/>
      <c r="AA78" s="124">
        <f t="shared" si="113"/>
        <v>35</v>
      </c>
      <c r="AB78" s="128">
        <f t="shared" si="167"/>
        <v>109316.68084166665</v>
      </c>
      <c r="AC78" s="124">
        <f t="shared" si="114"/>
        <v>35</v>
      </c>
      <c r="AD78" s="130">
        <f t="shared" si="227"/>
        <v>3.7499999999999999E-2</v>
      </c>
      <c r="AE78" s="127">
        <f t="shared" si="228"/>
        <v>1071</v>
      </c>
      <c r="AF78" s="128">
        <f t="shared" si="229"/>
        <v>106996.3</v>
      </c>
      <c r="AG78" s="128">
        <f t="shared" si="140"/>
        <v>107100</v>
      </c>
      <c r="AH78" s="128">
        <f t="shared" si="118"/>
        <v>107100</v>
      </c>
      <c r="AI78" s="130">
        <f t="shared" si="168"/>
        <v>3.7499999999999999E-2</v>
      </c>
      <c r="AJ78" s="128">
        <f t="shared" si="169"/>
        <v>107434.6875</v>
      </c>
      <c r="AK78" s="128" t="str">
        <f t="shared" si="170"/>
        <v>nie</v>
      </c>
      <c r="AL78" s="128">
        <f t="shared" si="171"/>
        <v>535.5</v>
      </c>
      <c r="AM78" s="128">
        <f t="shared" si="150"/>
        <v>106937.341875</v>
      </c>
      <c r="AN78" s="128">
        <f t="shared" si="172"/>
        <v>271.09687500000001</v>
      </c>
      <c r="AO78" s="130">
        <f t="shared" si="173"/>
        <v>3.5999999999999997E-2</v>
      </c>
      <c r="AP78" s="128">
        <f t="shared" si="174"/>
        <v>3040.9978512868342</v>
      </c>
      <c r="AQ78" s="128">
        <f t="shared" si="156"/>
        <v>109707.24285128684</v>
      </c>
      <c r="AS78" s="124">
        <f t="shared" si="119"/>
        <v>35</v>
      </c>
      <c r="AT78" s="130">
        <f t="shared" si="120"/>
        <v>3.7499999999999999E-2</v>
      </c>
      <c r="AU78" s="127">
        <f t="shared" si="230"/>
        <v>1069</v>
      </c>
      <c r="AV78" s="128">
        <f t="shared" si="231"/>
        <v>106799.70000000001</v>
      </c>
      <c r="AW78" s="128">
        <f t="shared" si="151"/>
        <v>106900</v>
      </c>
      <c r="AX78" s="128">
        <f t="shared" si="123"/>
        <v>106900</v>
      </c>
      <c r="AY78" s="130">
        <f t="shared" si="175"/>
        <v>3.9E-2</v>
      </c>
      <c r="AZ78" s="128">
        <f t="shared" si="176"/>
        <v>107247.425</v>
      </c>
      <c r="BA78" s="128" t="str">
        <f t="shared" si="177"/>
        <v>nie</v>
      </c>
      <c r="BB78" s="128">
        <f t="shared" si="178"/>
        <v>748.3</v>
      </c>
      <c r="BC78" s="128">
        <f t="shared" si="158"/>
        <v>106575.29124999999</v>
      </c>
      <c r="BD78" s="128">
        <f t="shared" si="179"/>
        <v>281.41425000000237</v>
      </c>
      <c r="BE78" s="130">
        <f t="shared" si="51"/>
        <v>3.5999999999999997E-2</v>
      </c>
      <c r="BF78" s="128">
        <f t="shared" si="180"/>
        <v>3168.3454731143579</v>
      </c>
      <c r="BG78" s="128">
        <f t="shared" si="159"/>
        <v>109462.22247311435</v>
      </c>
      <c r="BI78" s="124">
        <f t="shared" si="124"/>
        <v>35</v>
      </c>
      <c r="BJ78" s="130">
        <f t="shared" si="148"/>
        <v>3.9100000000000003E-2</v>
      </c>
      <c r="BK78" s="127">
        <f t="shared" si="232"/>
        <v>1000</v>
      </c>
      <c r="BL78" s="128">
        <f t="shared" si="233"/>
        <v>100000</v>
      </c>
      <c r="BM78" s="128">
        <f t="shared" si="142"/>
        <v>100000</v>
      </c>
      <c r="BN78" s="128">
        <f t="shared" si="234"/>
        <v>108993.60000000001</v>
      </c>
      <c r="BO78" s="130">
        <f t="shared" si="181"/>
        <v>4.3999999999999997E-2</v>
      </c>
      <c r="BP78" s="128">
        <f t="shared" si="182"/>
        <v>113389.67520000001</v>
      </c>
      <c r="BQ78" s="128" t="str">
        <f t="shared" si="183"/>
        <v>nie</v>
      </c>
      <c r="BR78" s="128">
        <f t="shared" si="184"/>
        <v>1000</v>
      </c>
      <c r="BS78" s="128">
        <f t="shared" si="153"/>
        <v>110035.63691200002</v>
      </c>
      <c r="BT78" s="128">
        <f t="shared" si="128"/>
        <v>0</v>
      </c>
      <c r="BU78" s="130">
        <f t="shared" si="185"/>
        <v>3.5999999999999997E-2</v>
      </c>
      <c r="BV78" s="128">
        <f t="shared" si="60"/>
        <v>0</v>
      </c>
      <c r="BW78" s="128">
        <f t="shared" si="61"/>
        <v>110035.63691200002</v>
      </c>
      <c r="BY78" s="130">
        <f t="shared" si="149"/>
        <v>3.1E-2</v>
      </c>
      <c r="BZ78" s="127">
        <f t="shared" si="235"/>
        <v>1000</v>
      </c>
      <c r="CA78" s="128">
        <f t="shared" si="236"/>
        <v>100000</v>
      </c>
      <c r="CB78" s="128">
        <f t="shared" si="154"/>
        <v>100000</v>
      </c>
      <c r="CC78" s="128">
        <f t="shared" si="131"/>
        <v>100000</v>
      </c>
      <c r="CD78" s="130">
        <f t="shared" si="186"/>
        <v>4.5999999999999999E-2</v>
      </c>
      <c r="CE78" s="128">
        <f t="shared" si="187"/>
        <v>104216.66666666667</v>
      </c>
      <c r="CF78" s="128" t="str">
        <f t="shared" si="188"/>
        <v>nie</v>
      </c>
      <c r="CG78" s="128">
        <f t="shared" si="189"/>
        <v>2000</v>
      </c>
      <c r="CH78" s="128">
        <f t="shared" si="160"/>
        <v>101795.5</v>
      </c>
      <c r="CI78" s="128">
        <f t="shared" si="190"/>
        <v>0</v>
      </c>
      <c r="CJ78" s="130">
        <f t="shared" si="68"/>
        <v>3.5999999999999997E-2</v>
      </c>
      <c r="CK78" s="128">
        <f t="shared" si="191"/>
        <v>7895.1986150603161</v>
      </c>
      <c r="CL78" s="128">
        <f t="shared" si="192"/>
        <v>109690.69861506032</v>
      </c>
      <c r="CN78" s="127">
        <f t="shared" si="237"/>
        <v>1000</v>
      </c>
      <c r="CO78" s="128">
        <f t="shared" si="238"/>
        <v>100000</v>
      </c>
      <c r="CP78" s="128">
        <f t="shared" si="134"/>
        <v>100000</v>
      </c>
      <c r="CQ78" s="128">
        <f t="shared" si="239"/>
        <v>110722.85</v>
      </c>
      <c r="CR78" s="130">
        <f t="shared" si="193"/>
        <v>5.1000000000000004E-2</v>
      </c>
      <c r="CS78" s="128">
        <f t="shared" si="194"/>
        <v>115899.14323750001</v>
      </c>
      <c r="CT78" s="128" t="str">
        <f t="shared" si="195"/>
        <v>nie</v>
      </c>
      <c r="CU78" s="128">
        <f t="shared" si="196"/>
        <v>3000</v>
      </c>
      <c r="CV78" s="128">
        <f t="shared" si="197"/>
        <v>110448.30602237501</v>
      </c>
      <c r="CW78" s="128">
        <f t="shared" si="76"/>
        <v>0</v>
      </c>
      <c r="CX78" s="130">
        <f t="shared" si="198"/>
        <v>3.5999999999999997E-2</v>
      </c>
      <c r="CY78" s="128">
        <f t="shared" si="199"/>
        <v>0</v>
      </c>
      <c r="CZ78" s="128">
        <f t="shared" si="200"/>
        <v>110448.30602237501</v>
      </c>
      <c r="DA78" s="20"/>
      <c r="DB78" s="127">
        <f t="shared" si="144"/>
        <v>1000</v>
      </c>
      <c r="DC78" s="128">
        <f t="shared" si="145"/>
        <v>100000</v>
      </c>
      <c r="DD78" s="128">
        <f t="shared" si="136"/>
        <v>100000</v>
      </c>
      <c r="DE78" s="128">
        <f t="shared" si="240"/>
        <v>110355</v>
      </c>
      <c r="DF78" s="130">
        <f t="shared" si="201"/>
        <v>5.1000000000000004E-2</v>
      </c>
      <c r="DG78" s="128">
        <f t="shared" si="202"/>
        <v>115514.09625</v>
      </c>
      <c r="DH78" s="128" t="str">
        <f t="shared" si="203"/>
        <v>nie</v>
      </c>
      <c r="DI78" s="128">
        <f t="shared" si="204"/>
        <v>2000</v>
      </c>
      <c r="DJ78" s="128">
        <f t="shared" si="205"/>
        <v>110946.4179625</v>
      </c>
      <c r="DK78" s="128">
        <f t="shared" si="85"/>
        <v>0</v>
      </c>
      <c r="DL78" s="130">
        <f t="shared" si="206"/>
        <v>3.5999999999999997E-2</v>
      </c>
      <c r="DM78" s="128">
        <f t="shared" si="207"/>
        <v>0</v>
      </c>
      <c r="DN78" s="128">
        <f t="shared" si="208"/>
        <v>110946.4179625</v>
      </c>
      <c r="DP78" s="127">
        <f t="shared" si="146"/>
        <v>1000</v>
      </c>
      <c r="DQ78" s="128">
        <f t="shared" si="147"/>
        <v>100000</v>
      </c>
      <c r="DR78" s="128">
        <f t="shared" si="138"/>
        <v>100000</v>
      </c>
      <c r="DS78" s="128">
        <f t="shared" si="241"/>
        <v>111513.60000000001</v>
      </c>
      <c r="DT78" s="130">
        <f t="shared" si="209"/>
        <v>5.6000000000000001E-2</v>
      </c>
      <c r="DU78" s="128">
        <f t="shared" si="210"/>
        <v>117237.9648</v>
      </c>
      <c r="DV78" s="128" t="str">
        <f t="shared" si="211"/>
        <v>nie</v>
      </c>
      <c r="DW78" s="128">
        <f t="shared" si="212"/>
        <v>3000</v>
      </c>
      <c r="DX78" s="128">
        <f t="shared" si="93"/>
        <v>111532.75148799999</v>
      </c>
      <c r="DY78" s="128">
        <f t="shared" si="94"/>
        <v>0</v>
      </c>
      <c r="DZ78" s="130">
        <f t="shared" si="213"/>
        <v>3.5999999999999997E-2</v>
      </c>
      <c r="EA78" s="128">
        <f t="shared" si="214"/>
        <v>0</v>
      </c>
      <c r="EB78" s="128">
        <f t="shared" si="215"/>
        <v>111532.75148799999</v>
      </c>
    </row>
    <row r="79" spans="1:137" ht="14.25" customHeight="1">
      <c r="A79" s="212"/>
      <c r="B79" s="188">
        <f t="shared" si="216"/>
        <v>35</v>
      </c>
      <c r="C79" s="128">
        <f t="shared" si="217"/>
        <v>109707.24285128684</v>
      </c>
      <c r="D79" s="128">
        <f t="shared" si="218"/>
        <v>109462.22247311435</v>
      </c>
      <c r="E79" s="128">
        <f t="shared" si="219"/>
        <v>110035.63691200002</v>
      </c>
      <c r="F79" s="128">
        <f t="shared" si="220"/>
        <v>109690.69861506032</v>
      </c>
      <c r="G79" s="128">
        <f t="shared" si="221"/>
        <v>110448.30602237501</v>
      </c>
      <c r="H79" s="128">
        <f t="shared" si="222"/>
        <v>110946.4179625</v>
      </c>
      <c r="I79" s="128">
        <f t="shared" si="223"/>
        <v>111532.75148799999</v>
      </c>
      <c r="J79" s="128">
        <f t="shared" si="224"/>
        <v>108865.91826199117</v>
      </c>
      <c r="K79" s="128">
        <f t="shared" si="225"/>
        <v>109316.68084166665</v>
      </c>
      <c r="M79" s="36"/>
      <c r="N79" s="32">
        <f t="shared" si="226"/>
        <v>35</v>
      </c>
      <c r="O79" s="25">
        <f t="shared" si="109"/>
        <v>9.7072428512868347E-2</v>
      </c>
      <c r="P79" s="25">
        <f t="shared" si="110"/>
        <v>9.4622224731143456E-2</v>
      </c>
      <c r="Q79" s="25">
        <f t="shared" si="111"/>
        <v>0.10035636912000023</v>
      </c>
      <c r="R79" s="25">
        <f t="shared" si="161"/>
        <v>9.6906986150603114E-2</v>
      </c>
      <c r="S79" s="25">
        <f t="shared" si="162"/>
        <v>0.10448306022375009</v>
      </c>
      <c r="T79" s="25">
        <f t="shared" si="163"/>
        <v>0.10946417962499999</v>
      </c>
      <c r="U79" s="25">
        <f t="shared" si="164"/>
        <v>0.11532751487999993</v>
      </c>
      <c r="V79" s="25">
        <f t="shared" si="165"/>
        <v>8.8659182619911681E-2</v>
      </c>
      <c r="W79" s="25">
        <f t="shared" si="166"/>
        <v>9.3166808416666358E-2</v>
      </c>
      <c r="X79" s="36"/>
      <c r="Y79" s="36"/>
      <c r="AA79" s="124">
        <f t="shared" si="113"/>
        <v>36</v>
      </c>
      <c r="AB79" s="128">
        <f t="shared" si="167"/>
        <v>109591.27909999997</v>
      </c>
      <c r="AC79" s="124">
        <f t="shared" si="114"/>
        <v>36</v>
      </c>
      <c r="AD79" s="130">
        <f t="shared" si="227"/>
        <v>3.7499999999999999E-2</v>
      </c>
      <c r="AE79" s="127">
        <f t="shared" si="228"/>
        <v>1071</v>
      </c>
      <c r="AF79" s="128">
        <f t="shared" si="229"/>
        <v>106996.3</v>
      </c>
      <c r="AG79" s="128">
        <f t="shared" si="140"/>
        <v>107100</v>
      </c>
      <c r="AH79" s="128">
        <f t="shared" si="118"/>
        <v>107100</v>
      </c>
      <c r="AI79" s="130">
        <f t="shared" si="168"/>
        <v>3.7499999999999999E-2</v>
      </c>
      <c r="AJ79" s="128">
        <f t="shared" si="169"/>
        <v>107434.6875</v>
      </c>
      <c r="AK79" s="128" t="str">
        <f t="shared" si="170"/>
        <v>tak</v>
      </c>
      <c r="AL79" s="128">
        <f t="shared" si="171"/>
        <v>0</v>
      </c>
      <c r="AM79" s="128">
        <f t="shared" si="150"/>
        <v>107371.096875</v>
      </c>
      <c r="AN79" s="128">
        <f t="shared" si="172"/>
        <v>378.59687499999393</v>
      </c>
      <c r="AO79" s="130">
        <f t="shared" si="173"/>
        <v>3.5999999999999997E-2</v>
      </c>
      <c r="AP79" s="128">
        <f t="shared" si="174"/>
        <v>3426.984351065455</v>
      </c>
      <c r="AQ79" s="128">
        <f t="shared" si="156"/>
        <v>110419.48435106546</v>
      </c>
      <c r="AS79" s="124">
        <f t="shared" si="119"/>
        <v>36</v>
      </c>
      <c r="AT79" s="130">
        <f t="shared" si="120"/>
        <v>3.7499999999999999E-2</v>
      </c>
      <c r="AU79" s="127">
        <f t="shared" si="230"/>
        <v>1069</v>
      </c>
      <c r="AV79" s="128">
        <f t="shared" si="231"/>
        <v>106799.70000000001</v>
      </c>
      <c r="AW79" s="128">
        <f t="shared" si="151"/>
        <v>106900</v>
      </c>
      <c r="AX79" s="128">
        <f t="shared" si="123"/>
        <v>106900</v>
      </c>
      <c r="AY79" s="130">
        <f t="shared" si="175"/>
        <v>3.9E-2</v>
      </c>
      <c r="AZ79" s="128">
        <f t="shared" si="176"/>
        <v>107247.425</v>
      </c>
      <c r="BA79" s="128" t="str">
        <f t="shared" si="177"/>
        <v>nie</v>
      </c>
      <c r="BB79" s="128">
        <f t="shared" si="178"/>
        <v>748.3</v>
      </c>
      <c r="BC79" s="128">
        <f t="shared" si="158"/>
        <v>106575.29124999999</v>
      </c>
      <c r="BD79" s="128">
        <f t="shared" si="179"/>
        <v>281.41425000000237</v>
      </c>
      <c r="BE79" s="130">
        <f t="shared" si="51"/>
        <v>3.5999999999999997E-2</v>
      </c>
      <c r="BF79" s="128">
        <f t="shared" si="180"/>
        <v>3457.4588026140282</v>
      </c>
      <c r="BG79" s="128">
        <f t="shared" si="159"/>
        <v>109751.33580261402</v>
      </c>
      <c r="BI79" s="124">
        <f t="shared" si="124"/>
        <v>36</v>
      </c>
      <c r="BJ79" s="130">
        <f t="shared" si="148"/>
        <v>3.9100000000000003E-2</v>
      </c>
      <c r="BK79" s="127">
        <f t="shared" si="232"/>
        <v>1000</v>
      </c>
      <c r="BL79" s="128">
        <f t="shared" si="233"/>
        <v>100000</v>
      </c>
      <c r="BM79" s="128">
        <f t="shared" si="142"/>
        <v>100000</v>
      </c>
      <c r="BN79" s="128">
        <f t="shared" si="234"/>
        <v>108993.60000000001</v>
      </c>
      <c r="BO79" s="130">
        <f t="shared" si="181"/>
        <v>4.3999999999999997E-2</v>
      </c>
      <c r="BP79" s="128">
        <f t="shared" si="182"/>
        <v>113789.3184</v>
      </c>
      <c r="BQ79" s="128" t="str">
        <f t="shared" si="183"/>
        <v>tak</v>
      </c>
      <c r="BR79" s="128">
        <f t="shared" si="184"/>
        <v>0</v>
      </c>
      <c r="BS79" s="128">
        <f t="shared" si="153"/>
        <v>111169.34790400001</v>
      </c>
      <c r="BT79" s="128">
        <f t="shared" si="128"/>
        <v>80.547904000006383</v>
      </c>
      <c r="BU79" s="130">
        <f t="shared" si="185"/>
        <v>3.5999999999999997E-2</v>
      </c>
      <c r="BV79" s="128">
        <f t="shared" si="60"/>
        <v>80.547904000006383</v>
      </c>
      <c r="BW79" s="128">
        <f t="shared" si="61"/>
        <v>111169.34790400001</v>
      </c>
      <c r="BY79" s="130">
        <f t="shared" si="149"/>
        <v>3.1E-2</v>
      </c>
      <c r="BZ79" s="127">
        <f t="shared" si="235"/>
        <v>1000</v>
      </c>
      <c r="CA79" s="128">
        <f t="shared" si="236"/>
        <v>100000</v>
      </c>
      <c r="CB79" s="128">
        <f t="shared" si="154"/>
        <v>100000</v>
      </c>
      <c r="CC79" s="128">
        <f t="shared" si="131"/>
        <v>100000</v>
      </c>
      <c r="CD79" s="130">
        <f t="shared" si="186"/>
        <v>4.5999999999999999E-2</v>
      </c>
      <c r="CE79" s="128">
        <f t="shared" si="187"/>
        <v>104600</v>
      </c>
      <c r="CF79" s="128" t="str">
        <f t="shared" si="188"/>
        <v>nie</v>
      </c>
      <c r="CG79" s="128">
        <f t="shared" si="189"/>
        <v>2000</v>
      </c>
      <c r="CH79" s="128">
        <f t="shared" si="160"/>
        <v>102106</v>
      </c>
      <c r="CI79" s="128">
        <f t="shared" si="190"/>
        <v>3726.0000000000005</v>
      </c>
      <c r="CJ79" s="130">
        <f t="shared" si="68"/>
        <v>3.5999999999999997E-2</v>
      </c>
      <c r="CK79" s="128">
        <f t="shared" si="191"/>
        <v>11640.383947694912</v>
      </c>
      <c r="CL79" s="128">
        <f t="shared" si="192"/>
        <v>110020.38394769491</v>
      </c>
      <c r="CN79" s="127">
        <f t="shared" si="237"/>
        <v>1000</v>
      </c>
      <c r="CO79" s="128">
        <f t="shared" si="238"/>
        <v>100000</v>
      </c>
      <c r="CP79" s="128">
        <f t="shared" si="134"/>
        <v>100000</v>
      </c>
      <c r="CQ79" s="128">
        <f t="shared" si="239"/>
        <v>110722.85</v>
      </c>
      <c r="CR79" s="130">
        <f t="shared" si="193"/>
        <v>5.1000000000000004E-2</v>
      </c>
      <c r="CS79" s="128">
        <f t="shared" si="194"/>
        <v>116369.71535</v>
      </c>
      <c r="CT79" s="128" t="str">
        <f t="shared" si="195"/>
        <v>nie</v>
      </c>
      <c r="CU79" s="128">
        <f t="shared" si="196"/>
        <v>3000</v>
      </c>
      <c r="CV79" s="128">
        <f t="shared" si="197"/>
        <v>110829.46943349999</v>
      </c>
      <c r="CW79" s="128">
        <f t="shared" si="76"/>
        <v>0</v>
      </c>
      <c r="CX79" s="130">
        <f t="shared" si="198"/>
        <v>3.5999999999999997E-2</v>
      </c>
      <c r="CY79" s="128">
        <f t="shared" si="199"/>
        <v>0</v>
      </c>
      <c r="CZ79" s="128">
        <f t="shared" si="200"/>
        <v>110829.46943349999</v>
      </c>
      <c r="DA79" s="20"/>
      <c r="DB79" s="127">
        <f t="shared" si="144"/>
        <v>1000</v>
      </c>
      <c r="DC79" s="128">
        <f t="shared" si="145"/>
        <v>100000</v>
      </c>
      <c r="DD79" s="128">
        <f t="shared" si="136"/>
        <v>100000</v>
      </c>
      <c r="DE79" s="128">
        <f t="shared" si="240"/>
        <v>110355</v>
      </c>
      <c r="DF79" s="130">
        <f t="shared" si="201"/>
        <v>5.1000000000000004E-2</v>
      </c>
      <c r="DG79" s="128">
        <f t="shared" si="202"/>
        <v>115983.105</v>
      </c>
      <c r="DH79" s="128" t="str">
        <f t="shared" si="203"/>
        <v>nie</v>
      </c>
      <c r="DI79" s="128">
        <f t="shared" si="204"/>
        <v>2000</v>
      </c>
      <c r="DJ79" s="128">
        <f t="shared" si="205"/>
        <v>111326.31504999999</v>
      </c>
      <c r="DK79" s="128">
        <f t="shared" si="85"/>
        <v>0</v>
      </c>
      <c r="DL79" s="130">
        <f t="shared" si="206"/>
        <v>3.5999999999999997E-2</v>
      </c>
      <c r="DM79" s="128">
        <f t="shared" si="207"/>
        <v>0</v>
      </c>
      <c r="DN79" s="128">
        <f t="shared" si="208"/>
        <v>111326.31504999999</v>
      </c>
      <c r="DP79" s="127">
        <f t="shared" si="146"/>
        <v>1000</v>
      </c>
      <c r="DQ79" s="128">
        <f t="shared" si="147"/>
        <v>100000</v>
      </c>
      <c r="DR79" s="128">
        <f t="shared" si="138"/>
        <v>100000</v>
      </c>
      <c r="DS79" s="128">
        <f t="shared" si="241"/>
        <v>111513.60000000001</v>
      </c>
      <c r="DT79" s="130">
        <f t="shared" si="209"/>
        <v>5.6000000000000001E-2</v>
      </c>
      <c r="DU79" s="128">
        <f t="shared" si="210"/>
        <v>117758.36160000002</v>
      </c>
      <c r="DV79" s="128" t="str">
        <f t="shared" si="211"/>
        <v>nie</v>
      </c>
      <c r="DW79" s="128">
        <f t="shared" si="212"/>
        <v>3000</v>
      </c>
      <c r="DX79" s="128">
        <f t="shared" si="93"/>
        <v>111954.27289600001</v>
      </c>
      <c r="DY79" s="128">
        <f t="shared" si="94"/>
        <v>0</v>
      </c>
      <c r="DZ79" s="130">
        <f t="shared" si="213"/>
        <v>3.5999999999999997E-2</v>
      </c>
      <c r="EA79" s="128">
        <f t="shared" si="214"/>
        <v>0</v>
      </c>
      <c r="EB79" s="128">
        <f t="shared" si="215"/>
        <v>111954.27289600001</v>
      </c>
    </row>
    <row r="80" spans="1:137">
      <c r="A80" s="212"/>
      <c r="B80" s="188">
        <f t="shared" si="216"/>
        <v>36</v>
      </c>
      <c r="C80" s="128">
        <f t="shared" si="217"/>
        <v>110419.48435106546</v>
      </c>
      <c r="D80" s="128">
        <f t="shared" si="218"/>
        <v>109751.33580261402</v>
      </c>
      <c r="E80" s="128">
        <f t="shared" si="219"/>
        <v>111169.34790400001</v>
      </c>
      <c r="F80" s="128">
        <f t="shared" si="220"/>
        <v>110020.38394769491</v>
      </c>
      <c r="G80" s="128">
        <f t="shared" si="221"/>
        <v>110829.46943349999</v>
      </c>
      <c r="H80" s="128">
        <f t="shared" si="222"/>
        <v>111326.31504999999</v>
      </c>
      <c r="I80" s="128">
        <f t="shared" si="223"/>
        <v>111954.27289600001</v>
      </c>
      <c r="J80" s="128">
        <f t="shared" si="224"/>
        <v>109130.46244336781</v>
      </c>
      <c r="K80" s="128">
        <f t="shared" si="225"/>
        <v>109591.27909999997</v>
      </c>
      <c r="M80" s="36"/>
      <c r="N80" s="32">
        <f t="shared" si="226"/>
        <v>36</v>
      </c>
      <c r="O80" s="25">
        <f t="shared" si="109"/>
        <v>0.10419484351065456</v>
      </c>
      <c r="P80" s="25">
        <f t="shared" si="110"/>
        <v>9.7513358026140251E-2</v>
      </c>
      <c r="Q80" s="25">
        <f t="shared" si="111"/>
        <v>0.11169347904000015</v>
      </c>
      <c r="R80" s="25">
        <f t="shared" si="161"/>
        <v>0.10020383947694911</v>
      </c>
      <c r="S80" s="25">
        <f t="shared" si="162"/>
        <v>0.10829469433500005</v>
      </c>
      <c r="T80" s="25">
        <f t="shared" si="163"/>
        <v>0.11326315049999991</v>
      </c>
      <c r="U80" s="25">
        <f t="shared" si="164"/>
        <v>0.11954272896000018</v>
      </c>
      <c r="V80" s="25">
        <f t="shared" si="165"/>
        <v>9.130462443367815E-2</v>
      </c>
      <c r="W80" s="25">
        <f t="shared" si="166"/>
        <v>9.591279099999972E-2</v>
      </c>
      <c r="X80" s="36"/>
      <c r="Y80" s="36"/>
      <c r="AA80" s="124">
        <f t="shared" si="113"/>
        <v>37</v>
      </c>
      <c r="AB80" s="128">
        <f t="shared" si="167"/>
        <v>109874.38990434165</v>
      </c>
      <c r="AC80" s="124">
        <f t="shared" si="114"/>
        <v>37</v>
      </c>
      <c r="AD80" s="130">
        <f t="shared" si="227"/>
        <v>3.7499999999999999E-2</v>
      </c>
      <c r="AE80" s="127">
        <f t="shared" si="228"/>
        <v>1108</v>
      </c>
      <c r="AF80" s="128">
        <f t="shared" si="229"/>
        <v>110692.6</v>
      </c>
      <c r="AG80" s="128">
        <f t="shared" si="140"/>
        <v>110800</v>
      </c>
      <c r="AH80" s="128">
        <f t="shared" si="118"/>
        <v>110800</v>
      </c>
      <c r="AI80" s="130">
        <f t="shared" si="168"/>
        <v>0.04</v>
      </c>
      <c r="AJ80" s="128">
        <f t="shared" si="169"/>
        <v>111169.33333333334</v>
      </c>
      <c r="AK80" s="128" t="str">
        <f t="shared" si="170"/>
        <v>nie</v>
      </c>
      <c r="AL80" s="128">
        <f t="shared" si="171"/>
        <v>369.33333333334303</v>
      </c>
      <c r="AM80" s="128">
        <f t="shared" si="150"/>
        <v>110800</v>
      </c>
      <c r="AN80" s="128">
        <f t="shared" si="172"/>
        <v>299.16000000000787</v>
      </c>
      <c r="AO80" s="130">
        <f t="shared" si="173"/>
        <v>3.5999999999999997E-2</v>
      </c>
      <c r="AP80" s="128">
        <f t="shared" si="174"/>
        <v>326.20992303855195</v>
      </c>
      <c r="AQ80" s="128">
        <f t="shared" si="156"/>
        <v>114235.31192303855</v>
      </c>
      <c r="AS80" s="124">
        <f t="shared" si="119"/>
        <v>37</v>
      </c>
      <c r="AT80" s="130">
        <f t="shared" si="120"/>
        <v>3.7499999999999999E-2</v>
      </c>
      <c r="AU80" s="127">
        <f t="shared" si="230"/>
        <v>1069</v>
      </c>
      <c r="AV80" s="128">
        <f t="shared" si="231"/>
        <v>106799.70000000001</v>
      </c>
      <c r="AW80" s="128">
        <f t="shared" si="151"/>
        <v>106900</v>
      </c>
      <c r="AX80" s="128">
        <f t="shared" si="123"/>
        <v>106900</v>
      </c>
      <c r="AY80" s="130">
        <f t="shared" si="175"/>
        <v>3.9E-2</v>
      </c>
      <c r="AZ80" s="128">
        <f t="shared" si="176"/>
        <v>107247.425</v>
      </c>
      <c r="BA80" s="128" t="str">
        <f t="shared" si="177"/>
        <v>nie</v>
      </c>
      <c r="BB80" s="128">
        <f t="shared" si="178"/>
        <v>748.3</v>
      </c>
      <c r="BC80" s="128">
        <f t="shared" si="158"/>
        <v>106575.29124999999</v>
      </c>
      <c r="BD80" s="128">
        <f t="shared" si="179"/>
        <v>281.41425000000237</v>
      </c>
      <c r="BE80" s="130">
        <f t="shared" si="51"/>
        <v>3.5999999999999997E-2</v>
      </c>
      <c r="BF80" s="128">
        <f t="shared" si="180"/>
        <v>3747.2746775043825</v>
      </c>
      <c r="BG80" s="128">
        <f t="shared" si="159"/>
        <v>110041.15167750437</v>
      </c>
      <c r="BI80" s="124">
        <f t="shared" si="124"/>
        <v>37</v>
      </c>
      <c r="BJ80" s="130">
        <f t="shared" si="148"/>
        <v>3.9100000000000003E-2</v>
      </c>
      <c r="BK80" s="127">
        <f t="shared" si="232"/>
        <v>1112</v>
      </c>
      <c r="BL80" s="128">
        <f t="shared" si="233"/>
        <v>111088.8</v>
      </c>
      <c r="BM80" s="128">
        <f t="shared" si="142"/>
        <v>111200</v>
      </c>
      <c r="BN80" s="128">
        <f t="shared" si="234"/>
        <v>111200</v>
      </c>
      <c r="BO80" s="130">
        <f t="shared" si="181"/>
        <v>4.3999999999999997E-2</v>
      </c>
      <c r="BP80" s="128">
        <f t="shared" si="182"/>
        <v>111607.73333333334</v>
      </c>
      <c r="BQ80" s="128" t="str">
        <f t="shared" si="183"/>
        <v>nie</v>
      </c>
      <c r="BR80" s="128">
        <f t="shared" si="184"/>
        <v>407.73333333333721</v>
      </c>
      <c r="BS80" s="128">
        <f t="shared" si="153"/>
        <v>111200</v>
      </c>
      <c r="BT80" s="128">
        <f t="shared" si="128"/>
        <v>0</v>
      </c>
      <c r="BU80" s="130">
        <f t="shared" si="185"/>
        <v>3.5999999999999997E-2</v>
      </c>
      <c r="BV80" s="128">
        <f t="shared" si="60"/>
        <v>80.743635406726398</v>
      </c>
      <c r="BW80" s="128">
        <f t="shared" si="61"/>
        <v>111280.74363540673</v>
      </c>
      <c r="BY80" s="130">
        <f t="shared" si="149"/>
        <v>3.1E-2</v>
      </c>
      <c r="BZ80" s="127">
        <f t="shared" si="235"/>
        <v>1000</v>
      </c>
      <c r="CA80" s="128">
        <f t="shared" si="236"/>
        <v>100000</v>
      </c>
      <c r="CB80" s="128">
        <f t="shared" si="154"/>
        <v>100000</v>
      </c>
      <c r="CC80" s="128">
        <f t="shared" si="131"/>
        <v>100000</v>
      </c>
      <c r="CD80" s="130">
        <f t="shared" si="186"/>
        <v>4.5999999999999999E-2</v>
      </c>
      <c r="CE80" s="128">
        <f t="shared" si="187"/>
        <v>100383.33333333333</v>
      </c>
      <c r="CF80" s="128" t="str">
        <f t="shared" si="188"/>
        <v>nie</v>
      </c>
      <c r="CG80" s="128">
        <f t="shared" si="189"/>
        <v>2000</v>
      </c>
      <c r="CH80" s="128">
        <f t="shared" si="160"/>
        <v>98690.5</v>
      </c>
      <c r="CI80" s="128">
        <f t="shared" si="190"/>
        <v>0</v>
      </c>
      <c r="CJ80" s="130">
        <f t="shared" si="68"/>
        <v>3.5999999999999997E-2</v>
      </c>
      <c r="CK80" s="128">
        <f t="shared" si="191"/>
        <v>11668.670080687811</v>
      </c>
      <c r="CL80" s="128">
        <f t="shared" si="192"/>
        <v>110359.17008068781</v>
      </c>
      <c r="CN80" s="127">
        <f t="shared" si="237"/>
        <v>1000</v>
      </c>
      <c r="CO80" s="128">
        <f t="shared" si="238"/>
        <v>100000</v>
      </c>
      <c r="CP80" s="128">
        <f t="shared" si="134"/>
        <v>100000</v>
      </c>
      <c r="CQ80" s="128">
        <f t="shared" si="239"/>
        <v>116369.71535</v>
      </c>
      <c r="CR80" s="130">
        <f t="shared" si="193"/>
        <v>5.1000000000000004E-2</v>
      </c>
      <c r="CS80" s="128">
        <f t="shared" si="194"/>
        <v>116864.28664023751</v>
      </c>
      <c r="CT80" s="128" t="str">
        <f t="shared" si="195"/>
        <v>nie</v>
      </c>
      <c r="CU80" s="128">
        <f t="shared" si="196"/>
        <v>3000</v>
      </c>
      <c r="CV80" s="128">
        <f t="shared" si="197"/>
        <v>111230.07217859238</v>
      </c>
      <c r="CW80" s="128">
        <f t="shared" si="76"/>
        <v>0</v>
      </c>
      <c r="CX80" s="130">
        <f t="shared" si="198"/>
        <v>3.5999999999999997E-2</v>
      </c>
      <c r="CY80" s="128">
        <f t="shared" si="199"/>
        <v>0</v>
      </c>
      <c r="CZ80" s="128">
        <f t="shared" si="200"/>
        <v>111230.07217859238</v>
      </c>
      <c r="DA80" s="20"/>
      <c r="DB80" s="127">
        <f t="shared" si="144"/>
        <v>1000</v>
      </c>
      <c r="DC80" s="128">
        <f t="shared" si="145"/>
        <v>100000</v>
      </c>
      <c r="DD80" s="128">
        <f t="shared" si="136"/>
        <v>100000</v>
      </c>
      <c r="DE80" s="128">
        <f t="shared" si="240"/>
        <v>115983.105</v>
      </c>
      <c r="DF80" s="130">
        <f t="shared" si="201"/>
        <v>5.1000000000000004E-2</v>
      </c>
      <c r="DG80" s="128">
        <f t="shared" si="202"/>
        <v>116476.03319625001</v>
      </c>
      <c r="DH80" s="128" t="str">
        <f t="shared" si="203"/>
        <v>nie</v>
      </c>
      <c r="DI80" s="128">
        <f t="shared" si="204"/>
        <v>2000</v>
      </c>
      <c r="DJ80" s="128">
        <f t="shared" si="205"/>
        <v>111725.5868889625</v>
      </c>
      <c r="DK80" s="128">
        <f t="shared" si="85"/>
        <v>0</v>
      </c>
      <c r="DL80" s="130">
        <f t="shared" si="206"/>
        <v>3.5999999999999997E-2</v>
      </c>
      <c r="DM80" s="128">
        <f t="shared" si="207"/>
        <v>0</v>
      </c>
      <c r="DN80" s="128">
        <f t="shared" si="208"/>
        <v>111725.5868889625</v>
      </c>
      <c r="DP80" s="127">
        <f t="shared" si="146"/>
        <v>1000</v>
      </c>
      <c r="DQ80" s="128">
        <f t="shared" si="147"/>
        <v>100000</v>
      </c>
      <c r="DR80" s="128">
        <f t="shared" si="138"/>
        <v>100000</v>
      </c>
      <c r="DS80" s="128">
        <f t="shared" si="241"/>
        <v>117758.36160000002</v>
      </c>
      <c r="DT80" s="130">
        <f t="shared" si="209"/>
        <v>5.6000000000000001E-2</v>
      </c>
      <c r="DU80" s="128">
        <f t="shared" si="210"/>
        <v>118307.90062080001</v>
      </c>
      <c r="DV80" s="128" t="str">
        <f t="shared" si="211"/>
        <v>nie</v>
      </c>
      <c r="DW80" s="128">
        <f t="shared" si="212"/>
        <v>3000</v>
      </c>
      <c r="DX80" s="128">
        <f t="shared" si="93"/>
        <v>112399.399502848</v>
      </c>
      <c r="DY80" s="128">
        <f t="shared" si="94"/>
        <v>0</v>
      </c>
      <c r="DZ80" s="130">
        <f t="shared" si="213"/>
        <v>3.5999999999999997E-2</v>
      </c>
      <c r="EA80" s="128">
        <f t="shared" si="214"/>
        <v>0</v>
      </c>
      <c r="EB80" s="128">
        <f t="shared" si="215"/>
        <v>112399.399502848</v>
      </c>
    </row>
    <row r="81" spans="1:134">
      <c r="A81" s="212">
        <f>ROUNDUP(B92/12,0)</f>
        <v>4</v>
      </c>
      <c r="B81" s="188">
        <f t="shared" si="216"/>
        <v>37</v>
      </c>
      <c r="C81" s="128">
        <f t="shared" si="217"/>
        <v>114235.31192303855</v>
      </c>
      <c r="D81" s="128">
        <f t="shared" si="218"/>
        <v>110041.15167750437</v>
      </c>
      <c r="E81" s="128">
        <f t="shared" si="219"/>
        <v>111280.74363540673</v>
      </c>
      <c r="F81" s="128">
        <f t="shared" si="220"/>
        <v>110359.17008068781</v>
      </c>
      <c r="G81" s="128">
        <f t="shared" si="221"/>
        <v>111230.07217859238</v>
      </c>
      <c r="H81" s="128">
        <f t="shared" si="222"/>
        <v>111725.5868889625</v>
      </c>
      <c r="I81" s="128">
        <f t="shared" si="223"/>
        <v>112399.399502848</v>
      </c>
      <c r="J81" s="128">
        <f t="shared" si="224"/>
        <v>109395.64946710519</v>
      </c>
      <c r="K81" s="128">
        <f t="shared" si="225"/>
        <v>109874.38990434165</v>
      </c>
      <c r="M81" s="36"/>
      <c r="N81" s="32">
        <f t="shared" si="226"/>
        <v>37</v>
      </c>
      <c r="O81" s="25">
        <f t="shared" si="109"/>
        <v>0.14235311923038552</v>
      </c>
      <c r="P81" s="25">
        <f t="shared" si="110"/>
        <v>0.10041151677504367</v>
      </c>
      <c r="Q81" s="25">
        <f t="shared" si="111"/>
        <v>0.11280743635406743</v>
      </c>
      <c r="R81" s="25">
        <f t="shared" si="161"/>
        <v>0.10359170080687807</v>
      </c>
      <c r="S81" s="25">
        <f t="shared" si="162"/>
        <v>0.11230072178592376</v>
      </c>
      <c r="T81" s="25">
        <f t="shared" si="163"/>
        <v>0.11725586888962503</v>
      </c>
      <c r="U81" s="25">
        <f t="shared" si="164"/>
        <v>0.12399399502848008</v>
      </c>
      <c r="V81" s="25">
        <f t="shared" si="165"/>
        <v>9.3956494671051827E-2</v>
      </c>
      <c r="W81" s="25">
        <f t="shared" si="166"/>
        <v>9.8743899043416405E-2</v>
      </c>
      <c r="X81" s="36"/>
      <c r="Y81" s="36"/>
      <c r="AA81" s="124">
        <f t="shared" si="113"/>
        <v>38</v>
      </c>
      <c r="AB81" s="128">
        <f t="shared" si="167"/>
        <v>110157.50070868332</v>
      </c>
      <c r="AC81" s="124">
        <f t="shared" si="114"/>
        <v>38</v>
      </c>
      <c r="AD81" s="130">
        <f t="shared" si="227"/>
        <v>3.7499999999999999E-2</v>
      </c>
      <c r="AE81" s="127">
        <f t="shared" si="228"/>
        <v>1108</v>
      </c>
      <c r="AF81" s="128">
        <f t="shared" si="229"/>
        <v>110692.6</v>
      </c>
      <c r="AG81" s="128">
        <f t="shared" si="140"/>
        <v>110800</v>
      </c>
      <c r="AH81" s="128">
        <f t="shared" si="118"/>
        <v>110800</v>
      </c>
      <c r="AI81" s="130">
        <f t="shared" si="168"/>
        <v>3.7499999999999999E-2</v>
      </c>
      <c r="AJ81" s="128">
        <f t="shared" si="169"/>
        <v>111146.25</v>
      </c>
      <c r="AK81" s="128" t="str">
        <f t="shared" si="170"/>
        <v>nie</v>
      </c>
      <c r="AL81" s="128">
        <f t="shared" si="171"/>
        <v>554</v>
      </c>
      <c r="AM81" s="128">
        <f t="shared" si="150"/>
        <v>110631.7225</v>
      </c>
      <c r="AN81" s="128">
        <f t="shared" si="172"/>
        <v>280.46250000000003</v>
      </c>
      <c r="AO81" s="130">
        <f t="shared" si="173"/>
        <v>3.5999999999999997E-2</v>
      </c>
      <c r="AP81" s="128">
        <f t="shared" si="174"/>
        <v>607.46511315153566</v>
      </c>
      <c r="AQ81" s="128">
        <f t="shared" si="156"/>
        <v>110958.72511315154</v>
      </c>
      <c r="AS81" s="124">
        <f t="shared" si="119"/>
        <v>38</v>
      </c>
      <c r="AT81" s="130">
        <f t="shared" si="120"/>
        <v>3.7499999999999999E-2</v>
      </c>
      <c r="AU81" s="127">
        <f t="shared" si="230"/>
        <v>1069</v>
      </c>
      <c r="AV81" s="128">
        <f t="shared" si="231"/>
        <v>106799.70000000001</v>
      </c>
      <c r="AW81" s="128">
        <f t="shared" si="151"/>
        <v>106900</v>
      </c>
      <c r="AX81" s="128">
        <f t="shared" si="123"/>
        <v>106900</v>
      </c>
      <c r="AY81" s="130">
        <f t="shared" si="175"/>
        <v>3.9E-2</v>
      </c>
      <c r="AZ81" s="128">
        <f t="shared" si="176"/>
        <v>107247.425</v>
      </c>
      <c r="BA81" s="128" t="str">
        <f t="shared" si="177"/>
        <v>nie</v>
      </c>
      <c r="BB81" s="128">
        <f t="shared" si="178"/>
        <v>748.3</v>
      </c>
      <c r="BC81" s="128">
        <f t="shared" si="158"/>
        <v>106575.29124999999</v>
      </c>
      <c r="BD81" s="128">
        <f t="shared" si="179"/>
        <v>281.41425000000237</v>
      </c>
      <c r="BE81" s="130">
        <f t="shared" si="51"/>
        <v>3.5999999999999997E-2</v>
      </c>
      <c r="BF81" s="128">
        <f t="shared" si="180"/>
        <v>4037.7948049707202</v>
      </c>
      <c r="BG81" s="128">
        <f t="shared" si="159"/>
        <v>110331.67180497071</v>
      </c>
      <c r="BI81" s="124">
        <f t="shared" si="124"/>
        <v>38</v>
      </c>
      <c r="BJ81" s="130">
        <f t="shared" si="148"/>
        <v>3.9100000000000003E-2</v>
      </c>
      <c r="BK81" s="127">
        <f t="shared" si="232"/>
        <v>1112</v>
      </c>
      <c r="BL81" s="128">
        <f t="shared" si="233"/>
        <v>111088.8</v>
      </c>
      <c r="BM81" s="128">
        <f t="shared" si="142"/>
        <v>111200</v>
      </c>
      <c r="BN81" s="128">
        <f t="shared" si="234"/>
        <v>111200</v>
      </c>
      <c r="BO81" s="130">
        <f t="shared" si="181"/>
        <v>4.3999999999999997E-2</v>
      </c>
      <c r="BP81" s="128">
        <f t="shared" si="182"/>
        <v>112015.46666666667</v>
      </c>
      <c r="BQ81" s="128" t="str">
        <f t="shared" si="183"/>
        <v>nie</v>
      </c>
      <c r="BR81" s="128">
        <f t="shared" si="184"/>
        <v>815.46666666667443</v>
      </c>
      <c r="BS81" s="128">
        <f t="shared" si="153"/>
        <v>111200</v>
      </c>
      <c r="BT81" s="128">
        <f t="shared" si="128"/>
        <v>0</v>
      </c>
      <c r="BU81" s="130">
        <f t="shared" si="185"/>
        <v>3.5999999999999997E-2</v>
      </c>
      <c r="BV81" s="128">
        <f t="shared" si="60"/>
        <v>80.939842440764735</v>
      </c>
      <c r="BW81" s="128">
        <f t="shared" si="61"/>
        <v>111280.93984244077</v>
      </c>
      <c r="BY81" s="130">
        <f t="shared" si="149"/>
        <v>3.1E-2</v>
      </c>
      <c r="BZ81" s="127">
        <f t="shared" si="235"/>
        <v>1000</v>
      </c>
      <c r="CA81" s="128">
        <f t="shared" si="236"/>
        <v>100000</v>
      </c>
      <c r="CB81" s="128">
        <f t="shared" si="154"/>
        <v>100000</v>
      </c>
      <c r="CC81" s="128">
        <f t="shared" si="131"/>
        <v>100000</v>
      </c>
      <c r="CD81" s="130">
        <f t="shared" si="186"/>
        <v>4.5999999999999999E-2</v>
      </c>
      <c r="CE81" s="128">
        <f t="shared" si="187"/>
        <v>100766.66666666667</v>
      </c>
      <c r="CF81" s="128" t="str">
        <f t="shared" si="188"/>
        <v>nie</v>
      </c>
      <c r="CG81" s="128">
        <f t="shared" si="189"/>
        <v>2000</v>
      </c>
      <c r="CH81" s="128">
        <f t="shared" si="160"/>
        <v>99001</v>
      </c>
      <c r="CI81" s="128">
        <f t="shared" si="190"/>
        <v>0</v>
      </c>
      <c r="CJ81" s="130">
        <f t="shared" si="68"/>
        <v>3.5999999999999997E-2</v>
      </c>
      <c r="CK81" s="128">
        <f t="shared" si="191"/>
        <v>11697.024948983881</v>
      </c>
      <c r="CL81" s="128">
        <f t="shared" si="192"/>
        <v>110698.02494898388</v>
      </c>
      <c r="CN81" s="127">
        <f t="shared" si="237"/>
        <v>1000</v>
      </c>
      <c r="CO81" s="128">
        <f t="shared" si="238"/>
        <v>100000</v>
      </c>
      <c r="CP81" s="128">
        <f t="shared" si="134"/>
        <v>100000</v>
      </c>
      <c r="CQ81" s="128">
        <f t="shared" si="239"/>
        <v>116369.71535</v>
      </c>
      <c r="CR81" s="130">
        <f t="shared" si="193"/>
        <v>5.1000000000000004E-2</v>
      </c>
      <c r="CS81" s="128">
        <f t="shared" si="194"/>
        <v>117358.85793047499</v>
      </c>
      <c r="CT81" s="128" t="str">
        <f t="shared" si="195"/>
        <v>nie</v>
      </c>
      <c r="CU81" s="128">
        <f t="shared" si="196"/>
        <v>3000</v>
      </c>
      <c r="CV81" s="128">
        <f t="shared" si="197"/>
        <v>111630.67492368474</v>
      </c>
      <c r="CW81" s="128">
        <f t="shared" si="76"/>
        <v>0</v>
      </c>
      <c r="CX81" s="130">
        <f t="shared" si="198"/>
        <v>3.5999999999999997E-2</v>
      </c>
      <c r="CY81" s="128">
        <f t="shared" si="199"/>
        <v>0</v>
      </c>
      <c r="CZ81" s="128">
        <f t="shared" si="200"/>
        <v>111630.67492368474</v>
      </c>
      <c r="DA81" s="20"/>
      <c r="DB81" s="127">
        <f t="shared" si="144"/>
        <v>1000</v>
      </c>
      <c r="DC81" s="128">
        <f t="shared" si="145"/>
        <v>100000</v>
      </c>
      <c r="DD81" s="128">
        <f t="shared" si="136"/>
        <v>100000</v>
      </c>
      <c r="DE81" s="128">
        <f t="shared" si="240"/>
        <v>115983.105</v>
      </c>
      <c r="DF81" s="130">
        <f t="shared" si="201"/>
        <v>5.1000000000000004E-2</v>
      </c>
      <c r="DG81" s="128">
        <f t="shared" si="202"/>
        <v>116968.96139249999</v>
      </c>
      <c r="DH81" s="128" t="str">
        <f t="shared" si="203"/>
        <v>nie</v>
      </c>
      <c r="DI81" s="128">
        <f t="shared" si="204"/>
        <v>2000</v>
      </c>
      <c r="DJ81" s="128">
        <f t="shared" si="205"/>
        <v>112124.85872792499</v>
      </c>
      <c r="DK81" s="128">
        <f t="shared" si="85"/>
        <v>0</v>
      </c>
      <c r="DL81" s="130">
        <f t="shared" si="206"/>
        <v>3.5999999999999997E-2</v>
      </c>
      <c r="DM81" s="128">
        <f t="shared" si="207"/>
        <v>0</v>
      </c>
      <c r="DN81" s="128">
        <f t="shared" si="208"/>
        <v>112124.85872792499</v>
      </c>
      <c r="DP81" s="127">
        <f t="shared" si="146"/>
        <v>1000</v>
      </c>
      <c r="DQ81" s="128">
        <f t="shared" si="147"/>
        <v>100000</v>
      </c>
      <c r="DR81" s="128">
        <f t="shared" si="138"/>
        <v>100000</v>
      </c>
      <c r="DS81" s="128">
        <f t="shared" si="241"/>
        <v>117758.36160000002</v>
      </c>
      <c r="DT81" s="130">
        <f t="shared" si="209"/>
        <v>5.6000000000000001E-2</v>
      </c>
      <c r="DU81" s="128">
        <f t="shared" si="210"/>
        <v>118857.43964160002</v>
      </c>
      <c r="DV81" s="128" t="str">
        <f t="shared" si="211"/>
        <v>nie</v>
      </c>
      <c r="DW81" s="128">
        <f t="shared" si="212"/>
        <v>3000</v>
      </c>
      <c r="DX81" s="128">
        <f t="shared" si="93"/>
        <v>112844.52610969602</v>
      </c>
      <c r="DY81" s="128">
        <f t="shared" si="94"/>
        <v>0</v>
      </c>
      <c r="DZ81" s="130">
        <f t="shared" si="213"/>
        <v>3.5999999999999997E-2</v>
      </c>
      <c r="EA81" s="128">
        <f t="shared" si="214"/>
        <v>0</v>
      </c>
      <c r="EB81" s="128">
        <f t="shared" si="215"/>
        <v>112844.52610969602</v>
      </c>
    </row>
    <row r="82" spans="1:134">
      <c r="A82" s="212"/>
      <c r="B82" s="188">
        <f t="shared" si="216"/>
        <v>38</v>
      </c>
      <c r="C82" s="128">
        <f t="shared" si="217"/>
        <v>110958.72511315154</v>
      </c>
      <c r="D82" s="128">
        <f t="shared" si="218"/>
        <v>110331.67180497071</v>
      </c>
      <c r="E82" s="128">
        <f t="shared" si="219"/>
        <v>111280.93984244077</v>
      </c>
      <c r="F82" s="128">
        <f t="shared" si="220"/>
        <v>110698.02494898388</v>
      </c>
      <c r="G82" s="128">
        <f t="shared" si="221"/>
        <v>111630.67492368474</v>
      </c>
      <c r="H82" s="128">
        <f t="shared" si="222"/>
        <v>112124.85872792499</v>
      </c>
      <c r="I82" s="128">
        <f t="shared" si="223"/>
        <v>112844.52610969602</v>
      </c>
      <c r="J82" s="128">
        <f t="shared" si="224"/>
        <v>109661.48089531025</v>
      </c>
      <c r="K82" s="128">
        <f t="shared" si="225"/>
        <v>110157.50070868332</v>
      </c>
      <c r="M82" s="36"/>
      <c r="N82" s="32">
        <f t="shared" si="226"/>
        <v>38</v>
      </c>
      <c r="O82" s="25">
        <f t="shared" si="109"/>
        <v>0.10958725113151546</v>
      </c>
      <c r="P82" s="25">
        <f t="shared" si="110"/>
        <v>0.10331671804970721</v>
      </c>
      <c r="Q82" s="25">
        <f t="shared" si="111"/>
        <v>0.11280939842440763</v>
      </c>
      <c r="R82" s="25">
        <f t="shared" si="161"/>
        <v>0.10698024948983864</v>
      </c>
      <c r="S82" s="25">
        <f t="shared" si="162"/>
        <v>0.11630674923684747</v>
      </c>
      <c r="T82" s="25">
        <f t="shared" si="163"/>
        <v>0.12124858727924992</v>
      </c>
      <c r="U82" s="25">
        <f t="shared" si="164"/>
        <v>0.12844526109696019</v>
      </c>
      <c r="V82" s="25">
        <f t="shared" si="165"/>
        <v>9.6614808953102482E-2</v>
      </c>
      <c r="W82" s="25">
        <f t="shared" si="166"/>
        <v>0.10157500708683331</v>
      </c>
      <c r="X82" s="36"/>
      <c r="Y82" s="36"/>
      <c r="AA82" s="124">
        <f t="shared" si="113"/>
        <v>39</v>
      </c>
      <c r="AB82" s="128">
        <f t="shared" si="167"/>
        <v>110440.61151302497</v>
      </c>
      <c r="AC82" s="124">
        <f t="shared" si="114"/>
        <v>39</v>
      </c>
      <c r="AD82" s="130">
        <f t="shared" si="227"/>
        <v>3.7499999999999999E-2</v>
      </c>
      <c r="AE82" s="127">
        <f t="shared" si="228"/>
        <v>1108</v>
      </c>
      <c r="AF82" s="128">
        <f t="shared" si="229"/>
        <v>110692.6</v>
      </c>
      <c r="AG82" s="128">
        <f t="shared" si="140"/>
        <v>110800</v>
      </c>
      <c r="AH82" s="128">
        <f t="shared" si="118"/>
        <v>110800</v>
      </c>
      <c r="AI82" s="130">
        <f t="shared" si="168"/>
        <v>3.7499999999999999E-2</v>
      </c>
      <c r="AJ82" s="128">
        <f t="shared" si="169"/>
        <v>111146.25</v>
      </c>
      <c r="AK82" s="128" t="str">
        <f t="shared" si="170"/>
        <v>nie</v>
      </c>
      <c r="AL82" s="128">
        <f t="shared" si="171"/>
        <v>554</v>
      </c>
      <c r="AM82" s="128">
        <f t="shared" si="150"/>
        <v>110631.7225</v>
      </c>
      <c r="AN82" s="128">
        <f t="shared" si="172"/>
        <v>280.46250000000003</v>
      </c>
      <c r="AO82" s="130">
        <f t="shared" si="173"/>
        <v>3.5999999999999997E-2</v>
      </c>
      <c r="AP82" s="128">
        <f t="shared" si="174"/>
        <v>889.4037533764938</v>
      </c>
      <c r="AQ82" s="128">
        <f t="shared" si="156"/>
        <v>111240.6637533765</v>
      </c>
      <c r="AS82" s="124">
        <f t="shared" si="119"/>
        <v>39</v>
      </c>
      <c r="AT82" s="130">
        <f t="shared" si="120"/>
        <v>3.7499999999999999E-2</v>
      </c>
      <c r="AU82" s="127">
        <f t="shared" si="230"/>
        <v>1069</v>
      </c>
      <c r="AV82" s="128">
        <f t="shared" si="231"/>
        <v>106799.70000000001</v>
      </c>
      <c r="AW82" s="128">
        <f t="shared" si="151"/>
        <v>106900</v>
      </c>
      <c r="AX82" s="128">
        <f t="shared" si="123"/>
        <v>106900</v>
      </c>
      <c r="AY82" s="130">
        <f t="shared" si="175"/>
        <v>3.9E-2</v>
      </c>
      <c r="AZ82" s="128">
        <f t="shared" si="176"/>
        <v>107247.425</v>
      </c>
      <c r="BA82" s="128" t="str">
        <f t="shared" si="177"/>
        <v>nie</v>
      </c>
      <c r="BB82" s="128">
        <f t="shared" si="178"/>
        <v>748.3</v>
      </c>
      <c r="BC82" s="128">
        <f t="shared" si="158"/>
        <v>106575.29124999999</v>
      </c>
      <c r="BD82" s="128">
        <f t="shared" si="179"/>
        <v>281.41425000000237</v>
      </c>
      <c r="BE82" s="130">
        <f t="shared" si="51"/>
        <v>3.5999999999999997E-2</v>
      </c>
      <c r="BF82" s="128">
        <f t="shared" si="180"/>
        <v>4329.0208963468012</v>
      </c>
      <c r="BG82" s="128">
        <f t="shared" si="159"/>
        <v>110622.8978963468</v>
      </c>
      <c r="BI82" s="124">
        <f t="shared" si="124"/>
        <v>39</v>
      </c>
      <c r="BJ82" s="130">
        <f t="shared" ref="BJ82:BJ113" si="242">MAX(INDEX(scenariusz_I_WIBOR6M,MATCH(ROUNDUP(BI82/12,0),scenariusz_I_rok,0)),0)</f>
        <v>3.9100000000000003E-2</v>
      </c>
      <c r="BK82" s="127">
        <f t="shared" si="232"/>
        <v>1112</v>
      </c>
      <c r="BL82" s="128">
        <f t="shared" si="233"/>
        <v>111088.8</v>
      </c>
      <c r="BM82" s="128">
        <f t="shared" si="142"/>
        <v>111200</v>
      </c>
      <c r="BN82" s="128">
        <f t="shared" si="234"/>
        <v>111200</v>
      </c>
      <c r="BO82" s="130">
        <f t="shared" si="181"/>
        <v>4.3999999999999997E-2</v>
      </c>
      <c r="BP82" s="128">
        <f t="shared" si="182"/>
        <v>112423.19999999998</v>
      </c>
      <c r="BQ82" s="128" t="str">
        <f t="shared" si="183"/>
        <v>nie</v>
      </c>
      <c r="BR82" s="128">
        <f t="shared" si="184"/>
        <v>1112</v>
      </c>
      <c r="BS82" s="128">
        <f t="shared" si="153"/>
        <v>111290.07199999999</v>
      </c>
      <c r="BT82" s="128">
        <f t="shared" si="128"/>
        <v>0</v>
      </c>
      <c r="BU82" s="130">
        <f t="shared" si="185"/>
        <v>3.5999999999999997E-2</v>
      </c>
      <c r="BV82" s="128">
        <f t="shared" si="60"/>
        <v>81.136526257895795</v>
      </c>
      <c r="BW82" s="128">
        <f t="shared" si="61"/>
        <v>111371.20852625788</v>
      </c>
      <c r="BY82" s="130">
        <f t="shared" si="149"/>
        <v>3.1E-2</v>
      </c>
      <c r="BZ82" s="127">
        <f t="shared" si="235"/>
        <v>1000</v>
      </c>
      <c r="CA82" s="128">
        <f t="shared" si="236"/>
        <v>100000</v>
      </c>
      <c r="CB82" s="128">
        <f t="shared" si="154"/>
        <v>100000</v>
      </c>
      <c r="CC82" s="128">
        <f t="shared" si="131"/>
        <v>100000</v>
      </c>
      <c r="CD82" s="130">
        <f t="shared" si="186"/>
        <v>4.5999999999999999E-2</v>
      </c>
      <c r="CE82" s="128">
        <f t="shared" si="187"/>
        <v>101150</v>
      </c>
      <c r="CF82" s="128" t="str">
        <f t="shared" si="188"/>
        <v>nie</v>
      </c>
      <c r="CG82" s="128">
        <f t="shared" si="189"/>
        <v>2000</v>
      </c>
      <c r="CH82" s="128">
        <f t="shared" si="160"/>
        <v>99311.5</v>
      </c>
      <c r="CI82" s="128">
        <f t="shared" si="190"/>
        <v>0</v>
      </c>
      <c r="CJ82" s="130">
        <f t="shared" si="68"/>
        <v>3.5999999999999997E-2</v>
      </c>
      <c r="CK82" s="128">
        <f t="shared" si="191"/>
        <v>11725.448719609911</v>
      </c>
      <c r="CL82" s="128">
        <f t="shared" si="192"/>
        <v>111036.94871960991</v>
      </c>
      <c r="CN82" s="127">
        <f t="shared" si="237"/>
        <v>1000</v>
      </c>
      <c r="CO82" s="128">
        <f t="shared" si="238"/>
        <v>100000</v>
      </c>
      <c r="CP82" s="128">
        <f t="shared" si="134"/>
        <v>100000</v>
      </c>
      <c r="CQ82" s="128">
        <f t="shared" si="239"/>
        <v>116369.71535</v>
      </c>
      <c r="CR82" s="130">
        <f t="shared" si="193"/>
        <v>5.1000000000000004E-2</v>
      </c>
      <c r="CS82" s="128">
        <f t="shared" si="194"/>
        <v>117853.4292207125</v>
      </c>
      <c r="CT82" s="128" t="str">
        <f t="shared" si="195"/>
        <v>nie</v>
      </c>
      <c r="CU82" s="128">
        <f t="shared" si="196"/>
        <v>3000</v>
      </c>
      <c r="CV82" s="128">
        <f t="shared" si="197"/>
        <v>112031.27766877713</v>
      </c>
      <c r="CW82" s="128">
        <f t="shared" si="76"/>
        <v>0</v>
      </c>
      <c r="CX82" s="130">
        <f t="shared" si="198"/>
        <v>3.5999999999999997E-2</v>
      </c>
      <c r="CY82" s="128">
        <f t="shared" si="199"/>
        <v>0</v>
      </c>
      <c r="CZ82" s="128">
        <f t="shared" si="200"/>
        <v>112031.27766877713</v>
      </c>
      <c r="DA82" s="20"/>
      <c r="DB82" s="127">
        <f t="shared" si="144"/>
        <v>1000</v>
      </c>
      <c r="DC82" s="128">
        <f t="shared" si="145"/>
        <v>100000</v>
      </c>
      <c r="DD82" s="128">
        <f t="shared" si="136"/>
        <v>100000</v>
      </c>
      <c r="DE82" s="128">
        <f t="shared" si="240"/>
        <v>115983.105</v>
      </c>
      <c r="DF82" s="130">
        <f t="shared" si="201"/>
        <v>5.1000000000000004E-2</v>
      </c>
      <c r="DG82" s="128">
        <f t="shared" si="202"/>
        <v>117461.88958875</v>
      </c>
      <c r="DH82" s="128" t="str">
        <f t="shared" si="203"/>
        <v>nie</v>
      </c>
      <c r="DI82" s="128">
        <f t="shared" si="204"/>
        <v>2000</v>
      </c>
      <c r="DJ82" s="128">
        <f t="shared" si="205"/>
        <v>112524.1305668875</v>
      </c>
      <c r="DK82" s="128">
        <f t="shared" si="85"/>
        <v>0</v>
      </c>
      <c r="DL82" s="130">
        <f t="shared" si="206"/>
        <v>3.5999999999999997E-2</v>
      </c>
      <c r="DM82" s="128">
        <f t="shared" si="207"/>
        <v>0</v>
      </c>
      <c r="DN82" s="128">
        <f t="shared" si="208"/>
        <v>112524.1305668875</v>
      </c>
      <c r="DP82" s="127">
        <f t="shared" si="146"/>
        <v>1000</v>
      </c>
      <c r="DQ82" s="128">
        <f t="shared" si="147"/>
        <v>100000</v>
      </c>
      <c r="DR82" s="128">
        <f t="shared" si="138"/>
        <v>100000</v>
      </c>
      <c r="DS82" s="128">
        <f t="shared" si="241"/>
        <v>117758.36160000002</v>
      </c>
      <c r="DT82" s="130">
        <f t="shared" si="209"/>
        <v>5.6000000000000001E-2</v>
      </c>
      <c r="DU82" s="128">
        <f t="shared" si="210"/>
        <v>119406.97866240003</v>
      </c>
      <c r="DV82" s="128" t="str">
        <f t="shared" si="211"/>
        <v>nie</v>
      </c>
      <c r="DW82" s="128">
        <f t="shared" si="212"/>
        <v>3000</v>
      </c>
      <c r="DX82" s="128">
        <f t="shared" si="93"/>
        <v>113289.65271654402</v>
      </c>
      <c r="DY82" s="128">
        <f t="shared" si="94"/>
        <v>0</v>
      </c>
      <c r="DZ82" s="130">
        <f t="shared" si="213"/>
        <v>3.5999999999999997E-2</v>
      </c>
      <c r="EA82" s="128">
        <f t="shared" si="214"/>
        <v>0</v>
      </c>
      <c r="EB82" s="128">
        <f t="shared" si="215"/>
        <v>113289.65271654402</v>
      </c>
    </row>
    <row r="83" spans="1:134">
      <c r="A83" s="212"/>
      <c r="B83" s="188">
        <f t="shared" si="216"/>
        <v>39</v>
      </c>
      <c r="C83" s="128">
        <f t="shared" si="217"/>
        <v>111240.6637533765</v>
      </c>
      <c r="D83" s="128">
        <f t="shared" si="218"/>
        <v>110622.8978963468</v>
      </c>
      <c r="E83" s="128">
        <f t="shared" si="219"/>
        <v>111371.20852625788</v>
      </c>
      <c r="F83" s="128">
        <f t="shared" si="220"/>
        <v>111036.94871960991</v>
      </c>
      <c r="G83" s="128">
        <f t="shared" si="221"/>
        <v>112031.27766877713</v>
      </c>
      <c r="H83" s="128">
        <f t="shared" si="222"/>
        <v>112524.1305668875</v>
      </c>
      <c r="I83" s="128">
        <f t="shared" si="223"/>
        <v>113289.65271654402</v>
      </c>
      <c r="J83" s="128">
        <f t="shared" si="224"/>
        <v>109927.95829388585</v>
      </c>
      <c r="K83" s="128">
        <f t="shared" si="225"/>
        <v>110440.61151302497</v>
      </c>
      <c r="M83" s="36"/>
      <c r="N83" s="32">
        <f t="shared" si="226"/>
        <v>39</v>
      </c>
      <c r="O83" s="25">
        <f t="shared" si="109"/>
        <v>0.11240663753376512</v>
      </c>
      <c r="P83" s="25">
        <f t="shared" si="110"/>
        <v>0.10622897896346806</v>
      </c>
      <c r="Q83" s="25">
        <f t="shared" si="111"/>
        <v>0.11371208526257881</v>
      </c>
      <c r="R83" s="25">
        <f t="shared" si="161"/>
        <v>0.11036948719609918</v>
      </c>
      <c r="S83" s="25">
        <f t="shared" si="162"/>
        <v>0.12031277668777118</v>
      </c>
      <c r="T83" s="25">
        <f t="shared" si="163"/>
        <v>0.12524130566887504</v>
      </c>
      <c r="U83" s="25">
        <f t="shared" si="164"/>
        <v>0.13289652716544009</v>
      </c>
      <c r="V83" s="25">
        <f t="shared" si="165"/>
        <v>9.9279582938858413E-2</v>
      </c>
      <c r="W83" s="25">
        <f t="shared" si="166"/>
        <v>0.10440611513024978</v>
      </c>
      <c r="X83" s="36"/>
      <c r="Y83" s="36"/>
      <c r="AA83" s="124">
        <f t="shared" si="113"/>
        <v>40</v>
      </c>
      <c r="AB83" s="128">
        <f t="shared" si="167"/>
        <v>110723.72231736663</v>
      </c>
      <c r="AC83" s="124">
        <f t="shared" si="114"/>
        <v>40</v>
      </c>
      <c r="AD83" s="130">
        <f t="shared" si="227"/>
        <v>3.7499999999999999E-2</v>
      </c>
      <c r="AE83" s="127">
        <f t="shared" si="228"/>
        <v>1108</v>
      </c>
      <c r="AF83" s="128">
        <f t="shared" si="229"/>
        <v>110692.6</v>
      </c>
      <c r="AG83" s="128">
        <f t="shared" si="140"/>
        <v>110800</v>
      </c>
      <c r="AH83" s="128">
        <f t="shared" si="118"/>
        <v>110800</v>
      </c>
      <c r="AI83" s="130">
        <f t="shared" si="168"/>
        <v>3.7499999999999999E-2</v>
      </c>
      <c r="AJ83" s="128">
        <f t="shared" si="169"/>
        <v>111146.25</v>
      </c>
      <c r="AK83" s="128" t="str">
        <f t="shared" si="170"/>
        <v>nie</v>
      </c>
      <c r="AL83" s="128">
        <f t="shared" si="171"/>
        <v>554</v>
      </c>
      <c r="AM83" s="128">
        <f t="shared" si="150"/>
        <v>110631.7225</v>
      </c>
      <c r="AN83" s="128">
        <f t="shared" si="172"/>
        <v>280.46250000000003</v>
      </c>
      <c r="AO83" s="130">
        <f t="shared" si="173"/>
        <v>3.5999999999999997E-2</v>
      </c>
      <c r="AP83" s="128">
        <f t="shared" si="174"/>
        <v>1172.0275044971986</v>
      </c>
      <c r="AQ83" s="128">
        <f t="shared" si="156"/>
        <v>111523.2875044972</v>
      </c>
      <c r="AS83" s="124">
        <f t="shared" si="119"/>
        <v>40</v>
      </c>
      <c r="AT83" s="130">
        <f t="shared" si="120"/>
        <v>3.7499999999999999E-2</v>
      </c>
      <c r="AU83" s="127">
        <f t="shared" si="230"/>
        <v>1069</v>
      </c>
      <c r="AV83" s="128">
        <f t="shared" si="231"/>
        <v>106799.70000000001</v>
      </c>
      <c r="AW83" s="128">
        <f t="shared" si="151"/>
        <v>106900</v>
      </c>
      <c r="AX83" s="128">
        <f t="shared" si="123"/>
        <v>106900</v>
      </c>
      <c r="AY83" s="130">
        <f t="shared" si="175"/>
        <v>3.9E-2</v>
      </c>
      <c r="AZ83" s="128">
        <f t="shared" si="176"/>
        <v>107247.425</v>
      </c>
      <c r="BA83" s="128" t="str">
        <f t="shared" si="177"/>
        <v>nie</v>
      </c>
      <c r="BB83" s="128">
        <f t="shared" si="178"/>
        <v>748.3</v>
      </c>
      <c r="BC83" s="128">
        <f t="shared" si="158"/>
        <v>106575.29124999999</v>
      </c>
      <c r="BD83" s="128">
        <f t="shared" si="179"/>
        <v>281.41425000000237</v>
      </c>
      <c r="BE83" s="130">
        <f t="shared" si="51"/>
        <v>3.5999999999999997E-2</v>
      </c>
      <c r="BF83" s="128">
        <f t="shared" si="180"/>
        <v>4620.9546671249263</v>
      </c>
      <c r="BG83" s="128">
        <f t="shared" si="159"/>
        <v>110914.83166712492</v>
      </c>
      <c r="BI83" s="124">
        <f t="shared" si="124"/>
        <v>40</v>
      </c>
      <c r="BJ83" s="130">
        <f t="shared" si="242"/>
        <v>3.9100000000000003E-2</v>
      </c>
      <c r="BK83" s="127">
        <f t="shared" si="232"/>
        <v>1112</v>
      </c>
      <c r="BL83" s="128">
        <f t="shared" si="233"/>
        <v>111088.8</v>
      </c>
      <c r="BM83" s="128">
        <f t="shared" si="142"/>
        <v>111200</v>
      </c>
      <c r="BN83" s="128">
        <f t="shared" si="234"/>
        <v>111200</v>
      </c>
      <c r="BO83" s="130">
        <f t="shared" si="181"/>
        <v>4.3999999999999997E-2</v>
      </c>
      <c r="BP83" s="128">
        <f t="shared" si="182"/>
        <v>112830.93333333332</v>
      </c>
      <c r="BQ83" s="128" t="str">
        <f t="shared" si="183"/>
        <v>nie</v>
      </c>
      <c r="BR83" s="128">
        <f t="shared" si="184"/>
        <v>1112</v>
      </c>
      <c r="BS83" s="128">
        <f t="shared" si="153"/>
        <v>111620.336</v>
      </c>
      <c r="BT83" s="128">
        <f t="shared" si="128"/>
        <v>0</v>
      </c>
      <c r="BU83" s="130">
        <f t="shared" si="185"/>
        <v>3.5999999999999997E-2</v>
      </c>
      <c r="BV83" s="128">
        <f t="shared" si="60"/>
        <v>81.333688016702482</v>
      </c>
      <c r="BW83" s="128">
        <f t="shared" si="61"/>
        <v>111701.6696880167</v>
      </c>
      <c r="BY83" s="130">
        <f t="shared" si="149"/>
        <v>3.1E-2</v>
      </c>
      <c r="BZ83" s="127">
        <f t="shared" si="235"/>
        <v>1000</v>
      </c>
      <c r="CA83" s="128">
        <f t="shared" si="236"/>
        <v>100000</v>
      </c>
      <c r="CB83" s="128">
        <f t="shared" si="154"/>
        <v>100000</v>
      </c>
      <c r="CC83" s="128">
        <f t="shared" si="131"/>
        <v>100000</v>
      </c>
      <c r="CD83" s="130">
        <f t="shared" si="186"/>
        <v>4.5999999999999999E-2</v>
      </c>
      <c r="CE83" s="128">
        <f t="shared" si="187"/>
        <v>101533.33333333334</v>
      </c>
      <c r="CF83" s="128" t="str">
        <f t="shared" si="188"/>
        <v>nie</v>
      </c>
      <c r="CG83" s="128">
        <f t="shared" si="189"/>
        <v>2000</v>
      </c>
      <c r="CH83" s="128">
        <f t="shared" si="160"/>
        <v>99622.000000000015</v>
      </c>
      <c r="CI83" s="128">
        <f t="shared" si="190"/>
        <v>0</v>
      </c>
      <c r="CJ83" s="130">
        <f t="shared" si="68"/>
        <v>3.5999999999999997E-2</v>
      </c>
      <c r="CK83" s="128">
        <f t="shared" si="191"/>
        <v>11753.941559998562</v>
      </c>
      <c r="CL83" s="128">
        <f t="shared" si="192"/>
        <v>111375.94155999858</v>
      </c>
      <c r="CN83" s="127">
        <f t="shared" si="237"/>
        <v>1000</v>
      </c>
      <c r="CO83" s="128">
        <f t="shared" si="238"/>
        <v>100000</v>
      </c>
      <c r="CP83" s="128">
        <f t="shared" si="134"/>
        <v>100000</v>
      </c>
      <c r="CQ83" s="128">
        <f t="shared" si="239"/>
        <v>116369.71535</v>
      </c>
      <c r="CR83" s="130">
        <f t="shared" si="193"/>
        <v>5.1000000000000004E-2</v>
      </c>
      <c r="CS83" s="128">
        <f t="shared" si="194"/>
        <v>118348.00051094999</v>
      </c>
      <c r="CT83" s="128" t="str">
        <f t="shared" si="195"/>
        <v>nie</v>
      </c>
      <c r="CU83" s="128">
        <f t="shared" si="196"/>
        <v>3000</v>
      </c>
      <c r="CV83" s="128">
        <f t="shared" si="197"/>
        <v>112431.8804138695</v>
      </c>
      <c r="CW83" s="128">
        <f t="shared" si="76"/>
        <v>0</v>
      </c>
      <c r="CX83" s="130">
        <f t="shared" si="198"/>
        <v>3.5999999999999997E-2</v>
      </c>
      <c r="CY83" s="128">
        <f t="shared" si="199"/>
        <v>0</v>
      </c>
      <c r="CZ83" s="128">
        <f t="shared" si="200"/>
        <v>112431.8804138695</v>
      </c>
      <c r="DA83" s="20"/>
      <c r="DB83" s="127">
        <f t="shared" si="144"/>
        <v>1000</v>
      </c>
      <c r="DC83" s="128">
        <f t="shared" si="145"/>
        <v>100000</v>
      </c>
      <c r="DD83" s="128">
        <f t="shared" si="136"/>
        <v>100000</v>
      </c>
      <c r="DE83" s="128">
        <f t="shared" si="240"/>
        <v>115983.105</v>
      </c>
      <c r="DF83" s="130">
        <f t="shared" si="201"/>
        <v>5.1000000000000004E-2</v>
      </c>
      <c r="DG83" s="128">
        <f t="shared" si="202"/>
        <v>117954.81778499999</v>
      </c>
      <c r="DH83" s="128" t="str">
        <f t="shared" si="203"/>
        <v>nie</v>
      </c>
      <c r="DI83" s="128">
        <f t="shared" si="204"/>
        <v>2000</v>
      </c>
      <c r="DJ83" s="128">
        <f t="shared" si="205"/>
        <v>112923.40240584999</v>
      </c>
      <c r="DK83" s="128">
        <f t="shared" si="85"/>
        <v>0</v>
      </c>
      <c r="DL83" s="130">
        <f t="shared" si="206"/>
        <v>3.5999999999999997E-2</v>
      </c>
      <c r="DM83" s="128">
        <f t="shared" si="207"/>
        <v>0</v>
      </c>
      <c r="DN83" s="128">
        <f t="shared" si="208"/>
        <v>112923.40240584999</v>
      </c>
      <c r="DP83" s="127">
        <f t="shared" si="146"/>
        <v>1000</v>
      </c>
      <c r="DQ83" s="128">
        <f t="shared" si="147"/>
        <v>100000</v>
      </c>
      <c r="DR83" s="128">
        <f t="shared" si="138"/>
        <v>100000</v>
      </c>
      <c r="DS83" s="128">
        <f t="shared" si="241"/>
        <v>117758.36160000002</v>
      </c>
      <c r="DT83" s="130">
        <f t="shared" si="209"/>
        <v>5.6000000000000001E-2</v>
      </c>
      <c r="DU83" s="128">
        <f t="shared" si="210"/>
        <v>119956.51768320001</v>
      </c>
      <c r="DV83" s="128" t="str">
        <f t="shared" si="211"/>
        <v>nie</v>
      </c>
      <c r="DW83" s="128">
        <f t="shared" si="212"/>
        <v>3000</v>
      </c>
      <c r="DX83" s="128">
        <f t="shared" si="93"/>
        <v>113734.77932339201</v>
      </c>
      <c r="DY83" s="128">
        <f t="shared" si="94"/>
        <v>0</v>
      </c>
      <c r="DZ83" s="130">
        <f t="shared" si="213"/>
        <v>3.5999999999999997E-2</v>
      </c>
      <c r="EA83" s="128">
        <f t="shared" si="214"/>
        <v>0</v>
      </c>
      <c r="EB83" s="128">
        <f t="shared" si="215"/>
        <v>113734.77932339201</v>
      </c>
    </row>
    <row r="84" spans="1:134">
      <c r="A84" s="212"/>
      <c r="B84" s="188">
        <f t="shared" si="216"/>
        <v>40</v>
      </c>
      <c r="C84" s="128">
        <f t="shared" si="217"/>
        <v>111523.2875044972</v>
      </c>
      <c r="D84" s="128">
        <f t="shared" si="218"/>
        <v>110914.83166712492</v>
      </c>
      <c r="E84" s="128">
        <f t="shared" si="219"/>
        <v>111701.6696880167</v>
      </c>
      <c r="F84" s="128">
        <f t="shared" si="220"/>
        <v>111375.94155999858</v>
      </c>
      <c r="G84" s="128">
        <f t="shared" si="221"/>
        <v>112431.8804138695</v>
      </c>
      <c r="H84" s="128">
        <f t="shared" si="222"/>
        <v>112923.40240584999</v>
      </c>
      <c r="I84" s="128">
        <f t="shared" si="223"/>
        <v>113734.77932339201</v>
      </c>
      <c r="J84" s="128">
        <f t="shared" si="224"/>
        <v>110195.08323253998</v>
      </c>
      <c r="K84" s="128">
        <f t="shared" si="225"/>
        <v>110723.72231736663</v>
      </c>
      <c r="M84" s="36"/>
      <c r="N84" s="32">
        <f t="shared" si="226"/>
        <v>40</v>
      </c>
      <c r="O84" s="25">
        <f t="shared" si="109"/>
        <v>0.11523287504497204</v>
      </c>
      <c r="P84" s="25">
        <f t="shared" si="110"/>
        <v>0.10914831667124925</v>
      </c>
      <c r="Q84" s="25">
        <f t="shared" si="111"/>
        <v>0.11701669688016691</v>
      </c>
      <c r="R84" s="25">
        <f t="shared" si="161"/>
        <v>0.1137594155999857</v>
      </c>
      <c r="S84" s="25">
        <f t="shared" si="162"/>
        <v>0.12431880413869489</v>
      </c>
      <c r="T84" s="25">
        <f t="shared" si="163"/>
        <v>0.12923402405849993</v>
      </c>
      <c r="U84" s="25">
        <f t="shared" si="164"/>
        <v>0.13734779323391999</v>
      </c>
      <c r="V84" s="25">
        <f t="shared" si="165"/>
        <v>0.10195083232539992</v>
      </c>
      <c r="W84" s="25">
        <f t="shared" si="166"/>
        <v>0.10723722317366624</v>
      </c>
      <c r="X84" s="36"/>
      <c r="Y84" s="36"/>
      <c r="AA84" s="124">
        <f t="shared" si="113"/>
        <v>41</v>
      </c>
      <c r="AB84" s="128">
        <f t="shared" si="167"/>
        <v>111006.8331217083</v>
      </c>
      <c r="AC84" s="124">
        <f t="shared" si="114"/>
        <v>41</v>
      </c>
      <c r="AD84" s="130">
        <f t="shared" si="227"/>
        <v>3.7499999999999999E-2</v>
      </c>
      <c r="AE84" s="127">
        <f t="shared" si="228"/>
        <v>1108</v>
      </c>
      <c r="AF84" s="128">
        <f t="shared" si="229"/>
        <v>110692.6</v>
      </c>
      <c r="AG84" s="128">
        <f t="shared" si="140"/>
        <v>110800</v>
      </c>
      <c r="AH84" s="128">
        <f t="shared" si="118"/>
        <v>110800</v>
      </c>
      <c r="AI84" s="130">
        <f t="shared" si="168"/>
        <v>3.7499999999999999E-2</v>
      </c>
      <c r="AJ84" s="128">
        <f t="shared" si="169"/>
        <v>111146.25</v>
      </c>
      <c r="AK84" s="128" t="str">
        <f t="shared" si="170"/>
        <v>nie</v>
      </c>
      <c r="AL84" s="128">
        <f t="shared" si="171"/>
        <v>554</v>
      </c>
      <c r="AM84" s="128">
        <f t="shared" si="150"/>
        <v>110631.7225</v>
      </c>
      <c r="AN84" s="128">
        <f t="shared" si="172"/>
        <v>280.46250000000003</v>
      </c>
      <c r="AO84" s="130">
        <f t="shared" si="173"/>
        <v>3.5999999999999997E-2</v>
      </c>
      <c r="AP84" s="128">
        <f t="shared" si="174"/>
        <v>1455.3380313331268</v>
      </c>
      <c r="AQ84" s="128">
        <f t="shared" si="156"/>
        <v>111806.59803133312</v>
      </c>
      <c r="AS84" s="124">
        <f t="shared" si="119"/>
        <v>41</v>
      </c>
      <c r="AT84" s="130">
        <f t="shared" si="120"/>
        <v>3.7499999999999999E-2</v>
      </c>
      <c r="AU84" s="127">
        <f t="shared" si="230"/>
        <v>1069</v>
      </c>
      <c r="AV84" s="128">
        <f t="shared" si="231"/>
        <v>106799.70000000001</v>
      </c>
      <c r="AW84" s="128">
        <f t="shared" si="151"/>
        <v>106900</v>
      </c>
      <c r="AX84" s="128">
        <f t="shared" si="123"/>
        <v>106900</v>
      </c>
      <c r="AY84" s="130">
        <f t="shared" si="175"/>
        <v>3.9E-2</v>
      </c>
      <c r="AZ84" s="128">
        <f t="shared" si="176"/>
        <v>107247.425</v>
      </c>
      <c r="BA84" s="128" t="str">
        <f t="shared" si="177"/>
        <v>nie</v>
      </c>
      <c r="BB84" s="128">
        <f t="shared" si="178"/>
        <v>748.3</v>
      </c>
      <c r="BC84" s="128">
        <f t="shared" si="158"/>
        <v>106575.29124999999</v>
      </c>
      <c r="BD84" s="128">
        <f t="shared" si="179"/>
        <v>281.41425000000237</v>
      </c>
      <c r="BE84" s="130">
        <f t="shared" si="51"/>
        <v>3.5999999999999997E-2</v>
      </c>
      <c r="BF84" s="128">
        <f t="shared" si="180"/>
        <v>4913.5978369660425</v>
      </c>
      <c r="BG84" s="128">
        <f t="shared" si="159"/>
        <v>111207.47483696604</v>
      </c>
      <c r="BI84" s="124">
        <f t="shared" si="124"/>
        <v>41</v>
      </c>
      <c r="BJ84" s="130">
        <f t="shared" si="242"/>
        <v>3.9100000000000003E-2</v>
      </c>
      <c r="BK84" s="127">
        <f t="shared" si="232"/>
        <v>1112</v>
      </c>
      <c r="BL84" s="128">
        <f t="shared" si="233"/>
        <v>111088.8</v>
      </c>
      <c r="BM84" s="128">
        <f t="shared" si="142"/>
        <v>111200</v>
      </c>
      <c r="BN84" s="128">
        <f t="shared" si="234"/>
        <v>111200</v>
      </c>
      <c r="BO84" s="130">
        <f t="shared" si="181"/>
        <v>4.3999999999999997E-2</v>
      </c>
      <c r="BP84" s="128">
        <f t="shared" si="182"/>
        <v>113238.66666666667</v>
      </c>
      <c r="BQ84" s="128" t="str">
        <f t="shared" si="183"/>
        <v>nie</v>
      </c>
      <c r="BR84" s="128">
        <f t="shared" si="184"/>
        <v>1112</v>
      </c>
      <c r="BS84" s="128">
        <f t="shared" si="153"/>
        <v>111950.6</v>
      </c>
      <c r="BT84" s="128">
        <f t="shared" si="128"/>
        <v>0</v>
      </c>
      <c r="BU84" s="130">
        <f t="shared" si="185"/>
        <v>3.5999999999999997E-2</v>
      </c>
      <c r="BV84" s="128">
        <f t="shared" si="60"/>
        <v>81.531328878583068</v>
      </c>
      <c r="BW84" s="128">
        <f t="shared" si="61"/>
        <v>112032.13132887859</v>
      </c>
      <c r="BY84" s="130">
        <f t="shared" si="149"/>
        <v>3.1E-2</v>
      </c>
      <c r="BZ84" s="127">
        <f t="shared" si="235"/>
        <v>1000</v>
      </c>
      <c r="CA84" s="128">
        <f t="shared" si="236"/>
        <v>100000</v>
      </c>
      <c r="CB84" s="128">
        <f t="shared" si="154"/>
        <v>100000</v>
      </c>
      <c r="CC84" s="128">
        <f t="shared" si="131"/>
        <v>100000</v>
      </c>
      <c r="CD84" s="130">
        <f t="shared" si="186"/>
        <v>4.5999999999999999E-2</v>
      </c>
      <c r="CE84" s="128">
        <f t="shared" si="187"/>
        <v>101916.66666666666</v>
      </c>
      <c r="CF84" s="128" t="str">
        <f t="shared" si="188"/>
        <v>nie</v>
      </c>
      <c r="CG84" s="128">
        <f t="shared" si="189"/>
        <v>2000</v>
      </c>
      <c r="CH84" s="128">
        <f t="shared" si="160"/>
        <v>99932.499999999985</v>
      </c>
      <c r="CI84" s="128">
        <f t="shared" si="190"/>
        <v>0</v>
      </c>
      <c r="CJ84" s="130">
        <f t="shared" si="68"/>
        <v>3.5999999999999997E-2</v>
      </c>
      <c r="CK84" s="128">
        <f t="shared" si="191"/>
        <v>11782.503637989357</v>
      </c>
      <c r="CL84" s="128">
        <f t="shared" si="192"/>
        <v>111715.00363798934</v>
      </c>
      <c r="CN84" s="127">
        <f t="shared" si="237"/>
        <v>1000</v>
      </c>
      <c r="CO84" s="128">
        <f t="shared" si="238"/>
        <v>100000</v>
      </c>
      <c r="CP84" s="128">
        <f t="shared" si="134"/>
        <v>100000</v>
      </c>
      <c r="CQ84" s="128">
        <f t="shared" si="239"/>
        <v>116369.71535</v>
      </c>
      <c r="CR84" s="130">
        <f t="shared" si="193"/>
        <v>5.1000000000000004E-2</v>
      </c>
      <c r="CS84" s="128">
        <f t="shared" si="194"/>
        <v>118842.5718011875</v>
      </c>
      <c r="CT84" s="128" t="str">
        <f t="shared" si="195"/>
        <v>nie</v>
      </c>
      <c r="CU84" s="128">
        <f t="shared" si="196"/>
        <v>3000</v>
      </c>
      <c r="CV84" s="128">
        <f t="shared" si="197"/>
        <v>112832.48315896187</v>
      </c>
      <c r="CW84" s="128">
        <f t="shared" si="76"/>
        <v>0</v>
      </c>
      <c r="CX84" s="130">
        <f t="shared" si="198"/>
        <v>3.5999999999999997E-2</v>
      </c>
      <c r="CY84" s="128">
        <f t="shared" si="199"/>
        <v>0</v>
      </c>
      <c r="CZ84" s="128">
        <f t="shared" si="200"/>
        <v>112832.48315896187</v>
      </c>
      <c r="DA84" s="20"/>
      <c r="DB84" s="127">
        <f t="shared" si="144"/>
        <v>1000</v>
      </c>
      <c r="DC84" s="128">
        <f t="shared" si="145"/>
        <v>100000</v>
      </c>
      <c r="DD84" s="128">
        <f t="shared" si="136"/>
        <v>100000</v>
      </c>
      <c r="DE84" s="128">
        <f t="shared" si="240"/>
        <v>115983.105</v>
      </c>
      <c r="DF84" s="130">
        <f t="shared" si="201"/>
        <v>5.1000000000000004E-2</v>
      </c>
      <c r="DG84" s="128">
        <f t="shared" si="202"/>
        <v>118447.74598125</v>
      </c>
      <c r="DH84" s="128" t="str">
        <f t="shared" si="203"/>
        <v>nie</v>
      </c>
      <c r="DI84" s="128">
        <f t="shared" si="204"/>
        <v>2000</v>
      </c>
      <c r="DJ84" s="128">
        <f t="shared" si="205"/>
        <v>113322.6742448125</v>
      </c>
      <c r="DK84" s="128">
        <f t="shared" si="85"/>
        <v>0</v>
      </c>
      <c r="DL84" s="130">
        <f t="shared" si="206"/>
        <v>3.5999999999999997E-2</v>
      </c>
      <c r="DM84" s="128">
        <f t="shared" si="207"/>
        <v>0</v>
      </c>
      <c r="DN84" s="128">
        <f t="shared" si="208"/>
        <v>113322.6742448125</v>
      </c>
      <c r="DP84" s="127">
        <f t="shared" si="146"/>
        <v>1000</v>
      </c>
      <c r="DQ84" s="128">
        <f t="shared" si="147"/>
        <v>100000</v>
      </c>
      <c r="DR84" s="128">
        <f t="shared" si="138"/>
        <v>100000</v>
      </c>
      <c r="DS84" s="128">
        <f t="shared" si="241"/>
        <v>117758.36160000002</v>
      </c>
      <c r="DT84" s="130">
        <f t="shared" si="209"/>
        <v>5.6000000000000001E-2</v>
      </c>
      <c r="DU84" s="128">
        <f t="shared" si="210"/>
        <v>120506.05670400003</v>
      </c>
      <c r="DV84" s="128" t="str">
        <f t="shared" si="211"/>
        <v>nie</v>
      </c>
      <c r="DW84" s="128">
        <f t="shared" si="212"/>
        <v>3000</v>
      </c>
      <c r="DX84" s="128">
        <f t="shared" si="93"/>
        <v>114179.90593024003</v>
      </c>
      <c r="DY84" s="128">
        <f t="shared" si="94"/>
        <v>0</v>
      </c>
      <c r="DZ84" s="130">
        <f t="shared" si="213"/>
        <v>3.5999999999999997E-2</v>
      </c>
      <c r="EA84" s="128">
        <f t="shared" si="214"/>
        <v>0</v>
      </c>
      <c r="EB84" s="128">
        <f t="shared" si="215"/>
        <v>114179.90593024003</v>
      </c>
    </row>
    <row r="85" spans="1:134">
      <c r="A85" s="212"/>
      <c r="B85" s="188">
        <f t="shared" si="216"/>
        <v>41</v>
      </c>
      <c r="C85" s="128">
        <f t="shared" si="217"/>
        <v>111806.59803133312</v>
      </c>
      <c r="D85" s="128">
        <f t="shared" si="218"/>
        <v>111207.47483696604</v>
      </c>
      <c r="E85" s="128">
        <f t="shared" si="219"/>
        <v>112032.13132887859</v>
      </c>
      <c r="F85" s="128">
        <f t="shared" si="220"/>
        <v>111715.00363798934</v>
      </c>
      <c r="G85" s="128">
        <f t="shared" si="221"/>
        <v>112832.48315896187</v>
      </c>
      <c r="H85" s="128">
        <f t="shared" si="222"/>
        <v>113322.6742448125</v>
      </c>
      <c r="I85" s="128">
        <f t="shared" si="223"/>
        <v>114179.90593024003</v>
      </c>
      <c r="J85" s="128">
        <f t="shared" si="224"/>
        <v>110462.85728479504</v>
      </c>
      <c r="K85" s="128">
        <f t="shared" si="225"/>
        <v>111006.8331217083</v>
      </c>
      <c r="M85" s="36"/>
      <c r="N85" s="32">
        <f t="shared" si="226"/>
        <v>41</v>
      </c>
      <c r="O85" s="25">
        <f t="shared" si="109"/>
        <v>0.11806598031333126</v>
      </c>
      <c r="P85" s="25">
        <f t="shared" si="110"/>
        <v>0.11207474836966047</v>
      </c>
      <c r="Q85" s="25">
        <f t="shared" si="111"/>
        <v>0.12032131328878592</v>
      </c>
      <c r="R85" s="25">
        <f t="shared" si="161"/>
        <v>0.11715003637989341</v>
      </c>
      <c r="S85" s="25">
        <f t="shared" si="162"/>
        <v>0.1283248315896186</v>
      </c>
      <c r="T85" s="25">
        <f t="shared" si="163"/>
        <v>0.13322674244812505</v>
      </c>
      <c r="U85" s="25">
        <f t="shared" si="164"/>
        <v>0.14179905930240033</v>
      </c>
      <c r="V85" s="25">
        <f t="shared" si="165"/>
        <v>0.10462857284795035</v>
      </c>
      <c r="W85" s="25">
        <f t="shared" si="166"/>
        <v>0.11006833121708293</v>
      </c>
      <c r="X85" s="36"/>
      <c r="Y85" s="36"/>
      <c r="AA85" s="124">
        <f t="shared" si="113"/>
        <v>42</v>
      </c>
      <c r="AB85" s="128">
        <f t="shared" si="167"/>
        <v>111289.94392604998</v>
      </c>
      <c r="AC85" s="124">
        <f t="shared" si="114"/>
        <v>42</v>
      </c>
      <c r="AD85" s="130">
        <f t="shared" si="227"/>
        <v>3.7499999999999999E-2</v>
      </c>
      <c r="AE85" s="127">
        <f t="shared" si="228"/>
        <v>1108</v>
      </c>
      <c r="AF85" s="128">
        <f t="shared" si="229"/>
        <v>110692.6</v>
      </c>
      <c r="AG85" s="128">
        <f t="shared" si="140"/>
        <v>110800</v>
      </c>
      <c r="AH85" s="128">
        <f t="shared" si="118"/>
        <v>110800</v>
      </c>
      <c r="AI85" s="130">
        <f t="shared" si="168"/>
        <v>3.7499999999999999E-2</v>
      </c>
      <c r="AJ85" s="128">
        <f t="shared" si="169"/>
        <v>111146.25</v>
      </c>
      <c r="AK85" s="128" t="str">
        <f t="shared" si="170"/>
        <v>nie</v>
      </c>
      <c r="AL85" s="128">
        <f t="shared" si="171"/>
        <v>554</v>
      </c>
      <c r="AM85" s="128">
        <f t="shared" si="150"/>
        <v>110631.7225</v>
      </c>
      <c r="AN85" s="128">
        <f t="shared" si="172"/>
        <v>280.46250000000003</v>
      </c>
      <c r="AO85" s="130">
        <f t="shared" si="173"/>
        <v>3.5999999999999997E-2</v>
      </c>
      <c r="AP85" s="128">
        <f t="shared" si="174"/>
        <v>1739.3370027492663</v>
      </c>
      <c r="AQ85" s="128">
        <f t="shared" si="156"/>
        <v>112090.59700274927</v>
      </c>
      <c r="AS85" s="124">
        <f t="shared" si="119"/>
        <v>42</v>
      </c>
      <c r="AT85" s="130">
        <f t="shared" si="120"/>
        <v>3.7499999999999999E-2</v>
      </c>
      <c r="AU85" s="127">
        <f t="shared" si="230"/>
        <v>1069</v>
      </c>
      <c r="AV85" s="128">
        <f t="shared" si="231"/>
        <v>106799.70000000001</v>
      </c>
      <c r="AW85" s="128">
        <f t="shared" si="151"/>
        <v>106900</v>
      </c>
      <c r="AX85" s="128">
        <f t="shared" si="123"/>
        <v>106900</v>
      </c>
      <c r="AY85" s="130">
        <f t="shared" si="175"/>
        <v>3.9E-2</v>
      </c>
      <c r="AZ85" s="128">
        <f t="shared" si="176"/>
        <v>107247.425</v>
      </c>
      <c r="BA85" s="128" t="str">
        <f t="shared" si="177"/>
        <v>nie</v>
      </c>
      <c r="BB85" s="128">
        <f t="shared" si="178"/>
        <v>748.3</v>
      </c>
      <c r="BC85" s="128">
        <f t="shared" si="158"/>
        <v>106575.29124999999</v>
      </c>
      <c r="BD85" s="128">
        <f t="shared" si="179"/>
        <v>281.41425000000237</v>
      </c>
      <c r="BE85" s="130">
        <f t="shared" si="51"/>
        <v>3.5999999999999997E-2</v>
      </c>
      <c r="BF85" s="128">
        <f t="shared" si="180"/>
        <v>5206.9521297098718</v>
      </c>
      <c r="BG85" s="128">
        <f t="shared" si="159"/>
        <v>111500.82912970986</v>
      </c>
      <c r="BI85" s="124">
        <f t="shared" si="124"/>
        <v>42</v>
      </c>
      <c r="BJ85" s="130">
        <f t="shared" si="242"/>
        <v>3.9100000000000003E-2</v>
      </c>
      <c r="BK85" s="127">
        <f t="shared" si="232"/>
        <v>1112</v>
      </c>
      <c r="BL85" s="128">
        <f t="shared" si="233"/>
        <v>111088.8</v>
      </c>
      <c r="BM85" s="128">
        <f t="shared" si="142"/>
        <v>111200</v>
      </c>
      <c r="BN85" s="128">
        <f t="shared" si="234"/>
        <v>111200</v>
      </c>
      <c r="BO85" s="130">
        <f t="shared" si="181"/>
        <v>4.3999999999999997E-2</v>
      </c>
      <c r="BP85" s="128">
        <f t="shared" si="182"/>
        <v>113646.40000000001</v>
      </c>
      <c r="BQ85" s="128" t="str">
        <f t="shared" si="183"/>
        <v>nie</v>
      </c>
      <c r="BR85" s="128">
        <f t="shared" si="184"/>
        <v>1112</v>
      </c>
      <c r="BS85" s="128">
        <f t="shared" si="153"/>
        <v>112280.864</v>
      </c>
      <c r="BT85" s="128">
        <f t="shared" si="128"/>
        <v>0</v>
      </c>
      <c r="BU85" s="130">
        <f t="shared" si="185"/>
        <v>3.5999999999999997E-2</v>
      </c>
      <c r="BV85" s="128">
        <f t="shared" si="60"/>
        <v>81.729450007758018</v>
      </c>
      <c r="BW85" s="128">
        <f t="shared" si="61"/>
        <v>112362.59345000776</v>
      </c>
      <c r="BY85" s="130">
        <f t="shared" si="149"/>
        <v>3.1E-2</v>
      </c>
      <c r="BZ85" s="127">
        <f t="shared" si="235"/>
        <v>1000</v>
      </c>
      <c r="CA85" s="128">
        <f t="shared" si="236"/>
        <v>100000</v>
      </c>
      <c r="CB85" s="128">
        <f t="shared" si="154"/>
        <v>100000</v>
      </c>
      <c r="CC85" s="128">
        <f t="shared" si="131"/>
        <v>100000</v>
      </c>
      <c r="CD85" s="130">
        <f t="shared" si="186"/>
        <v>4.5999999999999999E-2</v>
      </c>
      <c r="CE85" s="128">
        <f t="shared" si="187"/>
        <v>102299.99999999999</v>
      </c>
      <c r="CF85" s="128" t="str">
        <f t="shared" si="188"/>
        <v>nie</v>
      </c>
      <c r="CG85" s="128">
        <f t="shared" si="189"/>
        <v>2000</v>
      </c>
      <c r="CH85" s="128">
        <f t="shared" si="160"/>
        <v>100242.99999999999</v>
      </c>
      <c r="CI85" s="128">
        <f t="shared" si="190"/>
        <v>0</v>
      </c>
      <c r="CJ85" s="130">
        <f t="shared" si="68"/>
        <v>3.5999999999999997E-2</v>
      </c>
      <c r="CK85" s="128">
        <f t="shared" si="191"/>
        <v>11811.135121829671</v>
      </c>
      <c r="CL85" s="128">
        <f t="shared" si="192"/>
        <v>112054.13512182966</v>
      </c>
      <c r="CN85" s="127">
        <f t="shared" si="237"/>
        <v>1000</v>
      </c>
      <c r="CO85" s="128">
        <f t="shared" si="238"/>
        <v>100000</v>
      </c>
      <c r="CP85" s="128">
        <f t="shared" si="134"/>
        <v>100000</v>
      </c>
      <c r="CQ85" s="128">
        <f t="shared" si="239"/>
        <v>116369.71535</v>
      </c>
      <c r="CR85" s="130">
        <f t="shared" si="193"/>
        <v>5.1000000000000004E-2</v>
      </c>
      <c r="CS85" s="128">
        <f t="shared" si="194"/>
        <v>119337.14309142501</v>
      </c>
      <c r="CT85" s="128" t="str">
        <f t="shared" si="195"/>
        <v>nie</v>
      </c>
      <c r="CU85" s="128">
        <f t="shared" si="196"/>
        <v>3000</v>
      </c>
      <c r="CV85" s="128">
        <f t="shared" si="197"/>
        <v>113233.08590405426</v>
      </c>
      <c r="CW85" s="128">
        <f t="shared" si="76"/>
        <v>0</v>
      </c>
      <c r="CX85" s="130">
        <f t="shared" si="198"/>
        <v>3.5999999999999997E-2</v>
      </c>
      <c r="CY85" s="128">
        <f t="shared" si="199"/>
        <v>0</v>
      </c>
      <c r="CZ85" s="128">
        <f t="shared" si="200"/>
        <v>113233.08590405426</v>
      </c>
      <c r="DA85" s="20"/>
      <c r="DB85" s="127">
        <f t="shared" si="144"/>
        <v>1000</v>
      </c>
      <c r="DC85" s="128">
        <f t="shared" si="145"/>
        <v>100000</v>
      </c>
      <c r="DD85" s="128">
        <f t="shared" si="136"/>
        <v>100000</v>
      </c>
      <c r="DE85" s="128">
        <f t="shared" si="240"/>
        <v>115983.105</v>
      </c>
      <c r="DF85" s="130">
        <f t="shared" si="201"/>
        <v>5.1000000000000004E-2</v>
      </c>
      <c r="DG85" s="128">
        <f t="shared" si="202"/>
        <v>118940.67417750001</v>
      </c>
      <c r="DH85" s="128" t="str">
        <f t="shared" si="203"/>
        <v>nie</v>
      </c>
      <c r="DI85" s="128">
        <f t="shared" si="204"/>
        <v>2000</v>
      </c>
      <c r="DJ85" s="128">
        <f t="shared" si="205"/>
        <v>113721.94608377501</v>
      </c>
      <c r="DK85" s="128">
        <f t="shared" si="85"/>
        <v>0</v>
      </c>
      <c r="DL85" s="130">
        <f t="shared" si="206"/>
        <v>3.5999999999999997E-2</v>
      </c>
      <c r="DM85" s="128">
        <f t="shared" si="207"/>
        <v>0</v>
      </c>
      <c r="DN85" s="128">
        <f t="shared" si="208"/>
        <v>113721.94608377501</v>
      </c>
      <c r="DP85" s="127">
        <f t="shared" si="146"/>
        <v>1000</v>
      </c>
      <c r="DQ85" s="128">
        <f t="shared" si="147"/>
        <v>100000</v>
      </c>
      <c r="DR85" s="128">
        <f t="shared" si="138"/>
        <v>100000</v>
      </c>
      <c r="DS85" s="128">
        <f t="shared" si="241"/>
        <v>117758.36160000002</v>
      </c>
      <c r="DT85" s="130">
        <f t="shared" si="209"/>
        <v>5.6000000000000001E-2</v>
      </c>
      <c r="DU85" s="128">
        <f t="shared" si="210"/>
        <v>121055.59572480002</v>
      </c>
      <c r="DV85" s="128" t="str">
        <f t="shared" si="211"/>
        <v>nie</v>
      </c>
      <c r="DW85" s="128">
        <f t="shared" si="212"/>
        <v>3000</v>
      </c>
      <c r="DX85" s="128">
        <f t="shared" si="93"/>
        <v>114625.03253708802</v>
      </c>
      <c r="DY85" s="128">
        <f t="shared" si="94"/>
        <v>0</v>
      </c>
      <c r="DZ85" s="130">
        <f t="shared" si="213"/>
        <v>3.5999999999999997E-2</v>
      </c>
      <c r="EA85" s="128">
        <f t="shared" si="214"/>
        <v>0</v>
      </c>
      <c r="EB85" s="128">
        <f t="shared" si="215"/>
        <v>114625.03253708802</v>
      </c>
    </row>
    <row r="86" spans="1:134">
      <c r="A86" s="212"/>
      <c r="B86" s="188">
        <f t="shared" si="216"/>
        <v>42</v>
      </c>
      <c r="C86" s="128">
        <f t="shared" si="217"/>
        <v>112090.59700274927</v>
      </c>
      <c r="D86" s="128">
        <f t="shared" si="218"/>
        <v>111500.82912970986</v>
      </c>
      <c r="E86" s="128">
        <f t="shared" si="219"/>
        <v>112362.59345000776</v>
      </c>
      <c r="F86" s="128">
        <f t="shared" si="220"/>
        <v>112054.13512182966</v>
      </c>
      <c r="G86" s="128">
        <f t="shared" si="221"/>
        <v>113233.08590405426</v>
      </c>
      <c r="H86" s="128">
        <f t="shared" si="222"/>
        <v>113721.94608377501</v>
      </c>
      <c r="I86" s="128">
        <f t="shared" si="223"/>
        <v>114625.03253708802</v>
      </c>
      <c r="J86" s="128">
        <f t="shared" si="224"/>
        <v>110731.28202799709</v>
      </c>
      <c r="K86" s="128">
        <f t="shared" si="225"/>
        <v>111289.94392604998</v>
      </c>
      <c r="M86" s="36"/>
      <c r="N86" s="32">
        <f t="shared" si="226"/>
        <v>42</v>
      </c>
      <c r="O86" s="25">
        <f t="shared" si="109"/>
        <v>0.12090597002749282</v>
      </c>
      <c r="P86" s="25">
        <f t="shared" si="110"/>
        <v>0.11500829129709866</v>
      </c>
      <c r="Q86" s="25">
        <f t="shared" si="111"/>
        <v>0.12362593450007764</v>
      </c>
      <c r="R86" s="25">
        <f t="shared" si="161"/>
        <v>0.12054135121829668</v>
      </c>
      <c r="S86" s="25">
        <f t="shared" si="162"/>
        <v>0.13233085904054254</v>
      </c>
      <c r="T86" s="25">
        <f t="shared" si="163"/>
        <v>0.13721946083775016</v>
      </c>
      <c r="U86" s="25">
        <f t="shared" si="164"/>
        <v>0.14625032537088023</v>
      </c>
      <c r="V86" s="25">
        <f t="shared" si="165"/>
        <v>0.10731282027997091</v>
      </c>
      <c r="W86" s="25">
        <f t="shared" si="166"/>
        <v>0.11289943926049983</v>
      </c>
      <c r="X86" s="36"/>
      <c r="Y86" s="36"/>
      <c r="AA86" s="124">
        <f t="shared" si="113"/>
        <v>43</v>
      </c>
      <c r="AB86" s="128">
        <f t="shared" si="167"/>
        <v>111573.05473039162</v>
      </c>
      <c r="AC86" s="124">
        <f t="shared" si="114"/>
        <v>43</v>
      </c>
      <c r="AD86" s="130">
        <f t="shared" si="227"/>
        <v>3.7499999999999999E-2</v>
      </c>
      <c r="AE86" s="127">
        <f t="shared" si="228"/>
        <v>1108</v>
      </c>
      <c r="AF86" s="128">
        <f t="shared" si="229"/>
        <v>110692.6</v>
      </c>
      <c r="AG86" s="128">
        <f t="shared" si="140"/>
        <v>110800</v>
      </c>
      <c r="AH86" s="128">
        <f t="shared" si="118"/>
        <v>110800</v>
      </c>
      <c r="AI86" s="130">
        <f t="shared" si="168"/>
        <v>3.7499999999999999E-2</v>
      </c>
      <c r="AJ86" s="128">
        <f t="shared" si="169"/>
        <v>111146.25</v>
      </c>
      <c r="AK86" s="128" t="str">
        <f t="shared" si="170"/>
        <v>nie</v>
      </c>
      <c r="AL86" s="128">
        <f t="shared" si="171"/>
        <v>554</v>
      </c>
      <c r="AM86" s="128">
        <f t="shared" si="150"/>
        <v>110631.7225</v>
      </c>
      <c r="AN86" s="128">
        <f t="shared" si="172"/>
        <v>280.46250000000003</v>
      </c>
      <c r="AO86" s="130">
        <f t="shared" si="173"/>
        <v>3.5999999999999997E-2</v>
      </c>
      <c r="AP86" s="128">
        <f t="shared" si="174"/>
        <v>2024.026091665947</v>
      </c>
      <c r="AQ86" s="128">
        <f t="shared" si="156"/>
        <v>112375.28609166596</v>
      </c>
      <c r="AS86" s="124">
        <f t="shared" si="119"/>
        <v>43</v>
      </c>
      <c r="AT86" s="130">
        <f t="shared" si="120"/>
        <v>3.7499999999999999E-2</v>
      </c>
      <c r="AU86" s="127">
        <f t="shared" si="230"/>
        <v>1069</v>
      </c>
      <c r="AV86" s="128">
        <f t="shared" si="231"/>
        <v>106799.70000000001</v>
      </c>
      <c r="AW86" s="128">
        <f t="shared" si="151"/>
        <v>106900</v>
      </c>
      <c r="AX86" s="128">
        <f t="shared" si="123"/>
        <v>106900</v>
      </c>
      <c r="AY86" s="130">
        <f t="shared" si="175"/>
        <v>3.9E-2</v>
      </c>
      <c r="AZ86" s="128">
        <f t="shared" si="176"/>
        <v>107247.425</v>
      </c>
      <c r="BA86" s="128" t="str">
        <f t="shared" si="177"/>
        <v>nie</v>
      </c>
      <c r="BB86" s="128">
        <f t="shared" si="178"/>
        <v>748.3</v>
      </c>
      <c r="BC86" s="128">
        <f t="shared" si="158"/>
        <v>106575.29124999999</v>
      </c>
      <c r="BD86" s="128">
        <f t="shared" si="179"/>
        <v>281.41425000000237</v>
      </c>
      <c r="BE86" s="130">
        <f t="shared" si="51"/>
        <v>3.5999999999999997E-2</v>
      </c>
      <c r="BF86" s="128">
        <f t="shared" si="180"/>
        <v>5501.019273385069</v>
      </c>
      <c r="BG86" s="128">
        <f t="shared" si="159"/>
        <v>111794.89627338506</v>
      </c>
      <c r="BI86" s="124">
        <f t="shared" si="124"/>
        <v>43</v>
      </c>
      <c r="BJ86" s="130">
        <f t="shared" si="242"/>
        <v>3.9100000000000003E-2</v>
      </c>
      <c r="BK86" s="127">
        <f t="shared" si="232"/>
        <v>1112</v>
      </c>
      <c r="BL86" s="128">
        <f t="shared" si="233"/>
        <v>111088.8</v>
      </c>
      <c r="BM86" s="128">
        <f t="shared" si="142"/>
        <v>111200</v>
      </c>
      <c r="BN86" s="128">
        <f t="shared" si="234"/>
        <v>111200</v>
      </c>
      <c r="BO86" s="130">
        <f t="shared" si="181"/>
        <v>4.3999999999999997E-2</v>
      </c>
      <c r="BP86" s="128">
        <f t="shared" si="182"/>
        <v>114054.13333333335</v>
      </c>
      <c r="BQ86" s="128" t="str">
        <f t="shared" si="183"/>
        <v>nie</v>
      </c>
      <c r="BR86" s="128">
        <f t="shared" si="184"/>
        <v>1112</v>
      </c>
      <c r="BS86" s="128">
        <f t="shared" si="153"/>
        <v>112611.12800000001</v>
      </c>
      <c r="BT86" s="128">
        <f t="shared" si="128"/>
        <v>0</v>
      </c>
      <c r="BU86" s="130">
        <f t="shared" si="185"/>
        <v>3.5999999999999997E-2</v>
      </c>
      <c r="BV86" s="128">
        <f t="shared" si="60"/>
        <v>81.928052571276865</v>
      </c>
      <c r="BW86" s="128">
        <f t="shared" si="61"/>
        <v>112693.05605257129</v>
      </c>
      <c r="BY86" s="130">
        <f t="shared" si="149"/>
        <v>3.1E-2</v>
      </c>
      <c r="BZ86" s="127">
        <f t="shared" si="235"/>
        <v>1000</v>
      </c>
      <c r="CA86" s="128">
        <f t="shared" si="236"/>
        <v>100000</v>
      </c>
      <c r="CB86" s="128">
        <f t="shared" si="154"/>
        <v>100000</v>
      </c>
      <c r="CC86" s="128">
        <f t="shared" si="131"/>
        <v>100000</v>
      </c>
      <c r="CD86" s="130">
        <f t="shared" si="186"/>
        <v>4.5999999999999999E-2</v>
      </c>
      <c r="CE86" s="128">
        <f t="shared" si="187"/>
        <v>102683.33333333333</v>
      </c>
      <c r="CF86" s="128" t="str">
        <f t="shared" si="188"/>
        <v>nie</v>
      </c>
      <c r="CG86" s="128">
        <f t="shared" si="189"/>
        <v>2000</v>
      </c>
      <c r="CH86" s="128">
        <f t="shared" si="160"/>
        <v>100553.5</v>
      </c>
      <c r="CI86" s="128">
        <f t="shared" si="190"/>
        <v>0</v>
      </c>
      <c r="CJ86" s="130">
        <f t="shared" si="68"/>
        <v>3.5999999999999997E-2</v>
      </c>
      <c r="CK86" s="128">
        <f t="shared" si="191"/>
        <v>11839.836180175716</v>
      </c>
      <c r="CL86" s="128">
        <f t="shared" si="192"/>
        <v>112393.33618017571</v>
      </c>
      <c r="CN86" s="127">
        <f t="shared" si="237"/>
        <v>1000</v>
      </c>
      <c r="CO86" s="128">
        <f t="shared" si="238"/>
        <v>100000</v>
      </c>
      <c r="CP86" s="128">
        <f t="shared" si="134"/>
        <v>100000</v>
      </c>
      <c r="CQ86" s="128">
        <f t="shared" si="239"/>
        <v>116369.71535</v>
      </c>
      <c r="CR86" s="130">
        <f t="shared" si="193"/>
        <v>5.1000000000000004E-2</v>
      </c>
      <c r="CS86" s="128">
        <f t="shared" si="194"/>
        <v>119831.71438166249</v>
      </c>
      <c r="CT86" s="128" t="str">
        <f t="shared" si="195"/>
        <v>nie</v>
      </c>
      <c r="CU86" s="128">
        <f t="shared" si="196"/>
        <v>3000</v>
      </c>
      <c r="CV86" s="128">
        <f t="shared" si="197"/>
        <v>113633.68864914661</v>
      </c>
      <c r="CW86" s="128">
        <f t="shared" si="76"/>
        <v>0</v>
      </c>
      <c r="CX86" s="130">
        <f t="shared" si="198"/>
        <v>3.5999999999999997E-2</v>
      </c>
      <c r="CY86" s="128">
        <f t="shared" si="199"/>
        <v>0</v>
      </c>
      <c r="CZ86" s="128">
        <f t="shared" si="200"/>
        <v>113633.68864914661</v>
      </c>
      <c r="DA86" s="20"/>
      <c r="DB86" s="127">
        <f t="shared" si="144"/>
        <v>1000</v>
      </c>
      <c r="DC86" s="128">
        <f t="shared" si="145"/>
        <v>100000</v>
      </c>
      <c r="DD86" s="128">
        <f t="shared" si="136"/>
        <v>100000</v>
      </c>
      <c r="DE86" s="128">
        <f t="shared" si="240"/>
        <v>115983.105</v>
      </c>
      <c r="DF86" s="130">
        <f t="shared" si="201"/>
        <v>5.1000000000000004E-2</v>
      </c>
      <c r="DG86" s="128">
        <f t="shared" si="202"/>
        <v>119433.60237374999</v>
      </c>
      <c r="DH86" s="128" t="str">
        <f t="shared" si="203"/>
        <v>nie</v>
      </c>
      <c r="DI86" s="128">
        <f t="shared" si="204"/>
        <v>2000</v>
      </c>
      <c r="DJ86" s="128">
        <f t="shared" si="205"/>
        <v>114121.21792273749</v>
      </c>
      <c r="DK86" s="128">
        <f t="shared" si="85"/>
        <v>0</v>
      </c>
      <c r="DL86" s="130">
        <f t="shared" si="206"/>
        <v>3.5999999999999997E-2</v>
      </c>
      <c r="DM86" s="128">
        <f t="shared" si="207"/>
        <v>0</v>
      </c>
      <c r="DN86" s="128">
        <f t="shared" si="208"/>
        <v>114121.21792273749</v>
      </c>
      <c r="DP86" s="127">
        <f t="shared" si="146"/>
        <v>1000</v>
      </c>
      <c r="DQ86" s="128">
        <f t="shared" si="147"/>
        <v>100000</v>
      </c>
      <c r="DR86" s="128">
        <f t="shared" si="138"/>
        <v>100000</v>
      </c>
      <c r="DS86" s="128">
        <f t="shared" si="241"/>
        <v>117758.36160000002</v>
      </c>
      <c r="DT86" s="130">
        <f t="shared" si="209"/>
        <v>5.6000000000000001E-2</v>
      </c>
      <c r="DU86" s="128">
        <f t="shared" si="210"/>
        <v>121605.13474560001</v>
      </c>
      <c r="DV86" s="128" t="str">
        <f t="shared" si="211"/>
        <v>nie</v>
      </c>
      <c r="DW86" s="128">
        <f t="shared" si="212"/>
        <v>3000</v>
      </c>
      <c r="DX86" s="128">
        <f t="shared" si="93"/>
        <v>115070.15914393601</v>
      </c>
      <c r="DY86" s="128">
        <f t="shared" si="94"/>
        <v>0</v>
      </c>
      <c r="DZ86" s="130">
        <f t="shared" si="213"/>
        <v>3.5999999999999997E-2</v>
      </c>
      <c r="EA86" s="128">
        <f t="shared" si="214"/>
        <v>0</v>
      </c>
      <c r="EB86" s="128">
        <f t="shared" si="215"/>
        <v>115070.15914393601</v>
      </c>
    </row>
    <row r="87" spans="1:134">
      <c r="A87" s="212"/>
      <c r="B87" s="188">
        <f t="shared" si="216"/>
        <v>43</v>
      </c>
      <c r="C87" s="128">
        <f t="shared" si="217"/>
        <v>112375.28609166596</v>
      </c>
      <c r="D87" s="128">
        <f t="shared" si="218"/>
        <v>111794.89627338506</v>
      </c>
      <c r="E87" s="128">
        <f t="shared" si="219"/>
        <v>112693.05605257129</v>
      </c>
      <c r="F87" s="128">
        <f t="shared" si="220"/>
        <v>112393.33618017571</v>
      </c>
      <c r="G87" s="128">
        <f t="shared" si="221"/>
        <v>113633.68864914661</v>
      </c>
      <c r="H87" s="128">
        <f t="shared" si="222"/>
        <v>114121.21792273749</v>
      </c>
      <c r="I87" s="128">
        <f t="shared" si="223"/>
        <v>115070.15914393601</v>
      </c>
      <c r="J87" s="128">
        <f t="shared" si="224"/>
        <v>111000.35904332512</v>
      </c>
      <c r="K87" s="128">
        <f t="shared" si="225"/>
        <v>111573.05473039162</v>
      </c>
      <c r="M87" s="36"/>
      <c r="N87" s="32">
        <f t="shared" si="226"/>
        <v>43</v>
      </c>
      <c r="O87" s="25">
        <f t="shared" si="109"/>
        <v>0.1237528609166596</v>
      </c>
      <c r="P87" s="25">
        <f t="shared" si="110"/>
        <v>0.11794896273385058</v>
      </c>
      <c r="Q87" s="25">
        <f t="shared" si="111"/>
        <v>0.12693056052571294</v>
      </c>
      <c r="R87" s="25">
        <f t="shared" si="161"/>
        <v>0.12393336180175707</v>
      </c>
      <c r="S87" s="25">
        <f t="shared" si="162"/>
        <v>0.13633688649146625</v>
      </c>
      <c r="T87" s="25">
        <f t="shared" si="163"/>
        <v>0.14121217922737483</v>
      </c>
      <c r="U87" s="25">
        <f t="shared" si="164"/>
        <v>0.15070159143936013</v>
      </c>
      <c r="V87" s="25">
        <f t="shared" si="165"/>
        <v>0.11000359043325125</v>
      </c>
      <c r="W87" s="25">
        <f t="shared" si="166"/>
        <v>0.1157305473039163</v>
      </c>
      <c r="X87" s="36"/>
      <c r="Y87" s="36"/>
      <c r="AA87" s="124">
        <f t="shared" si="113"/>
        <v>44</v>
      </c>
      <c r="AB87" s="128">
        <f t="shared" si="167"/>
        <v>111856.1655347333</v>
      </c>
      <c r="AC87" s="124">
        <f t="shared" si="114"/>
        <v>44</v>
      </c>
      <c r="AD87" s="130">
        <f t="shared" si="227"/>
        <v>3.7499999999999999E-2</v>
      </c>
      <c r="AE87" s="127">
        <f t="shared" si="228"/>
        <v>1108</v>
      </c>
      <c r="AF87" s="128">
        <f t="shared" si="229"/>
        <v>110692.6</v>
      </c>
      <c r="AG87" s="128">
        <f t="shared" si="140"/>
        <v>110800</v>
      </c>
      <c r="AH87" s="128">
        <f t="shared" si="118"/>
        <v>110800</v>
      </c>
      <c r="AI87" s="130">
        <f t="shared" si="168"/>
        <v>3.7499999999999999E-2</v>
      </c>
      <c r="AJ87" s="128">
        <f t="shared" si="169"/>
        <v>111146.25</v>
      </c>
      <c r="AK87" s="128" t="str">
        <f t="shared" si="170"/>
        <v>nie</v>
      </c>
      <c r="AL87" s="128">
        <f t="shared" si="171"/>
        <v>554</v>
      </c>
      <c r="AM87" s="128">
        <f t="shared" si="150"/>
        <v>110631.7225</v>
      </c>
      <c r="AN87" s="128">
        <f t="shared" si="172"/>
        <v>280.46250000000003</v>
      </c>
      <c r="AO87" s="130">
        <f t="shared" si="173"/>
        <v>3.5999999999999997E-2</v>
      </c>
      <c r="AP87" s="128">
        <f t="shared" si="174"/>
        <v>2309.4069750686949</v>
      </c>
      <c r="AQ87" s="128">
        <f t="shared" si="156"/>
        <v>112660.6669750687</v>
      </c>
      <c r="AS87" s="124">
        <f t="shared" si="119"/>
        <v>44</v>
      </c>
      <c r="AT87" s="130">
        <f t="shared" si="120"/>
        <v>3.7499999999999999E-2</v>
      </c>
      <c r="AU87" s="127">
        <f t="shared" si="230"/>
        <v>1069</v>
      </c>
      <c r="AV87" s="128">
        <f t="shared" si="231"/>
        <v>106799.70000000001</v>
      </c>
      <c r="AW87" s="128">
        <f t="shared" si="151"/>
        <v>106900</v>
      </c>
      <c r="AX87" s="128">
        <f t="shared" si="123"/>
        <v>106900</v>
      </c>
      <c r="AY87" s="130">
        <f t="shared" si="175"/>
        <v>3.9E-2</v>
      </c>
      <c r="AZ87" s="128">
        <f t="shared" si="176"/>
        <v>107247.425</v>
      </c>
      <c r="BA87" s="128" t="str">
        <f t="shared" si="177"/>
        <v>nie</v>
      </c>
      <c r="BB87" s="128">
        <f t="shared" si="178"/>
        <v>748.3</v>
      </c>
      <c r="BC87" s="128">
        <f t="shared" si="158"/>
        <v>106575.29124999999</v>
      </c>
      <c r="BD87" s="128">
        <f t="shared" si="179"/>
        <v>281.41425000000237</v>
      </c>
      <c r="BE87" s="130">
        <f t="shared" si="51"/>
        <v>3.5999999999999997E-2</v>
      </c>
      <c r="BF87" s="128">
        <f t="shared" si="180"/>
        <v>5795.8010002193969</v>
      </c>
      <c r="BG87" s="128">
        <f t="shared" si="159"/>
        <v>112089.67800021938</v>
      </c>
      <c r="BI87" s="124">
        <f t="shared" si="124"/>
        <v>44</v>
      </c>
      <c r="BJ87" s="130">
        <f t="shared" si="242"/>
        <v>3.9100000000000003E-2</v>
      </c>
      <c r="BK87" s="127">
        <f t="shared" si="232"/>
        <v>1112</v>
      </c>
      <c r="BL87" s="128">
        <f t="shared" si="233"/>
        <v>111088.8</v>
      </c>
      <c r="BM87" s="128">
        <f t="shared" si="142"/>
        <v>111200</v>
      </c>
      <c r="BN87" s="128">
        <f t="shared" si="234"/>
        <v>111200</v>
      </c>
      <c r="BO87" s="130">
        <f t="shared" si="181"/>
        <v>4.3999999999999997E-2</v>
      </c>
      <c r="BP87" s="128">
        <f t="shared" si="182"/>
        <v>114461.86666666668</v>
      </c>
      <c r="BQ87" s="128" t="str">
        <f t="shared" si="183"/>
        <v>nie</v>
      </c>
      <c r="BR87" s="128">
        <f t="shared" si="184"/>
        <v>1112</v>
      </c>
      <c r="BS87" s="128">
        <f t="shared" si="153"/>
        <v>112941.39200000001</v>
      </c>
      <c r="BT87" s="128">
        <f t="shared" si="128"/>
        <v>0</v>
      </c>
      <c r="BU87" s="130">
        <f t="shared" si="185"/>
        <v>3.5999999999999997E-2</v>
      </c>
      <c r="BV87" s="128">
        <f t="shared" si="60"/>
        <v>82.127137739025059</v>
      </c>
      <c r="BW87" s="128">
        <f t="shared" si="61"/>
        <v>113023.51913773903</v>
      </c>
      <c r="BY87" s="130">
        <f t="shared" si="149"/>
        <v>3.1E-2</v>
      </c>
      <c r="BZ87" s="127">
        <f t="shared" si="235"/>
        <v>1000</v>
      </c>
      <c r="CA87" s="128">
        <f t="shared" si="236"/>
        <v>100000</v>
      </c>
      <c r="CB87" s="128">
        <f t="shared" si="154"/>
        <v>100000</v>
      </c>
      <c r="CC87" s="128">
        <f t="shared" si="131"/>
        <v>100000</v>
      </c>
      <c r="CD87" s="130">
        <f t="shared" si="186"/>
        <v>4.5999999999999999E-2</v>
      </c>
      <c r="CE87" s="128">
        <f t="shared" si="187"/>
        <v>103066.66666666666</v>
      </c>
      <c r="CF87" s="128" t="str">
        <f t="shared" si="188"/>
        <v>nie</v>
      </c>
      <c r="CG87" s="128">
        <f t="shared" si="189"/>
        <v>2000</v>
      </c>
      <c r="CH87" s="128">
        <f t="shared" si="160"/>
        <v>100863.99999999999</v>
      </c>
      <c r="CI87" s="128">
        <f t="shared" si="190"/>
        <v>0</v>
      </c>
      <c r="CJ87" s="130">
        <f t="shared" si="68"/>
        <v>3.5999999999999997E-2</v>
      </c>
      <c r="CK87" s="128">
        <f t="shared" si="191"/>
        <v>11868.606982093543</v>
      </c>
      <c r="CL87" s="128">
        <f t="shared" si="192"/>
        <v>112732.60698209352</v>
      </c>
      <c r="CN87" s="127">
        <f t="shared" si="237"/>
        <v>1000</v>
      </c>
      <c r="CO87" s="128">
        <f t="shared" si="238"/>
        <v>100000</v>
      </c>
      <c r="CP87" s="128">
        <f t="shared" si="134"/>
        <v>100000</v>
      </c>
      <c r="CQ87" s="128">
        <f t="shared" si="239"/>
        <v>116369.71535</v>
      </c>
      <c r="CR87" s="130">
        <f t="shared" si="193"/>
        <v>5.1000000000000004E-2</v>
      </c>
      <c r="CS87" s="128">
        <f t="shared" si="194"/>
        <v>120326.2856719</v>
      </c>
      <c r="CT87" s="128" t="str">
        <f t="shared" si="195"/>
        <v>nie</v>
      </c>
      <c r="CU87" s="128">
        <f t="shared" si="196"/>
        <v>3000</v>
      </c>
      <c r="CV87" s="128">
        <f t="shared" si="197"/>
        <v>114034.291394239</v>
      </c>
      <c r="CW87" s="128">
        <f t="shared" si="76"/>
        <v>0</v>
      </c>
      <c r="CX87" s="130">
        <f t="shared" si="198"/>
        <v>3.5999999999999997E-2</v>
      </c>
      <c r="CY87" s="128">
        <f t="shared" si="199"/>
        <v>0</v>
      </c>
      <c r="CZ87" s="128">
        <f t="shared" si="200"/>
        <v>114034.291394239</v>
      </c>
      <c r="DA87" s="20"/>
      <c r="DB87" s="127">
        <f t="shared" si="144"/>
        <v>1000</v>
      </c>
      <c r="DC87" s="128">
        <f t="shared" si="145"/>
        <v>100000</v>
      </c>
      <c r="DD87" s="128">
        <f t="shared" si="136"/>
        <v>100000</v>
      </c>
      <c r="DE87" s="128">
        <f t="shared" si="240"/>
        <v>115983.105</v>
      </c>
      <c r="DF87" s="130">
        <f t="shared" si="201"/>
        <v>5.1000000000000004E-2</v>
      </c>
      <c r="DG87" s="128">
        <f t="shared" si="202"/>
        <v>119926.53057</v>
      </c>
      <c r="DH87" s="128" t="str">
        <f t="shared" si="203"/>
        <v>nie</v>
      </c>
      <c r="DI87" s="128">
        <f t="shared" si="204"/>
        <v>2000</v>
      </c>
      <c r="DJ87" s="128">
        <f t="shared" si="205"/>
        <v>114520.4897617</v>
      </c>
      <c r="DK87" s="128">
        <f t="shared" si="85"/>
        <v>0</v>
      </c>
      <c r="DL87" s="130">
        <f t="shared" si="206"/>
        <v>3.5999999999999997E-2</v>
      </c>
      <c r="DM87" s="128">
        <f t="shared" si="207"/>
        <v>0</v>
      </c>
      <c r="DN87" s="128">
        <f t="shared" si="208"/>
        <v>114520.4897617</v>
      </c>
      <c r="DP87" s="127">
        <f t="shared" si="146"/>
        <v>1000</v>
      </c>
      <c r="DQ87" s="128">
        <f t="shared" si="147"/>
        <v>100000</v>
      </c>
      <c r="DR87" s="128">
        <f t="shared" si="138"/>
        <v>100000</v>
      </c>
      <c r="DS87" s="128">
        <f t="shared" si="241"/>
        <v>117758.36160000002</v>
      </c>
      <c r="DT87" s="130">
        <f t="shared" si="209"/>
        <v>5.6000000000000001E-2</v>
      </c>
      <c r="DU87" s="128">
        <f t="shared" si="210"/>
        <v>122154.67376640002</v>
      </c>
      <c r="DV87" s="128" t="str">
        <f t="shared" si="211"/>
        <v>nie</v>
      </c>
      <c r="DW87" s="128">
        <f t="shared" si="212"/>
        <v>3000</v>
      </c>
      <c r="DX87" s="128">
        <f t="shared" si="93"/>
        <v>115515.28575078402</v>
      </c>
      <c r="DY87" s="128">
        <f t="shared" si="94"/>
        <v>0</v>
      </c>
      <c r="DZ87" s="130">
        <f t="shared" si="213"/>
        <v>3.5999999999999997E-2</v>
      </c>
      <c r="EA87" s="128">
        <f t="shared" si="214"/>
        <v>0</v>
      </c>
      <c r="EB87" s="128">
        <f t="shared" si="215"/>
        <v>115515.28575078402</v>
      </c>
    </row>
    <row r="88" spans="1:134">
      <c r="A88" s="212"/>
      <c r="B88" s="188">
        <f t="shared" si="216"/>
        <v>44</v>
      </c>
      <c r="C88" s="128">
        <f t="shared" si="217"/>
        <v>112660.6669750687</v>
      </c>
      <c r="D88" s="128">
        <f t="shared" si="218"/>
        <v>112089.67800021938</v>
      </c>
      <c r="E88" s="128">
        <f t="shared" si="219"/>
        <v>113023.51913773903</v>
      </c>
      <c r="F88" s="128">
        <f t="shared" si="220"/>
        <v>112732.60698209352</v>
      </c>
      <c r="G88" s="128">
        <f t="shared" si="221"/>
        <v>114034.291394239</v>
      </c>
      <c r="H88" s="128">
        <f t="shared" si="222"/>
        <v>114520.4897617</v>
      </c>
      <c r="I88" s="128">
        <f t="shared" si="223"/>
        <v>115515.28575078402</v>
      </c>
      <c r="J88" s="128">
        <f t="shared" si="224"/>
        <v>111270.08991580039</v>
      </c>
      <c r="K88" s="128">
        <f t="shared" si="225"/>
        <v>111856.1655347333</v>
      </c>
      <c r="M88" s="36"/>
      <c r="N88" s="32">
        <f t="shared" si="226"/>
        <v>44</v>
      </c>
      <c r="O88" s="25">
        <f t="shared" si="109"/>
        <v>0.12660666975068691</v>
      </c>
      <c r="P88" s="25">
        <f t="shared" si="110"/>
        <v>0.12089678000219384</v>
      </c>
      <c r="Q88" s="25">
        <f t="shared" si="111"/>
        <v>0.13023519137739026</v>
      </c>
      <c r="R88" s="25">
        <f t="shared" si="161"/>
        <v>0.12732606982093531</v>
      </c>
      <c r="S88" s="25">
        <f t="shared" si="162"/>
        <v>0.14034291394238996</v>
      </c>
      <c r="T88" s="25">
        <f t="shared" si="163"/>
        <v>0.14520489761699995</v>
      </c>
      <c r="U88" s="25">
        <f t="shared" si="164"/>
        <v>0.15515285750784025</v>
      </c>
      <c r="V88" s="25">
        <f t="shared" si="165"/>
        <v>0.11270089915800385</v>
      </c>
      <c r="W88" s="25">
        <f t="shared" si="166"/>
        <v>0.11856165534733298</v>
      </c>
      <c r="X88" s="36"/>
      <c r="Y88" s="36"/>
      <c r="AA88" s="124">
        <f t="shared" si="113"/>
        <v>45</v>
      </c>
      <c r="AB88" s="128">
        <f t="shared" si="167"/>
        <v>112139.27633907498</v>
      </c>
      <c r="AC88" s="124">
        <f t="shared" si="114"/>
        <v>45</v>
      </c>
      <c r="AD88" s="130">
        <f t="shared" si="227"/>
        <v>3.7499999999999999E-2</v>
      </c>
      <c r="AE88" s="127">
        <f t="shared" si="228"/>
        <v>1108</v>
      </c>
      <c r="AF88" s="128">
        <f t="shared" si="229"/>
        <v>110692.6</v>
      </c>
      <c r="AG88" s="128">
        <f t="shared" si="140"/>
        <v>110800</v>
      </c>
      <c r="AH88" s="128">
        <f t="shared" si="118"/>
        <v>110800</v>
      </c>
      <c r="AI88" s="130">
        <f t="shared" si="168"/>
        <v>3.7499999999999999E-2</v>
      </c>
      <c r="AJ88" s="128">
        <f t="shared" si="169"/>
        <v>111146.25</v>
      </c>
      <c r="AK88" s="128" t="str">
        <f t="shared" si="170"/>
        <v>nie</v>
      </c>
      <c r="AL88" s="128">
        <f t="shared" si="171"/>
        <v>554</v>
      </c>
      <c r="AM88" s="128">
        <f t="shared" si="150"/>
        <v>110631.7225</v>
      </c>
      <c r="AN88" s="128">
        <f t="shared" si="172"/>
        <v>280.46250000000003</v>
      </c>
      <c r="AO88" s="130">
        <f t="shared" si="173"/>
        <v>3.5999999999999997E-2</v>
      </c>
      <c r="AP88" s="128">
        <f t="shared" si="174"/>
        <v>2595.4813340181117</v>
      </c>
      <c r="AQ88" s="128">
        <f t="shared" si="156"/>
        <v>112946.74133401811</v>
      </c>
      <c r="AS88" s="124">
        <f t="shared" si="119"/>
        <v>45</v>
      </c>
      <c r="AT88" s="130">
        <f t="shared" si="120"/>
        <v>3.7499999999999999E-2</v>
      </c>
      <c r="AU88" s="127">
        <f t="shared" si="230"/>
        <v>1069</v>
      </c>
      <c r="AV88" s="128">
        <f t="shared" si="231"/>
        <v>106799.70000000001</v>
      </c>
      <c r="AW88" s="128">
        <f t="shared" si="151"/>
        <v>106900</v>
      </c>
      <c r="AX88" s="128">
        <f t="shared" si="123"/>
        <v>106900</v>
      </c>
      <c r="AY88" s="130">
        <f t="shared" si="175"/>
        <v>3.9E-2</v>
      </c>
      <c r="AZ88" s="128">
        <f t="shared" si="176"/>
        <v>107247.425</v>
      </c>
      <c r="BA88" s="128" t="str">
        <f t="shared" si="177"/>
        <v>nie</v>
      </c>
      <c r="BB88" s="128">
        <f t="shared" si="178"/>
        <v>748.3</v>
      </c>
      <c r="BC88" s="128">
        <f t="shared" si="158"/>
        <v>106575.29124999999</v>
      </c>
      <c r="BD88" s="128">
        <f t="shared" si="179"/>
        <v>281.41425000000237</v>
      </c>
      <c r="BE88" s="130">
        <f t="shared" si="51"/>
        <v>3.5999999999999997E-2</v>
      </c>
      <c r="BF88" s="128">
        <f t="shared" si="180"/>
        <v>6091.2990466499323</v>
      </c>
      <c r="BG88" s="128">
        <f t="shared" si="159"/>
        <v>112385.17604664993</v>
      </c>
      <c r="BI88" s="124">
        <f t="shared" si="124"/>
        <v>45</v>
      </c>
      <c r="BJ88" s="130">
        <f t="shared" si="242"/>
        <v>3.9100000000000003E-2</v>
      </c>
      <c r="BK88" s="127">
        <f t="shared" si="232"/>
        <v>1112</v>
      </c>
      <c r="BL88" s="128">
        <f t="shared" si="233"/>
        <v>111088.8</v>
      </c>
      <c r="BM88" s="128">
        <f t="shared" si="142"/>
        <v>111200</v>
      </c>
      <c r="BN88" s="128">
        <f t="shared" si="234"/>
        <v>111200</v>
      </c>
      <c r="BO88" s="130">
        <f t="shared" si="181"/>
        <v>4.3999999999999997E-2</v>
      </c>
      <c r="BP88" s="128">
        <f t="shared" si="182"/>
        <v>114869.59999999999</v>
      </c>
      <c r="BQ88" s="128" t="str">
        <f t="shared" si="183"/>
        <v>nie</v>
      </c>
      <c r="BR88" s="128">
        <f t="shared" si="184"/>
        <v>1112</v>
      </c>
      <c r="BS88" s="128">
        <f t="shared" si="153"/>
        <v>113271.65599999999</v>
      </c>
      <c r="BT88" s="128">
        <f t="shared" si="128"/>
        <v>0</v>
      </c>
      <c r="BU88" s="130">
        <f t="shared" si="185"/>
        <v>3.5999999999999997E-2</v>
      </c>
      <c r="BV88" s="128">
        <f t="shared" si="60"/>
        <v>82.32670668373089</v>
      </c>
      <c r="BW88" s="128">
        <f t="shared" ref="BW88:BW120" si="243">BV87*(1+BU88/12*(1-podatek_Belki))+BS88</f>
        <v>113353.98270668372</v>
      </c>
      <c r="BY88" s="130">
        <f t="shared" ref="BY88:BY119" si="244">MAX(INDEX(scenariusz_I_inflacja,MATCH(ROUNDUP(AA88/12,0)-1,scenariusz_I_rok,0)),0)</f>
        <v>3.1E-2</v>
      </c>
      <c r="BZ88" s="127">
        <f t="shared" si="235"/>
        <v>1000</v>
      </c>
      <c r="CA88" s="128">
        <f t="shared" si="236"/>
        <v>100000</v>
      </c>
      <c r="CB88" s="128">
        <f t="shared" si="154"/>
        <v>100000</v>
      </c>
      <c r="CC88" s="128">
        <f t="shared" si="131"/>
        <v>100000</v>
      </c>
      <c r="CD88" s="130">
        <f t="shared" si="186"/>
        <v>4.5999999999999999E-2</v>
      </c>
      <c r="CE88" s="128">
        <f t="shared" si="187"/>
        <v>103450</v>
      </c>
      <c r="CF88" s="128" t="str">
        <f t="shared" si="188"/>
        <v>nie</v>
      </c>
      <c r="CG88" s="128">
        <f t="shared" si="189"/>
        <v>2000</v>
      </c>
      <c r="CH88" s="128">
        <f t="shared" si="160"/>
        <v>101174.5</v>
      </c>
      <c r="CI88" s="128">
        <f t="shared" si="190"/>
        <v>0</v>
      </c>
      <c r="CJ88" s="130">
        <f t="shared" si="68"/>
        <v>3.5999999999999997E-2</v>
      </c>
      <c r="CK88" s="128">
        <f t="shared" si="191"/>
        <v>11897.44769706003</v>
      </c>
      <c r="CL88" s="128">
        <f t="shared" si="192"/>
        <v>113071.94769706004</v>
      </c>
      <c r="CN88" s="127">
        <f t="shared" si="237"/>
        <v>1000</v>
      </c>
      <c r="CO88" s="128">
        <f t="shared" si="238"/>
        <v>100000</v>
      </c>
      <c r="CP88" s="128">
        <f t="shared" si="134"/>
        <v>100000</v>
      </c>
      <c r="CQ88" s="128">
        <f t="shared" si="239"/>
        <v>116369.71535</v>
      </c>
      <c r="CR88" s="130">
        <f t="shared" si="193"/>
        <v>5.1000000000000004E-2</v>
      </c>
      <c r="CS88" s="128">
        <f t="shared" si="194"/>
        <v>120820.85696213749</v>
      </c>
      <c r="CT88" s="128" t="str">
        <f t="shared" si="195"/>
        <v>nie</v>
      </c>
      <c r="CU88" s="128">
        <f t="shared" si="196"/>
        <v>3000</v>
      </c>
      <c r="CV88" s="128">
        <f t="shared" si="197"/>
        <v>114434.89413933137</v>
      </c>
      <c r="CW88" s="128">
        <f t="shared" si="76"/>
        <v>0</v>
      </c>
      <c r="CX88" s="130">
        <f t="shared" si="198"/>
        <v>3.5999999999999997E-2</v>
      </c>
      <c r="CY88" s="128">
        <f t="shared" si="199"/>
        <v>0</v>
      </c>
      <c r="CZ88" s="128">
        <f t="shared" si="200"/>
        <v>114434.89413933137</v>
      </c>
      <c r="DA88" s="20"/>
      <c r="DB88" s="127">
        <f t="shared" si="144"/>
        <v>1000</v>
      </c>
      <c r="DC88" s="128">
        <f t="shared" si="145"/>
        <v>100000</v>
      </c>
      <c r="DD88" s="128">
        <f t="shared" si="136"/>
        <v>100000</v>
      </c>
      <c r="DE88" s="128">
        <f t="shared" si="240"/>
        <v>115983.105</v>
      </c>
      <c r="DF88" s="130">
        <f t="shared" si="201"/>
        <v>5.1000000000000004E-2</v>
      </c>
      <c r="DG88" s="128">
        <f t="shared" si="202"/>
        <v>120419.45876624998</v>
      </c>
      <c r="DH88" s="128" t="str">
        <f t="shared" si="203"/>
        <v>nie</v>
      </c>
      <c r="DI88" s="128">
        <f t="shared" si="204"/>
        <v>2000</v>
      </c>
      <c r="DJ88" s="128">
        <f t="shared" si="205"/>
        <v>114919.76160066249</v>
      </c>
      <c r="DK88" s="128">
        <f t="shared" si="85"/>
        <v>0</v>
      </c>
      <c r="DL88" s="130">
        <f t="shared" si="206"/>
        <v>3.5999999999999997E-2</v>
      </c>
      <c r="DM88" s="128">
        <f t="shared" si="207"/>
        <v>0</v>
      </c>
      <c r="DN88" s="128">
        <f t="shared" si="208"/>
        <v>114919.76160066249</v>
      </c>
      <c r="DP88" s="127">
        <f t="shared" si="146"/>
        <v>1000</v>
      </c>
      <c r="DQ88" s="128">
        <f t="shared" si="147"/>
        <v>100000</v>
      </c>
      <c r="DR88" s="128">
        <f t="shared" si="138"/>
        <v>100000</v>
      </c>
      <c r="DS88" s="128">
        <f t="shared" si="241"/>
        <v>117758.36160000002</v>
      </c>
      <c r="DT88" s="130">
        <f t="shared" si="209"/>
        <v>5.6000000000000001E-2</v>
      </c>
      <c r="DU88" s="128">
        <f t="shared" si="210"/>
        <v>122704.21278720003</v>
      </c>
      <c r="DV88" s="128" t="str">
        <f t="shared" si="211"/>
        <v>nie</v>
      </c>
      <c r="DW88" s="128">
        <f t="shared" si="212"/>
        <v>3000</v>
      </c>
      <c r="DX88" s="128">
        <f t="shared" si="93"/>
        <v>115960.41235763203</v>
      </c>
      <c r="DY88" s="128">
        <f t="shared" si="94"/>
        <v>0</v>
      </c>
      <c r="DZ88" s="130">
        <f t="shared" si="213"/>
        <v>3.5999999999999997E-2</v>
      </c>
      <c r="EA88" s="128">
        <f t="shared" si="214"/>
        <v>0</v>
      </c>
      <c r="EB88" s="128">
        <f t="shared" si="215"/>
        <v>115960.41235763203</v>
      </c>
      <c r="EC88" s="19" t="s">
        <v>24</v>
      </c>
      <c r="ED88" s="68"/>
    </row>
    <row r="89" spans="1:134">
      <c r="A89" s="212"/>
      <c r="B89" s="188">
        <f t="shared" si="216"/>
        <v>45</v>
      </c>
      <c r="C89" s="128">
        <f t="shared" si="217"/>
        <v>112946.74133401811</v>
      </c>
      <c r="D89" s="128">
        <f t="shared" si="218"/>
        <v>112385.17604664993</v>
      </c>
      <c r="E89" s="128">
        <f t="shared" si="219"/>
        <v>113353.98270668372</v>
      </c>
      <c r="F89" s="128">
        <f t="shared" si="220"/>
        <v>113071.94769706004</v>
      </c>
      <c r="G89" s="128">
        <f t="shared" si="221"/>
        <v>114434.89413933137</v>
      </c>
      <c r="H89" s="128">
        <f t="shared" si="222"/>
        <v>114919.76160066249</v>
      </c>
      <c r="I89" s="128">
        <f t="shared" si="223"/>
        <v>115960.41235763203</v>
      </c>
      <c r="J89" s="128">
        <f t="shared" si="224"/>
        <v>111540.47623429577</v>
      </c>
      <c r="K89" s="128">
        <f t="shared" si="225"/>
        <v>112139.27633907498</v>
      </c>
      <c r="M89" s="36"/>
      <c r="N89" s="32">
        <f t="shared" si="226"/>
        <v>45</v>
      </c>
      <c r="O89" s="25">
        <f t="shared" si="109"/>
        <v>0.12946741334018119</v>
      </c>
      <c r="P89" s="25">
        <f t="shared" si="110"/>
        <v>0.12385176046649926</v>
      </c>
      <c r="Q89" s="25">
        <f t="shared" si="111"/>
        <v>0.13353982706683709</v>
      </c>
      <c r="R89" s="25">
        <f t="shared" si="161"/>
        <v>0.13071947697060038</v>
      </c>
      <c r="S89" s="25">
        <f t="shared" si="162"/>
        <v>0.14434894139331367</v>
      </c>
      <c r="T89" s="25">
        <f t="shared" si="163"/>
        <v>0.14919761600662484</v>
      </c>
      <c r="U89" s="25">
        <f t="shared" si="164"/>
        <v>0.15960412357632037</v>
      </c>
      <c r="V89" s="25">
        <f t="shared" si="165"/>
        <v>0.11540476234295771</v>
      </c>
      <c r="W89" s="25">
        <f t="shared" si="166"/>
        <v>0.12139276339074967</v>
      </c>
      <c r="X89" s="36"/>
      <c r="Y89" s="36"/>
      <c r="AA89" s="124">
        <f t="shared" si="113"/>
        <v>46</v>
      </c>
      <c r="AB89" s="128">
        <f t="shared" si="167"/>
        <v>112422.38714341664</v>
      </c>
      <c r="AC89" s="124">
        <f t="shared" si="114"/>
        <v>46</v>
      </c>
      <c r="AD89" s="130">
        <f t="shared" si="227"/>
        <v>3.7499999999999999E-2</v>
      </c>
      <c r="AE89" s="127">
        <f t="shared" si="228"/>
        <v>1108</v>
      </c>
      <c r="AF89" s="128">
        <f t="shared" si="229"/>
        <v>110692.6</v>
      </c>
      <c r="AG89" s="128">
        <f t="shared" si="140"/>
        <v>110800</v>
      </c>
      <c r="AH89" s="128">
        <f t="shared" si="118"/>
        <v>110800</v>
      </c>
      <c r="AI89" s="130">
        <f t="shared" si="168"/>
        <v>3.7499999999999999E-2</v>
      </c>
      <c r="AJ89" s="128">
        <f t="shared" si="169"/>
        <v>111146.25</v>
      </c>
      <c r="AK89" s="128" t="str">
        <f t="shared" si="170"/>
        <v>nie</v>
      </c>
      <c r="AL89" s="128">
        <f t="shared" si="171"/>
        <v>554</v>
      </c>
      <c r="AM89" s="128">
        <f t="shared" si="150"/>
        <v>110631.7225</v>
      </c>
      <c r="AN89" s="128">
        <f t="shared" si="172"/>
        <v>280.46250000000003</v>
      </c>
      <c r="AO89" s="130">
        <f t="shared" si="173"/>
        <v>3.5999999999999997E-2</v>
      </c>
      <c r="AP89" s="128">
        <f t="shared" si="174"/>
        <v>2882.2508536597757</v>
      </c>
      <c r="AQ89" s="128">
        <f t="shared" si="156"/>
        <v>113233.51085365978</v>
      </c>
      <c r="AS89" s="124">
        <f t="shared" si="119"/>
        <v>46</v>
      </c>
      <c r="AT89" s="130">
        <f t="shared" si="120"/>
        <v>3.7499999999999999E-2</v>
      </c>
      <c r="AU89" s="127">
        <f t="shared" si="230"/>
        <v>1069</v>
      </c>
      <c r="AV89" s="128">
        <f t="shared" si="231"/>
        <v>106799.70000000001</v>
      </c>
      <c r="AW89" s="128">
        <f t="shared" si="151"/>
        <v>106900</v>
      </c>
      <c r="AX89" s="128">
        <f t="shared" si="123"/>
        <v>106900</v>
      </c>
      <c r="AY89" s="130">
        <f t="shared" si="175"/>
        <v>3.9E-2</v>
      </c>
      <c r="AZ89" s="128">
        <f t="shared" si="176"/>
        <v>107247.425</v>
      </c>
      <c r="BA89" s="128" t="str">
        <f t="shared" si="177"/>
        <v>nie</v>
      </c>
      <c r="BB89" s="128">
        <f t="shared" si="178"/>
        <v>748.3</v>
      </c>
      <c r="BC89" s="128">
        <f t="shared" si="158"/>
        <v>106575.29124999999</v>
      </c>
      <c r="BD89" s="128">
        <f t="shared" si="179"/>
        <v>281.41425000000237</v>
      </c>
      <c r="BE89" s="130">
        <f t="shared" si="51"/>
        <v>3.5999999999999997E-2</v>
      </c>
      <c r="BF89" s="128">
        <f t="shared" si="180"/>
        <v>6387.5151533332937</v>
      </c>
      <c r="BG89" s="128">
        <f t="shared" si="159"/>
        <v>112681.39215333329</v>
      </c>
      <c r="BI89" s="124">
        <f t="shared" si="124"/>
        <v>46</v>
      </c>
      <c r="BJ89" s="130">
        <f t="shared" si="242"/>
        <v>3.9100000000000003E-2</v>
      </c>
      <c r="BK89" s="127">
        <f t="shared" si="232"/>
        <v>1112</v>
      </c>
      <c r="BL89" s="128">
        <f t="shared" si="233"/>
        <v>111088.8</v>
      </c>
      <c r="BM89" s="128">
        <f t="shared" si="142"/>
        <v>111200</v>
      </c>
      <c r="BN89" s="128">
        <f t="shared" si="234"/>
        <v>111200</v>
      </c>
      <c r="BO89" s="130">
        <f t="shared" si="181"/>
        <v>4.3999999999999997E-2</v>
      </c>
      <c r="BP89" s="128">
        <f t="shared" si="182"/>
        <v>115277.33333333333</v>
      </c>
      <c r="BQ89" s="128" t="str">
        <f t="shared" si="183"/>
        <v>nie</v>
      </c>
      <c r="BR89" s="128">
        <f t="shared" si="184"/>
        <v>1112</v>
      </c>
      <c r="BS89" s="128">
        <f t="shared" si="153"/>
        <v>113601.92</v>
      </c>
      <c r="BT89" s="128">
        <f t="shared" si="128"/>
        <v>0</v>
      </c>
      <c r="BU89" s="130">
        <f t="shared" si="185"/>
        <v>3.5999999999999997E-2</v>
      </c>
      <c r="BV89" s="128">
        <f t="shared" si="60"/>
        <v>82.526760580972351</v>
      </c>
      <c r="BW89" s="128">
        <f t="shared" si="243"/>
        <v>113684.44676058098</v>
      </c>
      <c r="BY89" s="130">
        <f t="shared" si="244"/>
        <v>3.1E-2</v>
      </c>
      <c r="BZ89" s="127">
        <f t="shared" si="235"/>
        <v>1000</v>
      </c>
      <c r="CA89" s="128">
        <f t="shared" si="236"/>
        <v>100000</v>
      </c>
      <c r="CB89" s="128">
        <f t="shared" si="154"/>
        <v>100000</v>
      </c>
      <c r="CC89" s="128">
        <f t="shared" si="131"/>
        <v>100000</v>
      </c>
      <c r="CD89" s="130">
        <f t="shared" si="186"/>
        <v>4.5999999999999999E-2</v>
      </c>
      <c r="CE89" s="128">
        <f t="shared" si="187"/>
        <v>103833.33333333333</v>
      </c>
      <c r="CF89" s="128" t="str">
        <f t="shared" si="188"/>
        <v>nie</v>
      </c>
      <c r="CG89" s="128">
        <f t="shared" si="189"/>
        <v>2000</v>
      </c>
      <c r="CH89" s="128">
        <f t="shared" si="160"/>
        <v>101485</v>
      </c>
      <c r="CI89" s="128">
        <f t="shared" si="190"/>
        <v>0</v>
      </c>
      <c r="CJ89" s="130">
        <f t="shared" si="68"/>
        <v>3.5999999999999997E-2</v>
      </c>
      <c r="CK89" s="128">
        <f t="shared" si="191"/>
        <v>11926.358494963884</v>
      </c>
      <c r="CL89" s="128">
        <f t="shared" si="192"/>
        <v>113411.35849496389</v>
      </c>
      <c r="CN89" s="127">
        <f t="shared" si="237"/>
        <v>1000</v>
      </c>
      <c r="CO89" s="128">
        <f t="shared" si="238"/>
        <v>100000</v>
      </c>
      <c r="CP89" s="128">
        <f t="shared" si="134"/>
        <v>100000</v>
      </c>
      <c r="CQ89" s="128">
        <f t="shared" si="239"/>
        <v>116369.71535</v>
      </c>
      <c r="CR89" s="130">
        <f t="shared" si="193"/>
        <v>5.1000000000000004E-2</v>
      </c>
      <c r="CS89" s="128">
        <f t="shared" si="194"/>
        <v>121315.428252375</v>
      </c>
      <c r="CT89" s="128" t="str">
        <f t="shared" si="195"/>
        <v>nie</v>
      </c>
      <c r="CU89" s="128">
        <f t="shared" si="196"/>
        <v>3000</v>
      </c>
      <c r="CV89" s="128">
        <f t="shared" si="197"/>
        <v>114835.49688442374</v>
      </c>
      <c r="CW89" s="128">
        <f t="shared" si="76"/>
        <v>0</v>
      </c>
      <c r="CX89" s="130">
        <f t="shared" si="198"/>
        <v>3.5999999999999997E-2</v>
      </c>
      <c r="CY89" s="128">
        <f t="shared" si="199"/>
        <v>0</v>
      </c>
      <c r="CZ89" s="128">
        <f t="shared" si="200"/>
        <v>114835.49688442374</v>
      </c>
      <c r="DA89" s="20"/>
      <c r="DB89" s="127">
        <f t="shared" si="144"/>
        <v>1000</v>
      </c>
      <c r="DC89" s="128">
        <f t="shared" si="145"/>
        <v>100000</v>
      </c>
      <c r="DD89" s="128">
        <f t="shared" si="136"/>
        <v>100000</v>
      </c>
      <c r="DE89" s="128">
        <f t="shared" si="240"/>
        <v>115983.105</v>
      </c>
      <c r="DF89" s="130">
        <f t="shared" si="201"/>
        <v>5.1000000000000004E-2</v>
      </c>
      <c r="DG89" s="128">
        <f t="shared" si="202"/>
        <v>120912.38696249999</v>
      </c>
      <c r="DH89" s="128" t="str">
        <f t="shared" si="203"/>
        <v>nie</v>
      </c>
      <c r="DI89" s="128">
        <f t="shared" si="204"/>
        <v>2000</v>
      </c>
      <c r="DJ89" s="128">
        <f t="shared" si="205"/>
        <v>115319.033439625</v>
      </c>
      <c r="DK89" s="128">
        <f t="shared" si="85"/>
        <v>0</v>
      </c>
      <c r="DL89" s="130">
        <f t="shared" si="206"/>
        <v>3.5999999999999997E-2</v>
      </c>
      <c r="DM89" s="128">
        <f t="shared" si="207"/>
        <v>0</v>
      </c>
      <c r="DN89" s="128">
        <f t="shared" si="208"/>
        <v>115319.033439625</v>
      </c>
      <c r="DP89" s="127">
        <f t="shared" si="146"/>
        <v>1000</v>
      </c>
      <c r="DQ89" s="128">
        <f t="shared" si="147"/>
        <v>100000</v>
      </c>
      <c r="DR89" s="128">
        <f t="shared" si="138"/>
        <v>100000</v>
      </c>
      <c r="DS89" s="128">
        <f t="shared" si="241"/>
        <v>117758.36160000002</v>
      </c>
      <c r="DT89" s="130">
        <f t="shared" si="209"/>
        <v>5.6000000000000001E-2</v>
      </c>
      <c r="DU89" s="128">
        <f t="shared" si="210"/>
        <v>123253.75180800002</v>
      </c>
      <c r="DV89" s="128" t="str">
        <f t="shared" si="211"/>
        <v>nie</v>
      </c>
      <c r="DW89" s="128">
        <f t="shared" si="212"/>
        <v>3000</v>
      </c>
      <c r="DX89" s="128">
        <f t="shared" si="93"/>
        <v>116405.53896448002</v>
      </c>
      <c r="DY89" s="128">
        <f t="shared" si="94"/>
        <v>0</v>
      </c>
      <c r="DZ89" s="130">
        <f t="shared" si="213"/>
        <v>3.5999999999999997E-2</v>
      </c>
      <c r="EA89" s="128">
        <f t="shared" si="214"/>
        <v>0</v>
      </c>
      <c r="EB89" s="128">
        <f t="shared" si="215"/>
        <v>116405.53896448002</v>
      </c>
    </row>
    <row r="90" spans="1:134">
      <c r="A90" s="212"/>
      <c r="B90" s="188">
        <f t="shared" si="216"/>
        <v>46</v>
      </c>
      <c r="C90" s="128">
        <f t="shared" si="217"/>
        <v>113233.51085365978</v>
      </c>
      <c r="D90" s="128">
        <f t="shared" si="218"/>
        <v>112681.39215333329</v>
      </c>
      <c r="E90" s="128">
        <f t="shared" si="219"/>
        <v>113684.44676058098</v>
      </c>
      <c r="F90" s="128">
        <f t="shared" si="220"/>
        <v>113411.35849496389</v>
      </c>
      <c r="G90" s="128">
        <f t="shared" si="221"/>
        <v>114835.49688442374</v>
      </c>
      <c r="H90" s="128">
        <f t="shared" si="222"/>
        <v>115319.033439625</v>
      </c>
      <c r="I90" s="128">
        <f t="shared" si="223"/>
        <v>116405.53896448002</v>
      </c>
      <c r="J90" s="128">
        <f t="shared" si="224"/>
        <v>111811.5195915451</v>
      </c>
      <c r="K90" s="128">
        <f t="shared" si="225"/>
        <v>112422.38714341664</v>
      </c>
      <c r="M90" s="36"/>
      <c r="N90" s="32">
        <f t="shared" si="226"/>
        <v>46</v>
      </c>
      <c r="O90" s="25">
        <f t="shared" si="109"/>
        <v>0.1323351085365978</v>
      </c>
      <c r="P90" s="25">
        <f t="shared" si="110"/>
        <v>0.12681392153333282</v>
      </c>
      <c r="Q90" s="25">
        <f t="shared" si="111"/>
        <v>0.13684446760580982</v>
      </c>
      <c r="R90" s="25">
        <f t="shared" si="161"/>
        <v>0.13411358494963888</v>
      </c>
      <c r="S90" s="25">
        <f t="shared" si="162"/>
        <v>0.14835496884423738</v>
      </c>
      <c r="T90" s="25">
        <f t="shared" si="163"/>
        <v>0.15319033439624996</v>
      </c>
      <c r="U90" s="25">
        <f t="shared" si="164"/>
        <v>0.16405538964480026</v>
      </c>
      <c r="V90" s="25">
        <f t="shared" si="165"/>
        <v>0.11811519591545094</v>
      </c>
      <c r="W90" s="25">
        <f t="shared" si="166"/>
        <v>0.12422387143416636</v>
      </c>
      <c r="X90" s="36"/>
      <c r="Y90" s="36"/>
      <c r="AA90" s="124">
        <f t="shared" si="113"/>
        <v>47</v>
      </c>
      <c r="AB90" s="128">
        <f t="shared" si="167"/>
        <v>112705.49794775831</v>
      </c>
      <c r="AC90" s="124">
        <f t="shared" si="114"/>
        <v>47</v>
      </c>
      <c r="AD90" s="130">
        <f t="shared" si="227"/>
        <v>3.7499999999999999E-2</v>
      </c>
      <c r="AE90" s="127">
        <f t="shared" si="228"/>
        <v>1108</v>
      </c>
      <c r="AF90" s="128">
        <f t="shared" si="229"/>
        <v>110692.6</v>
      </c>
      <c r="AG90" s="128">
        <f t="shared" si="140"/>
        <v>110800</v>
      </c>
      <c r="AH90" s="128">
        <f t="shared" si="118"/>
        <v>110800</v>
      </c>
      <c r="AI90" s="130">
        <f t="shared" si="168"/>
        <v>3.7499999999999999E-2</v>
      </c>
      <c r="AJ90" s="128">
        <f t="shared" si="169"/>
        <v>111146.25</v>
      </c>
      <c r="AK90" s="128" t="str">
        <f t="shared" si="170"/>
        <v>nie</v>
      </c>
      <c r="AL90" s="128">
        <f t="shared" si="171"/>
        <v>554</v>
      </c>
      <c r="AM90" s="128">
        <f t="shared" si="150"/>
        <v>110631.7225</v>
      </c>
      <c r="AN90" s="128">
        <f t="shared" si="172"/>
        <v>280.46250000000003</v>
      </c>
      <c r="AO90" s="130">
        <f t="shared" si="173"/>
        <v>3.5999999999999997E-2</v>
      </c>
      <c r="AP90" s="128">
        <f t="shared" si="174"/>
        <v>3169.7172232341686</v>
      </c>
      <c r="AQ90" s="128">
        <f t="shared" si="156"/>
        <v>113520.97722323418</v>
      </c>
      <c r="AS90" s="124">
        <f t="shared" si="119"/>
        <v>47</v>
      </c>
      <c r="AT90" s="130">
        <f t="shared" si="120"/>
        <v>3.7499999999999999E-2</v>
      </c>
      <c r="AU90" s="127">
        <f t="shared" si="230"/>
        <v>1069</v>
      </c>
      <c r="AV90" s="128">
        <f t="shared" si="231"/>
        <v>106799.70000000001</v>
      </c>
      <c r="AW90" s="128">
        <f t="shared" si="151"/>
        <v>106900</v>
      </c>
      <c r="AX90" s="128">
        <f t="shared" si="123"/>
        <v>106900</v>
      </c>
      <c r="AY90" s="130">
        <f t="shared" si="175"/>
        <v>3.9E-2</v>
      </c>
      <c r="AZ90" s="128">
        <f t="shared" si="176"/>
        <v>107247.425</v>
      </c>
      <c r="BA90" s="128" t="str">
        <f t="shared" si="177"/>
        <v>nie</v>
      </c>
      <c r="BB90" s="128">
        <f t="shared" si="178"/>
        <v>748.3</v>
      </c>
      <c r="BC90" s="128">
        <f t="shared" si="158"/>
        <v>106575.29124999999</v>
      </c>
      <c r="BD90" s="128">
        <f t="shared" si="179"/>
        <v>281.41425000000237</v>
      </c>
      <c r="BE90" s="130">
        <f t="shared" si="51"/>
        <v>3.5999999999999997E-2</v>
      </c>
      <c r="BF90" s="128">
        <f t="shared" si="180"/>
        <v>6684.4510651558958</v>
      </c>
      <c r="BG90" s="128">
        <f t="shared" si="159"/>
        <v>112978.32806515589</v>
      </c>
      <c r="BI90" s="124">
        <f t="shared" si="124"/>
        <v>47</v>
      </c>
      <c r="BJ90" s="130">
        <f t="shared" si="242"/>
        <v>3.9100000000000003E-2</v>
      </c>
      <c r="BK90" s="127">
        <f t="shared" si="232"/>
        <v>1112</v>
      </c>
      <c r="BL90" s="128">
        <f t="shared" si="233"/>
        <v>111088.8</v>
      </c>
      <c r="BM90" s="128">
        <f t="shared" si="142"/>
        <v>111200</v>
      </c>
      <c r="BN90" s="128">
        <f t="shared" si="234"/>
        <v>111200</v>
      </c>
      <c r="BO90" s="130">
        <f t="shared" si="181"/>
        <v>4.3999999999999997E-2</v>
      </c>
      <c r="BP90" s="128">
        <f t="shared" si="182"/>
        <v>115685.06666666667</v>
      </c>
      <c r="BQ90" s="128" t="str">
        <f t="shared" si="183"/>
        <v>nie</v>
      </c>
      <c r="BR90" s="128">
        <f t="shared" si="184"/>
        <v>1112</v>
      </c>
      <c r="BS90" s="128">
        <f t="shared" si="153"/>
        <v>113932.18399999999</v>
      </c>
      <c r="BT90" s="128">
        <f t="shared" si="128"/>
        <v>0</v>
      </c>
      <c r="BU90" s="130">
        <f t="shared" si="185"/>
        <v>3.5999999999999997E-2</v>
      </c>
      <c r="BV90" s="128">
        <f t="shared" si="60"/>
        <v>82.727300609184113</v>
      </c>
      <c r="BW90" s="128">
        <f t="shared" si="243"/>
        <v>114014.91130060918</v>
      </c>
      <c r="BY90" s="130">
        <f t="shared" si="244"/>
        <v>3.1E-2</v>
      </c>
      <c r="BZ90" s="127">
        <f t="shared" si="235"/>
        <v>1000</v>
      </c>
      <c r="CA90" s="128">
        <f t="shared" si="236"/>
        <v>100000</v>
      </c>
      <c r="CB90" s="128">
        <f t="shared" si="154"/>
        <v>100000</v>
      </c>
      <c r="CC90" s="128">
        <f t="shared" si="131"/>
        <v>100000</v>
      </c>
      <c r="CD90" s="130">
        <f t="shared" si="186"/>
        <v>4.5999999999999999E-2</v>
      </c>
      <c r="CE90" s="128">
        <f t="shared" si="187"/>
        <v>104216.66666666667</v>
      </c>
      <c r="CF90" s="128" t="str">
        <f t="shared" si="188"/>
        <v>nie</v>
      </c>
      <c r="CG90" s="128">
        <f t="shared" si="189"/>
        <v>2000</v>
      </c>
      <c r="CH90" s="128">
        <f t="shared" si="160"/>
        <v>101795.5</v>
      </c>
      <c r="CI90" s="128">
        <f t="shared" si="190"/>
        <v>0</v>
      </c>
      <c r="CJ90" s="130">
        <f t="shared" si="68"/>
        <v>3.5999999999999997E-2</v>
      </c>
      <c r="CK90" s="128">
        <f t="shared" si="191"/>
        <v>11955.339546106647</v>
      </c>
      <c r="CL90" s="128">
        <f t="shared" si="192"/>
        <v>113750.83954610664</v>
      </c>
      <c r="CN90" s="127">
        <f t="shared" si="237"/>
        <v>1000</v>
      </c>
      <c r="CO90" s="128">
        <f t="shared" si="238"/>
        <v>100000</v>
      </c>
      <c r="CP90" s="128">
        <f t="shared" si="134"/>
        <v>100000</v>
      </c>
      <c r="CQ90" s="128">
        <f t="shared" si="239"/>
        <v>116369.71535</v>
      </c>
      <c r="CR90" s="130">
        <f t="shared" si="193"/>
        <v>5.1000000000000004E-2</v>
      </c>
      <c r="CS90" s="128">
        <f t="shared" si="194"/>
        <v>121809.99954261251</v>
      </c>
      <c r="CT90" s="128" t="str">
        <f t="shared" si="195"/>
        <v>nie</v>
      </c>
      <c r="CU90" s="128">
        <f t="shared" si="196"/>
        <v>3000</v>
      </c>
      <c r="CV90" s="128">
        <f t="shared" si="197"/>
        <v>115236.09962951613</v>
      </c>
      <c r="CW90" s="128">
        <f t="shared" si="76"/>
        <v>0</v>
      </c>
      <c r="CX90" s="130">
        <f t="shared" si="198"/>
        <v>3.5999999999999997E-2</v>
      </c>
      <c r="CY90" s="128">
        <f t="shared" si="199"/>
        <v>0</v>
      </c>
      <c r="CZ90" s="128">
        <f t="shared" si="200"/>
        <v>115236.09962951613</v>
      </c>
      <c r="DA90" s="20"/>
      <c r="DB90" s="127">
        <f t="shared" si="144"/>
        <v>1000</v>
      </c>
      <c r="DC90" s="128">
        <f t="shared" si="145"/>
        <v>100000</v>
      </c>
      <c r="DD90" s="128">
        <f t="shared" si="136"/>
        <v>100000</v>
      </c>
      <c r="DE90" s="128">
        <f t="shared" si="240"/>
        <v>115983.105</v>
      </c>
      <c r="DF90" s="130">
        <f t="shared" si="201"/>
        <v>5.1000000000000004E-2</v>
      </c>
      <c r="DG90" s="128">
        <f t="shared" si="202"/>
        <v>121405.31515875</v>
      </c>
      <c r="DH90" s="128" t="str">
        <f t="shared" si="203"/>
        <v>nie</v>
      </c>
      <c r="DI90" s="128">
        <f t="shared" si="204"/>
        <v>2000</v>
      </c>
      <c r="DJ90" s="128">
        <f t="shared" si="205"/>
        <v>115718.3052785875</v>
      </c>
      <c r="DK90" s="128">
        <f t="shared" si="85"/>
        <v>0</v>
      </c>
      <c r="DL90" s="130">
        <f t="shared" si="206"/>
        <v>3.5999999999999997E-2</v>
      </c>
      <c r="DM90" s="128">
        <f t="shared" si="207"/>
        <v>0</v>
      </c>
      <c r="DN90" s="128">
        <f t="shared" si="208"/>
        <v>115718.3052785875</v>
      </c>
      <c r="DP90" s="127">
        <f t="shared" si="146"/>
        <v>1000</v>
      </c>
      <c r="DQ90" s="128">
        <f t="shared" si="147"/>
        <v>100000</v>
      </c>
      <c r="DR90" s="128">
        <f t="shared" si="138"/>
        <v>100000</v>
      </c>
      <c r="DS90" s="128">
        <f t="shared" si="241"/>
        <v>117758.36160000002</v>
      </c>
      <c r="DT90" s="130">
        <f t="shared" si="209"/>
        <v>5.6000000000000001E-2</v>
      </c>
      <c r="DU90" s="128">
        <f t="shared" si="210"/>
        <v>123803.2908288</v>
      </c>
      <c r="DV90" s="128" t="str">
        <f t="shared" si="211"/>
        <v>nie</v>
      </c>
      <c r="DW90" s="128">
        <f t="shared" si="212"/>
        <v>3000</v>
      </c>
      <c r="DX90" s="128">
        <f t="shared" si="93"/>
        <v>116850.66557132801</v>
      </c>
      <c r="DY90" s="128">
        <f t="shared" si="94"/>
        <v>0</v>
      </c>
      <c r="DZ90" s="130">
        <f t="shared" si="213"/>
        <v>3.5999999999999997E-2</v>
      </c>
      <c r="EA90" s="128">
        <f t="shared" si="214"/>
        <v>0</v>
      </c>
      <c r="EB90" s="128">
        <f t="shared" si="215"/>
        <v>116850.66557132801</v>
      </c>
    </row>
    <row r="91" spans="1:134" ht="14.25" customHeight="1">
      <c r="A91" s="212"/>
      <c r="B91" s="188">
        <f t="shared" si="216"/>
        <v>47</v>
      </c>
      <c r="C91" s="128">
        <f t="shared" si="217"/>
        <v>113520.97722323418</v>
      </c>
      <c r="D91" s="128">
        <f t="shared" si="218"/>
        <v>112978.32806515589</v>
      </c>
      <c r="E91" s="128">
        <f t="shared" si="219"/>
        <v>114014.91130060918</v>
      </c>
      <c r="F91" s="128">
        <f t="shared" si="220"/>
        <v>113750.83954610664</v>
      </c>
      <c r="G91" s="128">
        <f t="shared" si="221"/>
        <v>115236.09962951613</v>
      </c>
      <c r="H91" s="128">
        <f t="shared" si="222"/>
        <v>115718.3052785875</v>
      </c>
      <c r="I91" s="128">
        <f t="shared" si="223"/>
        <v>116850.66557132801</v>
      </c>
      <c r="J91" s="128">
        <f t="shared" si="224"/>
        <v>112083.22158415255</v>
      </c>
      <c r="K91" s="128">
        <f t="shared" si="225"/>
        <v>112705.49794775831</v>
      </c>
      <c r="M91" s="36"/>
      <c r="N91" s="32">
        <f t="shared" si="226"/>
        <v>47</v>
      </c>
      <c r="O91" s="25">
        <f t="shared" si="109"/>
        <v>0.13520977223234176</v>
      </c>
      <c r="P91" s="25">
        <f t="shared" si="110"/>
        <v>0.12978328065155886</v>
      </c>
      <c r="Q91" s="25">
        <f t="shared" si="111"/>
        <v>0.1401491130060919</v>
      </c>
      <c r="R91" s="25">
        <f t="shared" si="161"/>
        <v>0.1375083954610663</v>
      </c>
      <c r="S91" s="25">
        <f t="shared" si="162"/>
        <v>0.15236099629516131</v>
      </c>
      <c r="T91" s="25">
        <f t="shared" si="163"/>
        <v>0.15718305278587508</v>
      </c>
      <c r="U91" s="25">
        <f t="shared" si="164"/>
        <v>0.16850665571328016</v>
      </c>
      <c r="V91" s="25">
        <f t="shared" si="165"/>
        <v>0.12083221584152537</v>
      </c>
      <c r="W91" s="25">
        <f t="shared" si="166"/>
        <v>0.12705497947758304</v>
      </c>
      <c r="X91" s="36"/>
      <c r="Y91" s="36"/>
      <c r="AA91" s="124">
        <f t="shared" si="113"/>
        <v>48</v>
      </c>
      <c r="AB91" s="128">
        <f t="shared" si="167"/>
        <v>112988.60875209997</v>
      </c>
      <c r="AC91" s="124">
        <f t="shared" si="114"/>
        <v>48</v>
      </c>
      <c r="AD91" s="130">
        <f t="shared" si="227"/>
        <v>3.7499999999999999E-2</v>
      </c>
      <c r="AE91" s="127">
        <f t="shared" si="228"/>
        <v>1108</v>
      </c>
      <c r="AF91" s="128">
        <f t="shared" si="229"/>
        <v>110692.6</v>
      </c>
      <c r="AG91" s="128">
        <f t="shared" si="140"/>
        <v>110800</v>
      </c>
      <c r="AH91" s="128">
        <f t="shared" si="118"/>
        <v>110800</v>
      </c>
      <c r="AI91" s="130">
        <f t="shared" si="168"/>
        <v>3.7499999999999999E-2</v>
      </c>
      <c r="AJ91" s="128">
        <f t="shared" si="169"/>
        <v>111146.25</v>
      </c>
      <c r="AK91" s="128" t="str">
        <f t="shared" si="170"/>
        <v>tak</v>
      </c>
      <c r="AL91" s="128">
        <f t="shared" si="171"/>
        <v>0</v>
      </c>
      <c r="AM91" s="128">
        <f t="shared" si="150"/>
        <v>111080.46249999999</v>
      </c>
      <c r="AN91" s="128">
        <f t="shared" si="172"/>
        <v>391.66249999999371</v>
      </c>
      <c r="AO91" s="130">
        <f t="shared" si="173"/>
        <v>3.5999999999999997E-2</v>
      </c>
      <c r="AP91" s="128">
        <f t="shared" si="174"/>
        <v>3569.0821360866212</v>
      </c>
      <c r="AQ91" s="128">
        <f t="shared" si="156"/>
        <v>114257.88213608663</v>
      </c>
      <c r="AS91" s="124">
        <f t="shared" si="119"/>
        <v>48</v>
      </c>
      <c r="AT91" s="130">
        <f t="shared" si="120"/>
        <v>3.7499999999999999E-2</v>
      </c>
      <c r="AU91" s="127">
        <f t="shared" si="230"/>
        <v>1069</v>
      </c>
      <c r="AV91" s="128">
        <f t="shared" si="231"/>
        <v>106799.70000000001</v>
      </c>
      <c r="AW91" s="128">
        <f t="shared" si="151"/>
        <v>106900</v>
      </c>
      <c r="AX91" s="128">
        <f t="shared" si="123"/>
        <v>106900</v>
      </c>
      <c r="AY91" s="130">
        <f t="shared" si="175"/>
        <v>3.9E-2</v>
      </c>
      <c r="AZ91" s="128">
        <f t="shared" si="176"/>
        <v>107247.425</v>
      </c>
      <c r="BA91" s="128" t="str">
        <f t="shared" si="177"/>
        <v>tak</v>
      </c>
      <c r="BB91" s="128">
        <f t="shared" si="178"/>
        <v>0</v>
      </c>
      <c r="BC91" s="128">
        <f t="shared" si="158"/>
        <v>107181.41425</v>
      </c>
      <c r="BD91" s="128">
        <f t="shared" si="179"/>
        <v>388.71424999999624</v>
      </c>
      <c r="BE91" s="130">
        <f t="shared" si="51"/>
        <v>3.5999999999999997E-2</v>
      </c>
      <c r="BF91" s="128">
        <f t="shared" si="180"/>
        <v>7089.4085312442203</v>
      </c>
      <c r="BG91" s="128">
        <f t="shared" si="159"/>
        <v>113882.10853124423</v>
      </c>
      <c r="BI91" s="124">
        <f t="shared" si="124"/>
        <v>48</v>
      </c>
      <c r="BJ91" s="130">
        <f t="shared" si="242"/>
        <v>3.9100000000000003E-2</v>
      </c>
      <c r="BK91" s="127">
        <f t="shared" si="232"/>
        <v>1112</v>
      </c>
      <c r="BL91" s="128">
        <f t="shared" si="233"/>
        <v>111088.8</v>
      </c>
      <c r="BM91" s="128">
        <f t="shared" si="142"/>
        <v>111200</v>
      </c>
      <c r="BN91" s="128">
        <f t="shared" si="234"/>
        <v>111200</v>
      </c>
      <c r="BO91" s="130">
        <f t="shared" si="181"/>
        <v>4.3999999999999997E-2</v>
      </c>
      <c r="BP91" s="128">
        <f t="shared" si="182"/>
        <v>116092.8</v>
      </c>
      <c r="BQ91" s="128" t="str">
        <f t="shared" si="183"/>
        <v>nie</v>
      </c>
      <c r="BR91" s="128">
        <f t="shared" si="184"/>
        <v>1112</v>
      </c>
      <c r="BS91" s="128">
        <f t="shared" si="153"/>
        <v>114262.448</v>
      </c>
      <c r="BT91" s="128">
        <f t="shared" si="128"/>
        <v>0</v>
      </c>
      <c r="BU91" s="130">
        <f t="shared" si="185"/>
        <v>3.5999999999999997E-2</v>
      </c>
      <c r="BV91" s="128">
        <f t="shared" si="60"/>
        <v>82.928327949664421</v>
      </c>
      <c r="BW91" s="128">
        <f t="shared" si="243"/>
        <v>114345.37632794966</v>
      </c>
      <c r="BY91" s="130">
        <f t="shared" si="244"/>
        <v>3.1E-2</v>
      </c>
      <c r="BZ91" s="127">
        <f t="shared" si="235"/>
        <v>1000</v>
      </c>
      <c r="CA91" s="128">
        <f t="shared" si="236"/>
        <v>100000</v>
      </c>
      <c r="CB91" s="128">
        <f t="shared" si="154"/>
        <v>100000</v>
      </c>
      <c r="CC91" s="128">
        <f t="shared" si="131"/>
        <v>100000</v>
      </c>
      <c r="CD91" s="130">
        <f t="shared" si="186"/>
        <v>4.5999999999999999E-2</v>
      </c>
      <c r="CE91" s="128">
        <f t="shared" si="187"/>
        <v>104600</v>
      </c>
      <c r="CF91" s="128" t="str">
        <f t="shared" si="188"/>
        <v>tak</v>
      </c>
      <c r="CG91" s="128">
        <f t="shared" si="189"/>
        <v>0</v>
      </c>
      <c r="CH91" s="128">
        <f t="shared" si="160"/>
        <v>103726</v>
      </c>
      <c r="CI91" s="128">
        <f t="shared" si="190"/>
        <v>29.799999999988358</v>
      </c>
      <c r="CJ91" s="130">
        <f t="shared" si="68"/>
        <v>3.5999999999999997E-2</v>
      </c>
      <c r="CK91" s="128">
        <f t="shared" si="191"/>
        <v>12014.191021203673</v>
      </c>
      <c r="CL91" s="128">
        <f t="shared" si="192"/>
        <v>115710.39102120369</v>
      </c>
      <c r="CN91" s="127">
        <f t="shared" si="237"/>
        <v>1000</v>
      </c>
      <c r="CO91" s="128">
        <f t="shared" si="238"/>
        <v>100000</v>
      </c>
      <c r="CP91" s="128">
        <f t="shared" si="134"/>
        <v>100000</v>
      </c>
      <c r="CQ91" s="128">
        <f t="shared" si="239"/>
        <v>116369.71535</v>
      </c>
      <c r="CR91" s="130">
        <f t="shared" si="193"/>
        <v>5.1000000000000004E-2</v>
      </c>
      <c r="CS91" s="128">
        <f t="shared" si="194"/>
        <v>122304.57083284999</v>
      </c>
      <c r="CT91" s="128" t="str">
        <f t="shared" si="195"/>
        <v>nie</v>
      </c>
      <c r="CU91" s="128">
        <f t="shared" si="196"/>
        <v>3000</v>
      </c>
      <c r="CV91" s="128">
        <f t="shared" si="197"/>
        <v>115636.70237460849</v>
      </c>
      <c r="CW91" s="128">
        <f t="shared" si="76"/>
        <v>0</v>
      </c>
      <c r="CX91" s="130">
        <f t="shared" si="198"/>
        <v>3.5999999999999997E-2</v>
      </c>
      <c r="CY91" s="128">
        <f t="shared" si="199"/>
        <v>0</v>
      </c>
      <c r="CZ91" s="128">
        <f t="shared" si="200"/>
        <v>115636.70237460849</v>
      </c>
      <c r="DA91" s="20"/>
      <c r="DB91" s="127">
        <f t="shared" si="144"/>
        <v>1000</v>
      </c>
      <c r="DC91" s="128">
        <f t="shared" si="145"/>
        <v>100000</v>
      </c>
      <c r="DD91" s="128">
        <f t="shared" si="136"/>
        <v>100000</v>
      </c>
      <c r="DE91" s="128">
        <f t="shared" si="240"/>
        <v>115983.105</v>
      </c>
      <c r="DF91" s="130">
        <f t="shared" si="201"/>
        <v>5.1000000000000004E-2</v>
      </c>
      <c r="DG91" s="128">
        <f t="shared" si="202"/>
        <v>121898.24335499998</v>
      </c>
      <c r="DH91" s="128" t="str">
        <f t="shared" si="203"/>
        <v>nie</v>
      </c>
      <c r="DI91" s="128">
        <f t="shared" si="204"/>
        <v>2000</v>
      </c>
      <c r="DJ91" s="128">
        <f t="shared" si="205"/>
        <v>116117.57711754998</v>
      </c>
      <c r="DK91" s="128">
        <f t="shared" si="85"/>
        <v>0</v>
      </c>
      <c r="DL91" s="130">
        <f t="shared" si="206"/>
        <v>3.5999999999999997E-2</v>
      </c>
      <c r="DM91" s="128">
        <f t="shared" si="207"/>
        <v>0</v>
      </c>
      <c r="DN91" s="128">
        <f t="shared" si="208"/>
        <v>116117.57711754998</v>
      </c>
      <c r="DP91" s="127">
        <f t="shared" si="146"/>
        <v>1000</v>
      </c>
      <c r="DQ91" s="128">
        <f t="shared" si="147"/>
        <v>100000</v>
      </c>
      <c r="DR91" s="128">
        <f t="shared" si="138"/>
        <v>100000</v>
      </c>
      <c r="DS91" s="128">
        <f t="shared" si="241"/>
        <v>117758.36160000002</v>
      </c>
      <c r="DT91" s="130">
        <f t="shared" si="209"/>
        <v>5.6000000000000001E-2</v>
      </c>
      <c r="DU91" s="128">
        <f t="shared" si="210"/>
        <v>124352.82984960002</v>
      </c>
      <c r="DV91" s="128" t="str">
        <f t="shared" si="211"/>
        <v>nie</v>
      </c>
      <c r="DW91" s="128">
        <f t="shared" si="212"/>
        <v>3000</v>
      </c>
      <c r="DX91" s="128">
        <f t="shared" si="93"/>
        <v>117295.79217817602</v>
      </c>
      <c r="DY91" s="128">
        <f t="shared" si="94"/>
        <v>0</v>
      </c>
      <c r="DZ91" s="130">
        <f t="shared" si="213"/>
        <v>3.5999999999999997E-2</v>
      </c>
      <c r="EA91" s="128">
        <f t="shared" si="214"/>
        <v>0</v>
      </c>
      <c r="EB91" s="128">
        <f t="shared" si="215"/>
        <v>117295.79217817602</v>
      </c>
    </row>
    <row r="92" spans="1:134">
      <c r="A92" s="212"/>
      <c r="B92" s="188">
        <f t="shared" si="216"/>
        <v>48</v>
      </c>
      <c r="C92" s="128">
        <f t="shared" si="217"/>
        <v>114257.88213608663</v>
      </c>
      <c r="D92" s="128">
        <f t="shared" si="218"/>
        <v>113882.10853124423</v>
      </c>
      <c r="E92" s="128">
        <f t="shared" si="219"/>
        <v>114345.37632794966</v>
      </c>
      <c r="F92" s="128">
        <f t="shared" si="220"/>
        <v>115710.39102120369</v>
      </c>
      <c r="G92" s="128">
        <f t="shared" si="221"/>
        <v>115636.70237460849</v>
      </c>
      <c r="H92" s="128">
        <f t="shared" si="222"/>
        <v>116117.57711754998</v>
      </c>
      <c r="I92" s="128">
        <f t="shared" si="223"/>
        <v>117295.79217817602</v>
      </c>
      <c r="J92" s="128">
        <f t="shared" si="224"/>
        <v>112355.58381260202</v>
      </c>
      <c r="K92" s="128">
        <f t="shared" si="225"/>
        <v>112988.60875209997</v>
      </c>
      <c r="M92" s="36"/>
      <c r="N92" s="32">
        <f t="shared" si="226"/>
        <v>48</v>
      </c>
      <c r="O92" s="25">
        <f t="shared" si="109"/>
        <v>0.1425788213608663</v>
      </c>
      <c r="P92" s="25">
        <f t="shared" si="110"/>
        <v>0.1388210853124423</v>
      </c>
      <c r="Q92" s="25">
        <f t="shared" si="111"/>
        <v>0.14345376327949655</v>
      </c>
      <c r="R92" s="25">
        <f t="shared" si="161"/>
        <v>0.15710391021203685</v>
      </c>
      <c r="S92" s="25">
        <f t="shared" si="162"/>
        <v>0.1563670237460848</v>
      </c>
      <c r="T92" s="25">
        <f t="shared" si="163"/>
        <v>0.16117577117549975</v>
      </c>
      <c r="U92" s="25">
        <f t="shared" si="164"/>
        <v>0.17295792178176028</v>
      </c>
      <c r="V92" s="25">
        <f t="shared" si="165"/>
        <v>0.12355583812602022</v>
      </c>
      <c r="W92" s="25">
        <f t="shared" si="166"/>
        <v>0.12988608752099973</v>
      </c>
      <c r="X92" s="36"/>
      <c r="Y92" s="36"/>
      <c r="AA92" s="124">
        <f t="shared" si="113"/>
        <v>49</v>
      </c>
      <c r="AB92" s="128">
        <f t="shared" si="167"/>
        <v>113280.49599137623</v>
      </c>
      <c r="AC92" s="124">
        <f t="shared" si="114"/>
        <v>49</v>
      </c>
      <c r="AD92" s="130">
        <f t="shared" si="227"/>
        <v>3.7499999999999999E-2</v>
      </c>
      <c r="AE92" s="127">
        <f t="shared" si="228"/>
        <v>1146</v>
      </c>
      <c r="AF92" s="128">
        <f t="shared" si="229"/>
        <v>114488.90000000001</v>
      </c>
      <c r="AG92" s="128">
        <f t="shared" si="140"/>
        <v>114600</v>
      </c>
      <c r="AH92" s="128">
        <f t="shared" si="118"/>
        <v>114600</v>
      </c>
      <c r="AI92" s="130">
        <f t="shared" si="168"/>
        <v>0.04</v>
      </c>
      <c r="AJ92" s="128">
        <f t="shared" si="169"/>
        <v>114982.00000000001</v>
      </c>
      <c r="AK92" s="128" t="str">
        <f t="shared" si="170"/>
        <v>nie</v>
      </c>
      <c r="AL92" s="128">
        <f t="shared" si="171"/>
        <v>382.00000000001455</v>
      </c>
      <c r="AM92" s="128">
        <f t="shared" si="150"/>
        <v>114600</v>
      </c>
      <c r="AN92" s="128">
        <f t="shared" si="172"/>
        <v>309.42000000001178</v>
      </c>
      <c r="AO92" s="130">
        <f t="shared" si="173"/>
        <v>3.5999999999999997E-2</v>
      </c>
      <c r="AP92" s="128">
        <f t="shared" si="174"/>
        <v>378.67000567732345</v>
      </c>
      <c r="AQ92" s="128">
        <f t="shared" si="156"/>
        <v>118177.75500567732</v>
      </c>
      <c r="AS92" s="124">
        <f t="shared" si="119"/>
        <v>49</v>
      </c>
      <c r="AT92" s="130">
        <f t="shared" si="120"/>
        <v>3.7499999999999999E-2</v>
      </c>
      <c r="AU92" s="127">
        <f t="shared" si="230"/>
        <v>1142</v>
      </c>
      <c r="AV92" s="128">
        <f t="shared" si="231"/>
        <v>114092.8</v>
      </c>
      <c r="AW92" s="128">
        <f t="shared" si="151"/>
        <v>114200</v>
      </c>
      <c r="AX92" s="128">
        <f t="shared" si="123"/>
        <v>114200</v>
      </c>
      <c r="AY92" s="130">
        <f t="shared" si="175"/>
        <v>4.1500000000000002E-2</v>
      </c>
      <c r="AZ92" s="128">
        <f t="shared" si="176"/>
        <v>114594.94166666667</v>
      </c>
      <c r="BA92" s="128" t="str">
        <f t="shared" si="177"/>
        <v>nie</v>
      </c>
      <c r="BB92" s="128">
        <f t="shared" si="178"/>
        <v>394.9416666666657</v>
      </c>
      <c r="BC92" s="128">
        <f t="shared" si="158"/>
        <v>114200</v>
      </c>
      <c r="BD92" s="128">
        <f t="shared" si="179"/>
        <v>319.90274999999923</v>
      </c>
      <c r="BE92" s="130">
        <f t="shared" si="51"/>
        <v>3.5999999999999997E-2</v>
      </c>
      <c r="BF92" s="128">
        <f t="shared" si="180"/>
        <v>409.52854397514295</v>
      </c>
      <c r="BG92" s="128">
        <f t="shared" si="159"/>
        <v>121306.63579397515</v>
      </c>
      <c r="BI92" s="124">
        <f t="shared" si="124"/>
        <v>49</v>
      </c>
      <c r="BJ92" s="130">
        <f t="shared" si="242"/>
        <v>3.9100000000000003E-2</v>
      </c>
      <c r="BK92" s="127">
        <f t="shared" si="232"/>
        <v>1112</v>
      </c>
      <c r="BL92" s="128">
        <f t="shared" si="233"/>
        <v>111088.8</v>
      </c>
      <c r="BM92" s="128">
        <f t="shared" si="142"/>
        <v>111200</v>
      </c>
      <c r="BN92" s="128">
        <f t="shared" si="234"/>
        <v>116092.8</v>
      </c>
      <c r="BO92" s="130">
        <f t="shared" si="181"/>
        <v>4.3999999999999997E-2</v>
      </c>
      <c r="BP92" s="128">
        <f t="shared" si="182"/>
        <v>116518.47360000001</v>
      </c>
      <c r="BQ92" s="128" t="str">
        <f t="shared" si="183"/>
        <v>nie</v>
      </c>
      <c r="BR92" s="128">
        <f t="shared" si="184"/>
        <v>1112</v>
      </c>
      <c r="BS92" s="128">
        <f t="shared" si="153"/>
        <v>114607.24361600001</v>
      </c>
      <c r="BT92" s="128">
        <f>IF(AND(BQ92="tak",BL93&lt;&gt;""),
 BS92-BL93,
0)</f>
        <v>0</v>
      </c>
      <c r="BU92" s="130">
        <f t="shared" si="185"/>
        <v>3.5999999999999997E-2</v>
      </c>
      <c r="BV92" s="128">
        <f t="shared" si="60"/>
        <v>83.1298437865821</v>
      </c>
      <c r="BW92" s="128">
        <f t="shared" si="243"/>
        <v>114690.37345978658</v>
      </c>
      <c r="BY92" s="130">
        <f t="shared" si="244"/>
        <v>3.1E-2</v>
      </c>
      <c r="BZ92" s="127">
        <f t="shared" si="235"/>
        <v>1158</v>
      </c>
      <c r="CA92" s="128">
        <f t="shared" si="236"/>
        <v>115696.20000000001</v>
      </c>
      <c r="CB92" s="128">
        <f t="shared" si="154"/>
        <v>115800</v>
      </c>
      <c r="CC92" s="128">
        <f t="shared" si="131"/>
        <v>115800</v>
      </c>
      <c r="CD92" s="130">
        <f t="shared" si="186"/>
        <v>4.7500000000000001E-2</v>
      </c>
      <c r="CE92" s="128">
        <f t="shared" si="187"/>
        <v>116258.375</v>
      </c>
      <c r="CF92" s="128" t="str">
        <f t="shared" si="188"/>
        <v>nie</v>
      </c>
      <c r="CG92" s="128">
        <f t="shared" si="189"/>
        <v>458.375</v>
      </c>
      <c r="CH92" s="128">
        <f t="shared" si="160"/>
        <v>115800</v>
      </c>
      <c r="CI92" s="128">
        <f t="shared" si="190"/>
        <v>0</v>
      </c>
      <c r="CJ92" s="130">
        <f t="shared" si="68"/>
        <v>3.5999999999999997E-2</v>
      </c>
      <c r="CK92" s="128">
        <f t="shared" si="191"/>
        <v>14.225505385197714</v>
      </c>
      <c r="CL92" s="128">
        <f t="shared" si="192"/>
        <v>115814.2255053852</v>
      </c>
      <c r="CN92" s="127">
        <f t="shared" si="237"/>
        <v>1000</v>
      </c>
      <c r="CO92" s="128">
        <f t="shared" si="238"/>
        <v>100000</v>
      </c>
      <c r="CP92" s="128">
        <f t="shared" si="134"/>
        <v>100000</v>
      </c>
      <c r="CQ92" s="128">
        <f t="shared" si="239"/>
        <v>122304.57083284999</v>
      </c>
      <c r="CR92" s="130">
        <f t="shared" si="193"/>
        <v>5.1000000000000004E-2</v>
      </c>
      <c r="CS92" s="128">
        <f t="shared" si="194"/>
        <v>122824.36525888961</v>
      </c>
      <c r="CT92" s="128" t="str">
        <f t="shared" si="195"/>
        <v>nie</v>
      </c>
      <c r="CU92" s="128">
        <f t="shared" si="196"/>
        <v>3000</v>
      </c>
      <c r="CV92" s="128">
        <f t="shared" si="197"/>
        <v>116057.73585970058</v>
      </c>
      <c r="CW92" s="128">
        <f t="shared" si="76"/>
        <v>0</v>
      </c>
      <c r="CX92" s="130">
        <f t="shared" si="198"/>
        <v>3.5999999999999997E-2</v>
      </c>
      <c r="CY92" s="128">
        <f t="shared" si="199"/>
        <v>0</v>
      </c>
      <c r="CZ92" s="128">
        <f t="shared" si="200"/>
        <v>116057.73585970058</v>
      </c>
      <c r="DA92" s="20"/>
      <c r="DB92" s="127">
        <f t="shared" si="144"/>
        <v>1000</v>
      </c>
      <c r="DC92" s="128">
        <f t="shared" si="145"/>
        <v>100000</v>
      </c>
      <c r="DD92" s="128">
        <f t="shared" si="136"/>
        <v>100000</v>
      </c>
      <c r="DE92" s="128">
        <f t="shared" si="240"/>
        <v>121898.24335499998</v>
      </c>
      <c r="DF92" s="130">
        <f t="shared" si="201"/>
        <v>5.1000000000000004E-2</v>
      </c>
      <c r="DG92" s="128">
        <f t="shared" si="202"/>
        <v>122416.31088925875</v>
      </c>
      <c r="DH92" s="128" t="str">
        <f t="shared" si="203"/>
        <v>nie</v>
      </c>
      <c r="DI92" s="128">
        <f t="shared" si="204"/>
        <v>2000</v>
      </c>
      <c r="DJ92" s="128">
        <f t="shared" si="205"/>
        <v>116537.21182029959</v>
      </c>
      <c r="DK92" s="128">
        <f t="shared" si="85"/>
        <v>0</v>
      </c>
      <c r="DL92" s="130">
        <f t="shared" si="206"/>
        <v>3.5999999999999997E-2</v>
      </c>
      <c r="DM92" s="128">
        <f t="shared" si="207"/>
        <v>0</v>
      </c>
      <c r="DN92" s="128">
        <f t="shared" si="208"/>
        <v>116537.21182029959</v>
      </c>
      <c r="DP92" s="127">
        <f t="shared" si="146"/>
        <v>1000</v>
      </c>
      <c r="DQ92" s="128">
        <f t="shared" si="147"/>
        <v>100000</v>
      </c>
      <c r="DR92" s="128">
        <f t="shared" si="138"/>
        <v>100000</v>
      </c>
      <c r="DS92" s="128">
        <f t="shared" si="241"/>
        <v>124352.82984960002</v>
      </c>
      <c r="DT92" s="130">
        <f t="shared" si="209"/>
        <v>5.6000000000000001E-2</v>
      </c>
      <c r="DU92" s="128">
        <f t="shared" si="210"/>
        <v>124933.14305556481</v>
      </c>
      <c r="DV92" s="128" t="str">
        <f t="shared" si="211"/>
        <v>nie</v>
      </c>
      <c r="DW92" s="128">
        <f t="shared" si="212"/>
        <v>3000</v>
      </c>
      <c r="DX92" s="128">
        <f t="shared" si="93"/>
        <v>117765.84587500749</v>
      </c>
      <c r="DY92" s="128">
        <f t="shared" si="94"/>
        <v>0</v>
      </c>
      <c r="DZ92" s="130">
        <f t="shared" si="213"/>
        <v>3.5999999999999997E-2</v>
      </c>
      <c r="EA92" s="128">
        <f t="shared" si="214"/>
        <v>0</v>
      </c>
      <c r="EB92" s="128">
        <f t="shared" si="215"/>
        <v>117765.84587500749</v>
      </c>
    </row>
    <row r="93" spans="1:134">
      <c r="A93" s="212">
        <f>ROUNDUP(B104/12,0)</f>
        <v>5</v>
      </c>
      <c r="B93" s="188">
        <f t="shared" si="216"/>
        <v>49</v>
      </c>
      <c r="C93" s="128">
        <f t="shared" si="217"/>
        <v>118177.75500567732</v>
      </c>
      <c r="D93" s="128">
        <f t="shared" si="218"/>
        <v>121306.63579397515</v>
      </c>
      <c r="E93" s="128">
        <f t="shared" si="219"/>
        <v>114690.37345978658</v>
      </c>
      <c r="F93" s="128">
        <f t="shared" si="220"/>
        <v>115814.2255053852</v>
      </c>
      <c r="G93" s="128">
        <f t="shared" si="221"/>
        <v>116057.73585970058</v>
      </c>
      <c r="H93" s="128">
        <f t="shared" si="222"/>
        <v>116537.21182029959</v>
      </c>
      <c r="I93" s="128">
        <f t="shared" si="223"/>
        <v>117765.84587500749</v>
      </c>
      <c r="J93" s="128">
        <f t="shared" si="224"/>
        <v>112628.60788126664</v>
      </c>
      <c r="K93" s="128">
        <f t="shared" si="225"/>
        <v>113280.49599137623</v>
      </c>
      <c r="M93" s="36"/>
      <c r="N93" s="32">
        <f t="shared" si="226"/>
        <v>49</v>
      </c>
      <c r="O93" s="25">
        <f t="shared" si="109"/>
        <v>0.1817775500567731</v>
      </c>
      <c r="P93" s="25">
        <f t="shared" si="110"/>
        <v>0.21306635793975137</v>
      </c>
      <c r="Q93" s="25">
        <f t="shared" si="111"/>
        <v>0.14690373459786588</v>
      </c>
      <c r="R93" s="25">
        <f t="shared" si="161"/>
        <v>0.15814225505385204</v>
      </c>
      <c r="S93" s="25">
        <f t="shared" si="162"/>
        <v>0.16057735859700584</v>
      </c>
      <c r="T93" s="25">
        <f t="shared" si="163"/>
        <v>0.16537211820299591</v>
      </c>
      <c r="U93" s="25">
        <f t="shared" si="164"/>
        <v>0.17765845875007491</v>
      </c>
      <c r="V93" s="25">
        <f t="shared" si="165"/>
        <v>0.12628607881266629</v>
      </c>
      <c r="W93" s="25">
        <f t="shared" si="166"/>
        <v>0.13280495991376218</v>
      </c>
      <c r="X93" s="36"/>
      <c r="Y93" s="36"/>
      <c r="AA93" s="124">
        <f t="shared" si="113"/>
        <v>50</v>
      </c>
      <c r="AB93" s="128">
        <f t="shared" si="167"/>
        <v>113572.3832306525</v>
      </c>
      <c r="AC93" s="124">
        <f t="shared" si="114"/>
        <v>50</v>
      </c>
      <c r="AD93" s="130">
        <f t="shared" si="227"/>
        <v>3.7499999999999999E-2</v>
      </c>
      <c r="AE93" s="127">
        <f t="shared" si="228"/>
        <v>1146</v>
      </c>
      <c r="AF93" s="128">
        <f t="shared" si="229"/>
        <v>114488.90000000001</v>
      </c>
      <c r="AG93" s="128">
        <f t="shared" si="140"/>
        <v>114600</v>
      </c>
      <c r="AH93" s="128">
        <f t="shared" si="118"/>
        <v>114600</v>
      </c>
      <c r="AI93" s="130">
        <f t="shared" si="168"/>
        <v>3.7499999999999999E-2</v>
      </c>
      <c r="AJ93" s="128">
        <f t="shared" si="169"/>
        <v>114958.125</v>
      </c>
      <c r="AK93" s="128" t="str">
        <f t="shared" si="170"/>
        <v>nie</v>
      </c>
      <c r="AL93" s="128">
        <f t="shared" si="171"/>
        <v>573</v>
      </c>
      <c r="AM93" s="128">
        <f t="shared" si="150"/>
        <v>114425.95125</v>
      </c>
      <c r="AN93" s="128">
        <f t="shared" si="172"/>
        <v>290.08125000000001</v>
      </c>
      <c r="AO93" s="130">
        <f t="shared" si="173"/>
        <v>3.5999999999999997E-2</v>
      </c>
      <c r="AP93" s="128">
        <f t="shared" si="174"/>
        <v>669.67142379111931</v>
      </c>
      <c r="AQ93" s="128">
        <f t="shared" si="156"/>
        <v>114805.54142379112</v>
      </c>
      <c r="AS93" s="124">
        <f t="shared" si="119"/>
        <v>50</v>
      </c>
      <c r="AT93" s="130">
        <f t="shared" si="120"/>
        <v>3.7499999999999999E-2</v>
      </c>
      <c r="AU93" s="127">
        <f t="shared" si="230"/>
        <v>1142</v>
      </c>
      <c r="AV93" s="128">
        <f t="shared" si="231"/>
        <v>114092.8</v>
      </c>
      <c r="AW93" s="128">
        <f t="shared" si="151"/>
        <v>114200</v>
      </c>
      <c r="AX93" s="128">
        <f t="shared" si="123"/>
        <v>114200</v>
      </c>
      <c r="AY93" s="130">
        <f t="shared" si="175"/>
        <v>3.9E-2</v>
      </c>
      <c r="AZ93" s="128">
        <f t="shared" si="176"/>
        <v>114571.15</v>
      </c>
      <c r="BA93" s="128" t="str">
        <f t="shared" si="177"/>
        <v>nie</v>
      </c>
      <c r="BB93" s="128">
        <f t="shared" si="178"/>
        <v>799.4</v>
      </c>
      <c r="BC93" s="128">
        <f t="shared" si="158"/>
        <v>113853.11750000001</v>
      </c>
      <c r="BD93" s="128">
        <f t="shared" si="179"/>
        <v>300.6314999999953</v>
      </c>
      <c r="BE93" s="130">
        <f t="shared" si="51"/>
        <v>3.5999999999999997E-2</v>
      </c>
      <c r="BF93" s="128">
        <f t="shared" si="180"/>
        <v>711.15519833699784</v>
      </c>
      <c r="BG93" s="128">
        <f t="shared" si="159"/>
        <v>114263.64119833701</v>
      </c>
      <c r="BI93" s="124">
        <f t="shared" si="124"/>
        <v>50</v>
      </c>
      <c r="BJ93" s="130">
        <f t="shared" si="242"/>
        <v>3.9100000000000003E-2</v>
      </c>
      <c r="BK93" s="127">
        <f t="shared" si="232"/>
        <v>1112</v>
      </c>
      <c r="BL93" s="128">
        <f t="shared" si="233"/>
        <v>111088.8</v>
      </c>
      <c r="BM93" s="128">
        <f t="shared" si="142"/>
        <v>111200</v>
      </c>
      <c r="BN93" s="128">
        <f t="shared" si="234"/>
        <v>116092.8</v>
      </c>
      <c r="BO93" s="130">
        <f t="shared" si="181"/>
        <v>4.3999999999999997E-2</v>
      </c>
      <c r="BP93" s="128">
        <f t="shared" si="182"/>
        <v>116944.14720000001</v>
      </c>
      <c r="BQ93" s="128" t="str">
        <f t="shared" si="183"/>
        <v>nie</v>
      </c>
      <c r="BR93" s="128">
        <f t="shared" si="184"/>
        <v>1112</v>
      </c>
      <c r="BS93" s="128">
        <f t="shared" si="153"/>
        <v>114952.03923200001</v>
      </c>
      <c r="BT93" s="128">
        <f t="shared" si="128"/>
        <v>0</v>
      </c>
      <c r="BU93" s="130">
        <f t="shared" si="185"/>
        <v>3.5999999999999997E-2</v>
      </c>
      <c r="BV93" s="128">
        <f t="shared" si="60"/>
        <v>83.331849306983486</v>
      </c>
      <c r="BW93" s="128">
        <f t="shared" si="243"/>
        <v>115035.37108130699</v>
      </c>
      <c r="BY93" s="130">
        <f t="shared" si="244"/>
        <v>3.1E-2</v>
      </c>
      <c r="BZ93" s="127">
        <f t="shared" si="235"/>
        <v>1158</v>
      </c>
      <c r="CA93" s="128">
        <f t="shared" si="236"/>
        <v>115696.20000000001</v>
      </c>
      <c r="CB93" s="128">
        <f t="shared" si="154"/>
        <v>115800</v>
      </c>
      <c r="CC93" s="128">
        <f t="shared" si="131"/>
        <v>115800</v>
      </c>
      <c r="CD93" s="130">
        <f t="shared" si="186"/>
        <v>4.7500000000000001E-2</v>
      </c>
      <c r="CE93" s="128">
        <f t="shared" si="187"/>
        <v>116716.74999999999</v>
      </c>
      <c r="CF93" s="128" t="str">
        <f t="shared" si="188"/>
        <v>nie</v>
      </c>
      <c r="CG93" s="128">
        <f t="shared" si="189"/>
        <v>916.74999999998545</v>
      </c>
      <c r="CH93" s="128">
        <f t="shared" si="160"/>
        <v>115800</v>
      </c>
      <c r="CI93" s="128">
        <f t="shared" si="190"/>
        <v>0</v>
      </c>
      <c r="CJ93" s="130">
        <f t="shared" si="68"/>
        <v>3.5999999999999997E-2</v>
      </c>
      <c r="CK93" s="128">
        <f t="shared" si="191"/>
        <v>14.260073363283743</v>
      </c>
      <c r="CL93" s="128">
        <f t="shared" si="192"/>
        <v>115814.26007336329</v>
      </c>
      <c r="CN93" s="127">
        <f t="shared" si="237"/>
        <v>1000</v>
      </c>
      <c r="CO93" s="128">
        <f t="shared" si="238"/>
        <v>100000</v>
      </c>
      <c r="CP93" s="128">
        <f t="shared" si="134"/>
        <v>100000</v>
      </c>
      <c r="CQ93" s="128">
        <f t="shared" si="239"/>
        <v>122304.57083284999</v>
      </c>
      <c r="CR93" s="130">
        <f t="shared" si="193"/>
        <v>5.1000000000000004E-2</v>
      </c>
      <c r="CS93" s="128">
        <f t="shared" si="194"/>
        <v>123344.15968492921</v>
      </c>
      <c r="CT93" s="128" t="str">
        <f t="shared" si="195"/>
        <v>nie</v>
      </c>
      <c r="CU93" s="128">
        <f t="shared" si="196"/>
        <v>3000</v>
      </c>
      <c r="CV93" s="128">
        <f t="shared" si="197"/>
        <v>116478.76934479266</v>
      </c>
      <c r="CW93" s="128">
        <f t="shared" si="76"/>
        <v>0</v>
      </c>
      <c r="CX93" s="130">
        <f t="shared" si="198"/>
        <v>3.5999999999999997E-2</v>
      </c>
      <c r="CY93" s="128">
        <f t="shared" si="199"/>
        <v>0</v>
      </c>
      <c r="CZ93" s="128">
        <f t="shared" si="200"/>
        <v>116478.76934479266</v>
      </c>
      <c r="DA93" s="20"/>
      <c r="DB93" s="127">
        <f t="shared" si="144"/>
        <v>1000</v>
      </c>
      <c r="DC93" s="128">
        <f t="shared" si="145"/>
        <v>100000</v>
      </c>
      <c r="DD93" s="128">
        <f t="shared" si="136"/>
        <v>100000</v>
      </c>
      <c r="DE93" s="128">
        <f t="shared" si="240"/>
        <v>121898.24335499998</v>
      </c>
      <c r="DF93" s="130">
        <f t="shared" si="201"/>
        <v>5.1000000000000004E-2</v>
      </c>
      <c r="DG93" s="128">
        <f t="shared" si="202"/>
        <v>122934.37842351748</v>
      </c>
      <c r="DH93" s="128" t="str">
        <f t="shared" si="203"/>
        <v>nie</v>
      </c>
      <c r="DI93" s="128">
        <f t="shared" si="204"/>
        <v>2000</v>
      </c>
      <c r="DJ93" s="128">
        <f t="shared" si="205"/>
        <v>116956.84652304916</v>
      </c>
      <c r="DK93" s="128">
        <f t="shared" si="85"/>
        <v>0</v>
      </c>
      <c r="DL93" s="130">
        <f t="shared" si="206"/>
        <v>3.5999999999999997E-2</v>
      </c>
      <c r="DM93" s="128">
        <f t="shared" si="207"/>
        <v>0</v>
      </c>
      <c r="DN93" s="128">
        <f t="shared" si="208"/>
        <v>116956.84652304916</v>
      </c>
      <c r="DP93" s="127">
        <f t="shared" si="146"/>
        <v>1000</v>
      </c>
      <c r="DQ93" s="128">
        <f t="shared" si="147"/>
        <v>100000</v>
      </c>
      <c r="DR93" s="128">
        <f t="shared" si="138"/>
        <v>100000</v>
      </c>
      <c r="DS93" s="128">
        <f t="shared" si="241"/>
        <v>124352.82984960002</v>
      </c>
      <c r="DT93" s="130">
        <f t="shared" si="209"/>
        <v>5.6000000000000001E-2</v>
      </c>
      <c r="DU93" s="128">
        <f t="shared" si="210"/>
        <v>125513.45626152963</v>
      </c>
      <c r="DV93" s="128" t="str">
        <f t="shared" si="211"/>
        <v>nie</v>
      </c>
      <c r="DW93" s="128">
        <f t="shared" si="212"/>
        <v>3000</v>
      </c>
      <c r="DX93" s="128">
        <f t="shared" si="93"/>
        <v>118235.89957183901</v>
      </c>
      <c r="DY93" s="128">
        <f t="shared" si="94"/>
        <v>0</v>
      </c>
      <c r="DZ93" s="130">
        <f t="shared" si="213"/>
        <v>3.5999999999999997E-2</v>
      </c>
      <c r="EA93" s="128">
        <f t="shared" si="214"/>
        <v>0</v>
      </c>
      <c r="EB93" s="128">
        <f t="shared" si="215"/>
        <v>118235.89957183901</v>
      </c>
    </row>
    <row r="94" spans="1:134">
      <c r="A94" s="212"/>
      <c r="B94" s="188">
        <f t="shared" si="216"/>
        <v>50</v>
      </c>
      <c r="C94" s="128">
        <f t="shared" si="217"/>
        <v>114805.54142379112</v>
      </c>
      <c r="D94" s="128">
        <f t="shared" si="218"/>
        <v>114263.64119833701</v>
      </c>
      <c r="E94" s="128">
        <f t="shared" si="219"/>
        <v>115035.37108130699</v>
      </c>
      <c r="F94" s="128">
        <f t="shared" si="220"/>
        <v>115814.26007336329</v>
      </c>
      <c r="G94" s="128">
        <f t="shared" si="221"/>
        <v>116478.76934479266</v>
      </c>
      <c r="H94" s="128">
        <f t="shared" si="222"/>
        <v>116956.84652304916</v>
      </c>
      <c r="I94" s="128">
        <f t="shared" si="223"/>
        <v>118235.89957183901</v>
      </c>
      <c r="J94" s="128">
        <f t="shared" si="224"/>
        <v>112902.29539841811</v>
      </c>
      <c r="K94" s="128">
        <f t="shared" si="225"/>
        <v>113572.3832306525</v>
      </c>
      <c r="M94" s="36"/>
      <c r="N94" s="32">
        <f t="shared" si="226"/>
        <v>50</v>
      </c>
      <c r="O94" s="25">
        <f t="shared" si="109"/>
        <v>0.14805541423791113</v>
      </c>
      <c r="P94" s="25">
        <f t="shared" si="110"/>
        <v>0.14263641198337007</v>
      </c>
      <c r="Q94" s="25">
        <f t="shared" si="111"/>
        <v>0.15035371081306992</v>
      </c>
      <c r="R94" s="25">
        <f t="shared" si="161"/>
        <v>0.15814260073363284</v>
      </c>
      <c r="S94" s="25">
        <f t="shared" si="162"/>
        <v>0.16478769344792665</v>
      </c>
      <c r="T94" s="25">
        <f t="shared" si="163"/>
        <v>0.16956846523049163</v>
      </c>
      <c r="U94" s="25">
        <f t="shared" si="164"/>
        <v>0.18235899571838998</v>
      </c>
      <c r="V94" s="25">
        <f t="shared" si="165"/>
        <v>0.12902295398418118</v>
      </c>
      <c r="W94" s="25">
        <f t="shared" si="166"/>
        <v>0.13572383230652507</v>
      </c>
      <c r="X94" s="36"/>
      <c r="Y94" s="36"/>
      <c r="AA94" s="124">
        <f t="shared" si="113"/>
        <v>51</v>
      </c>
      <c r="AB94" s="128">
        <f t="shared" si="167"/>
        <v>113864.27046992874</v>
      </c>
      <c r="AC94" s="124">
        <f t="shared" si="114"/>
        <v>51</v>
      </c>
      <c r="AD94" s="130">
        <f t="shared" si="227"/>
        <v>3.7499999999999999E-2</v>
      </c>
      <c r="AE94" s="127">
        <f t="shared" si="228"/>
        <v>1146</v>
      </c>
      <c r="AF94" s="128">
        <f t="shared" si="229"/>
        <v>114488.90000000001</v>
      </c>
      <c r="AG94" s="128">
        <f t="shared" si="140"/>
        <v>114600</v>
      </c>
      <c r="AH94" s="128">
        <f t="shared" si="118"/>
        <v>114600</v>
      </c>
      <c r="AI94" s="130">
        <f t="shared" si="168"/>
        <v>3.7499999999999999E-2</v>
      </c>
      <c r="AJ94" s="128">
        <f t="shared" si="169"/>
        <v>114958.125</v>
      </c>
      <c r="AK94" s="128" t="str">
        <f t="shared" si="170"/>
        <v>nie</v>
      </c>
      <c r="AL94" s="128">
        <f t="shared" si="171"/>
        <v>573</v>
      </c>
      <c r="AM94" s="128">
        <f t="shared" si="150"/>
        <v>114425.95125</v>
      </c>
      <c r="AN94" s="128">
        <f t="shared" si="172"/>
        <v>290.08125000000001</v>
      </c>
      <c r="AO94" s="130">
        <f t="shared" si="173"/>
        <v>3.5999999999999997E-2</v>
      </c>
      <c r="AP94" s="128">
        <f t="shared" si="174"/>
        <v>961.37997535093177</v>
      </c>
      <c r="AQ94" s="128">
        <f t="shared" si="156"/>
        <v>115097.24997535093</v>
      </c>
      <c r="AS94" s="124">
        <f t="shared" si="119"/>
        <v>51</v>
      </c>
      <c r="AT94" s="130">
        <f t="shared" si="120"/>
        <v>3.7499999999999999E-2</v>
      </c>
      <c r="AU94" s="127">
        <f t="shared" si="230"/>
        <v>1142</v>
      </c>
      <c r="AV94" s="128">
        <f t="shared" si="231"/>
        <v>114092.8</v>
      </c>
      <c r="AW94" s="128">
        <f t="shared" si="151"/>
        <v>114200</v>
      </c>
      <c r="AX94" s="128">
        <f t="shared" si="123"/>
        <v>114200</v>
      </c>
      <c r="AY94" s="130">
        <f t="shared" si="175"/>
        <v>3.9E-2</v>
      </c>
      <c r="AZ94" s="128">
        <f t="shared" si="176"/>
        <v>114571.15</v>
      </c>
      <c r="BA94" s="128" t="str">
        <f t="shared" si="177"/>
        <v>nie</v>
      </c>
      <c r="BB94" s="128">
        <f t="shared" si="178"/>
        <v>799.4</v>
      </c>
      <c r="BC94" s="128">
        <f t="shared" si="158"/>
        <v>113853.11750000001</v>
      </c>
      <c r="BD94" s="128">
        <f t="shared" si="179"/>
        <v>300.6314999999953</v>
      </c>
      <c r="BE94" s="130">
        <f t="shared" si="51"/>
        <v>3.5999999999999997E-2</v>
      </c>
      <c r="BF94" s="128">
        <f t="shared" si="180"/>
        <v>1013.514805468952</v>
      </c>
      <c r="BG94" s="128">
        <f t="shared" si="159"/>
        <v>114566.00080546897</v>
      </c>
      <c r="BI94" s="124">
        <f t="shared" si="124"/>
        <v>51</v>
      </c>
      <c r="BJ94" s="130">
        <f t="shared" si="242"/>
        <v>3.9100000000000003E-2</v>
      </c>
      <c r="BK94" s="127">
        <f t="shared" si="232"/>
        <v>1112</v>
      </c>
      <c r="BL94" s="128">
        <f t="shared" si="233"/>
        <v>111088.8</v>
      </c>
      <c r="BM94" s="128">
        <f t="shared" si="142"/>
        <v>111200</v>
      </c>
      <c r="BN94" s="128">
        <f t="shared" si="234"/>
        <v>116092.8</v>
      </c>
      <c r="BO94" s="130">
        <f t="shared" si="181"/>
        <v>4.3999999999999997E-2</v>
      </c>
      <c r="BP94" s="128">
        <f t="shared" si="182"/>
        <v>117369.82079999999</v>
      </c>
      <c r="BQ94" s="128" t="str">
        <f t="shared" si="183"/>
        <v>nie</v>
      </c>
      <c r="BR94" s="128">
        <f t="shared" si="184"/>
        <v>1112</v>
      </c>
      <c r="BS94" s="128">
        <f t="shared" si="153"/>
        <v>115296.83484799998</v>
      </c>
      <c r="BT94" s="128">
        <f t="shared" si="128"/>
        <v>0</v>
      </c>
      <c r="BU94" s="130">
        <f t="shared" si="185"/>
        <v>3.5999999999999997E-2</v>
      </c>
      <c r="BV94" s="128">
        <f t="shared" si="60"/>
        <v>83.534345700799449</v>
      </c>
      <c r="BW94" s="128">
        <f t="shared" si="243"/>
        <v>115380.36919370078</v>
      </c>
      <c r="BY94" s="130">
        <f t="shared" si="244"/>
        <v>3.1E-2</v>
      </c>
      <c r="BZ94" s="127">
        <f t="shared" si="235"/>
        <v>1158</v>
      </c>
      <c r="CA94" s="128">
        <f t="shared" si="236"/>
        <v>115696.20000000001</v>
      </c>
      <c r="CB94" s="128">
        <f t="shared" si="154"/>
        <v>115800</v>
      </c>
      <c r="CC94" s="128">
        <f t="shared" si="131"/>
        <v>115800</v>
      </c>
      <c r="CD94" s="130">
        <f t="shared" si="186"/>
        <v>4.7500000000000001E-2</v>
      </c>
      <c r="CE94" s="128">
        <f t="shared" si="187"/>
        <v>117175.12500000001</v>
      </c>
      <c r="CF94" s="128" t="str">
        <f t="shared" si="188"/>
        <v>nie</v>
      </c>
      <c r="CG94" s="128">
        <f t="shared" si="189"/>
        <v>1375.1250000000146</v>
      </c>
      <c r="CH94" s="128">
        <f t="shared" si="160"/>
        <v>115800</v>
      </c>
      <c r="CI94" s="128">
        <f t="shared" si="190"/>
        <v>0</v>
      </c>
      <c r="CJ94" s="130">
        <f t="shared" si="68"/>
        <v>3.5999999999999997E-2</v>
      </c>
      <c r="CK94" s="128">
        <f t="shared" si="191"/>
        <v>14.294725341556521</v>
      </c>
      <c r="CL94" s="128">
        <f t="shared" si="192"/>
        <v>115814.29472534156</v>
      </c>
      <c r="CN94" s="127">
        <f t="shared" si="237"/>
        <v>1000</v>
      </c>
      <c r="CO94" s="128">
        <f t="shared" si="238"/>
        <v>100000</v>
      </c>
      <c r="CP94" s="128">
        <f t="shared" si="134"/>
        <v>100000</v>
      </c>
      <c r="CQ94" s="128">
        <f t="shared" si="239"/>
        <v>122304.57083284999</v>
      </c>
      <c r="CR94" s="130">
        <f t="shared" si="193"/>
        <v>5.1000000000000004E-2</v>
      </c>
      <c r="CS94" s="128">
        <f t="shared" si="194"/>
        <v>123863.95411096883</v>
      </c>
      <c r="CT94" s="128" t="str">
        <f t="shared" si="195"/>
        <v>nie</v>
      </c>
      <c r="CU94" s="128">
        <f t="shared" si="196"/>
        <v>3000</v>
      </c>
      <c r="CV94" s="128">
        <f t="shared" si="197"/>
        <v>116899.80282988475</v>
      </c>
      <c r="CW94" s="128">
        <f t="shared" si="76"/>
        <v>0</v>
      </c>
      <c r="CX94" s="130">
        <f t="shared" si="198"/>
        <v>3.5999999999999997E-2</v>
      </c>
      <c r="CY94" s="128">
        <f t="shared" si="199"/>
        <v>0</v>
      </c>
      <c r="CZ94" s="128">
        <f t="shared" si="200"/>
        <v>116899.80282988475</v>
      </c>
      <c r="DA94" s="20"/>
      <c r="DB94" s="127">
        <f t="shared" si="144"/>
        <v>1000</v>
      </c>
      <c r="DC94" s="128">
        <f t="shared" si="145"/>
        <v>100000</v>
      </c>
      <c r="DD94" s="128">
        <f t="shared" si="136"/>
        <v>100000</v>
      </c>
      <c r="DE94" s="128">
        <f t="shared" si="240"/>
        <v>121898.24335499998</v>
      </c>
      <c r="DF94" s="130">
        <f t="shared" si="201"/>
        <v>5.1000000000000004E-2</v>
      </c>
      <c r="DG94" s="128">
        <f t="shared" si="202"/>
        <v>123452.44595777623</v>
      </c>
      <c r="DH94" s="128" t="str">
        <f t="shared" si="203"/>
        <v>nie</v>
      </c>
      <c r="DI94" s="128">
        <f t="shared" si="204"/>
        <v>2000</v>
      </c>
      <c r="DJ94" s="128">
        <f t="shared" si="205"/>
        <v>117376.48122579875</v>
      </c>
      <c r="DK94" s="128">
        <f t="shared" si="85"/>
        <v>0</v>
      </c>
      <c r="DL94" s="130">
        <f t="shared" si="206"/>
        <v>3.5999999999999997E-2</v>
      </c>
      <c r="DM94" s="128">
        <f t="shared" si="207"/>
        <v>0</v>
      </c>
      <c r="DN94" s="128">
        <f t="shared" si="208"/>
        <v>117376.48122579875</v>
      </c>
      <c r="DP94" s="127">
        <f t="shared" si="146"/>
        <v>1000</v>
      </c>
      <c r="DQ94" s="128">
        <f t="shared" si="147"/>
        <v>100000</v>
      </c>
      <c r="DR94" s="128">
        <f t="shared" si="138"/>
        <v>100000</v>
      </c>
      <c r="DS94" s="128">
        <f t="shared" si="241"/>
        <v>124352.82984960002</v>
      </c>
      <c r="DT94" s="130">
        <f t="shared" si="209"/>
        <v>5.6000000000000001E-2</v>
      </c>
      <c r="DU94" s="128">
        <f t="shared" si="210"/>
        <v>126093.76946749442</v>
      </c>
      <c r="DV94" s="128" t="str">
        <f t="shared" si="211"/>
        <v>nie</v>
      </c>
      <c r="DW94" s="128">
        <f t="shared" si="212"/>
        <v>3000</v>
      </c>
      <c r="DX94" s="128">
        <f t="shared" si="93"/>
        <v>118705.95326867048</v>
      </c>
      <c r="DY94" s="128">
        <f t="shared" si="94"/>
        <v>0</v>
      </c>
      <c r="DZ94" s="130">
        <f t="shared" si="213"/>
        <v>3.5999999999999997E-2</v>
      </c>
      <c r="EA94" s="128">
        <f t="shared" si="214"/>
        <v>0</v>
      </c>
      <c r="EB94" s="128">
        <f t="shared" si="215"/>
        <v>118705.95326867048</v>
      </c>
    </row>
    <row r="95" spans="1:134">
      <c r="A95" s="212"/>
      <c r="B95" s="188">
        <f t="shared" si="216"/>
        <v>51</v>
      </c>
      <c r="C95" s="128">
        <f t="shared" si="217"/>
        <v>115097.24997535093</v>
      </c>
      <c r="D95" s="128">
        <f t="shared" si="218"/>
        <v>114566.00080546897</v>
      </c>
      <c r="E95" s="128">
        <f t="shared" si="219"/>
        <v>115380.36919370078</v>
      </c>
      <c r="F95" s="128">
        <f t="shared" si="220"/>
        <v>115814.29472534156</v>
      </c>
      <c r="G95" s="128">
        <f t="shared" si="221"/>
        <v>116899.80282988475</v>
      </c>
      <c r="H95" s="128">
        <f t="shared" si="222"/>
        <v>117376.48122579875</v>
      </c>
      <c r="I95" s="128">
        <f t="shared" si="223"/>
        <v>118705.95326867048</v>
      </c>
      <c r="J95" s="128">
        <f t="shared" si="224"/>
        <v>113176.64797623626</v>
      </c>
      <c r="K95" s="128">
        <f t="shared" si="225"/>
        <v>113864.27046992874</v>
      </c>
      <c r="M95" s="36"/>
      <c r="N95" s="32">
        <f t="shared" si="226"/>
        <v>51</v>
      </c>
      <c r="O95" s="25">
        <f t="shared" si="109"/>
        <v>0.15097249975350935</v>
      </c>
      <c r="P95" s="25">
        <f t="shared" si="110"/>
        <v>0.1456600080546897</v>
      </c>
      <c r="Q95" s="25">
        <f t="shared" si="111"/>
        <v>0.15380369193700782</v>
      </c>
      <c r="R95" s="25">
        <f t="shared" si="161"/>
        <v>0.15814294725341571</v>
      </c>
      <c r="S95" s="25">
        <f t="shared" si="162"/>
        <v>0.16899802829884747</v>
      </c>
      <c r="T95" s="25">
        <f t="shared" si="163"/>
        <v>0.17376481225798757</v>
      </c>
      <c r="U95" s="25">
        <f t="shared" si="164"/>
        <v>0.18705953268670483</v>
      </c>
      <c r="V95" s="25">
        <f t="shared" si="165"/>
        <v>0.13176647976236255</v>
      </c>
      <c r="W95" s="25">
        <f t="shared" si="166"/>
        <v>0.13864270469928752</v>
      </c>
      <c r="X95" s="36"/>
      <c r="Y95" s="36"/>
      <c r="AA95" s="124">
        <f t="shared" si="113"/>
        <v>52</v>
      </c>
      <c r="AB95" s="128">
        <f t="shared" si="167"/>
        <v>114156.157709205</v>
      </c>
      <c r="AC95" s="124">
        <f t="shared" si="114"/>
        <v>52</v>
      </c>
      <c r="AD95" s="130">
        <f t="shared" si="227"/>
        <v>3.7499999999999999E-2</v>
      </c>
      <c r="AE95" s="127">
        <f t="shared" si="228"/>
        <v>1146</v>
      </c>
      <c r="AF95" s="128">
        <f t="shared" si="229"/>
        <v>114488.90000000001</v>
      </c>
      <c r="AG95" s="128">
        <f t="shared" si="140"/>
        <v>114600</v>
      </c>
      <c r="AH95" s="128">
        <f t="shared" si="118"/>
        <v>114600</v>
      </c>
      <c r="AI95" s="130">
        <f t="shared" si="168"/>
        <v>3.7499999999999999E-2</v>
      </c>
      <c r="AJ95" s="128">
        <f t="shared" si="169"/>
        <v>114958.125</v>
      </c>
      <c r="AK95" s="128" t="str">
        <f t="shared" si="170"/>
        <v>nie</v>
      </c>
      <c r="AL95" s="128">
        <f t="shared" si="171"/>
        <v>573</v>
      </c>
      <c r="AM95" s="128">
        <f t="shared" si="150"/>
        <v>114425.95125</v>
      </c>
      <c r="AN95" s="128">
        <f t="shared" si="172"/>
        <v>290.08125000000001</v>
      </c>
      <c r="AO95" s="130">
        <f t="shared" si="173"/>
        <v>3.5999999999999997E-2</v>
      </c>
      <c r="AP95" s="128">
        <f t="shared" si="174"/>
        <v>1253.7973786910345</v>
      </c>
      <c r="AQ95" s="128">
        <f t="shared" si="156"/>
        <v>115389.66737869104</v>
      </c>
      <c r="AS95" s="124">
        <f t="shared" si="119"/>
        <v>52</v>
      </c>
      <c r="AT95" s="130">
        <f t="shared" si="120"/>
        <v>3.7499999999999999E-2</v>
      </c>
      <c r="AU95" s="127">
        <f t="shared" si="230"/>
        <v>1142</v>
      </c>
      <c r="AV95" s="128">
        <f t="shared" si="231"/>
        <v>114092.8</v>
      </c>
      <c r="AW95" s="128">
        <f t="shared" si="151"/>
        <v>114200</v>
      </c>
      <c r="AX95" s="128">
        <f t="shared" si="123"/>
        <v>114200</v>
      </c>
      <c r="AY95" s="130">
        <f t="shared" si="175"/>
        <v>3.9E-2</v>
      </c>
      <c r="AZ95" s="128">
        <f t="shared" si="176"/>
        <v>114571.15</v>
      </c>
      <c r="BA95" s="128" t="str">
        <f t="shared" si="177"/>
        <v>nie</v>
      </c>
      <c r="BB95" s="128">
        <f t="shared" si="178"/>
        <v>799.4</v>
      </c>
      <c r="BC95" s="128">
        <f t="shared" si="158"/>
        <v>113853.11750000001</v>
      </c>
      <c r="BD95" s="128">
        <f t="shared" si="179"/>
        <v>300.6314999999953</v>
      </c>
      <c r="BE95" s="130">
        <f t="shared" si="51"/>
        <v>3.5999999999999997E-2</v>
      </c>
      <c r="BF95" s="128">
        <f t="shared" si="180"/>
        <v>1316.6091464462368</v>
      </c>
      <c r="BG95" s="128">
        <f t="shared" si="159"/>
        <v>114869.09514644626</v>
      </c>
      <c r="BI95" s="124">
        <f t="shared" si="124"/>
        <v>52</v>
      </c>
      <c r="BJ95" s="130">
        <f t="shared" si="242"/>
        <v>3.9100000000000003E-2</v>
      </c>
      <c r="BK95" s="127">
        <f t="shared" si="232"/>
        <v>1112</v>
      </c>
      <c r="BL95" s="128">
        <f t="shared" si="233"/>
        <v>111088.8</v>
      </c>
      <c r="BM95" s="128">
        <f t="shared" si="142"/>
        <v>111200</v>
      </c>
      <c r="BN95" s="128">
        <f t="shared" si="234"/>
        <v>116092.8</v>
      </c>
      <c r="BO95" s="130">
        <f t="shared" si="181"/>
        <v>4.3999999999999997E-2</v>
      </c>
      <c r="BP95" s="128">
        <f t="shared" si="182"/>
        <v>117795.4944</v>
      </c>
      <c r="BQ95" s="128" t="str">
        <f t="shared" si="183"/>
        <v>nie</v>
      </c>
      <c r="BR95" s="128">
        <f t="shared" si="184"/>
        <v>1112</v>
      </c>
      <c r="BS95" s="128">
        <f t="shared" si="153"/>
        <v>115641.630464</v>
      </c>
      <c r="BT95" s="128">
        <f t="shared" si="128"/>
        <v>0</v>
      </c>
      <c r="BU95" s="130">
        <f t="shared" si="185"/>
        <v>3.5999999999999997E-2</v>
      </c>
      <c r="BV95" s="128">
        <f t="shared" si="60"/>
        <v>83.737334160852384</v>
      </c>
      <c r="BW95" s="128">
        <f t="shared" si="243"/>
        <v>115725.36779816085</v>
      </c>
      <c r="BY95" s="130">
        <f t="shared" si="244"/>
        <v>3.1E-2</v>
      </c>
      <c r="BZ95" s="127">
        <f t="shared" si="235"/>
        <v>1158</v>
      </c>
      <c r="CA95" s="128">
        <f t="shared" si="236"/>
        <v>115696.20000000001</v>
      </c>
      <c r="CB95" s="128">
        <f t="shared" si="154"/>
        <v>115800</v>
      </c>
      <c r="CC95" s="128">
        <f t="shared" si="131"/>
        <v>115800</v>
      </c>
      <c r="CD95" s="130">
        <f t="shared" si="186"/>
        <v>4.7500000000000001E-2</v>
      </c>
      <c r="CE95" s="128">
        <f t="shared" si="187"/>
        <v>117633.5</v>
      </c>
      <c r="CF95" s="128" t="str">
        <f t="shared" si="188"/>
        <v>nie</v>
      </c>
      <c r="CG95" s="128">
        <f t="shared" si="189"/>
        <v>1833.5</v>
      </c>
      <c r="CH95" s="128">
        <f t="shared" si="160"/>
        <v>115800</v>
      </c>
      <c r="CI95" s="128">
        <f t="shared" si="190"/>
        <v>0</v>
      </c>
      <c r="CJ95" s="130">
        <f t="shared" si="68"/>
        <v>3.5999999999999997E-2</v>
      </c>
      <c r="CK95" s="128">
        <f t="shared" si="191"/>
        <v>14.329461524136503</v>
      </c>
      <c r="CL95" s="128">
        <f t="shared" si="192"/>
        <v>115814.32946152413</v>
      </c>
      <c r="CN95" s="127">
        <f t="shared" si="237"/>
        <v>1000</v>
      </c>
      <c r="CO95" s="128">
        <f t="shared" si="238"/>
        <v>100000</v>
      </c>
      <c r="CP95" s="128">
        <f t="shared" si="134"/>
        <v>100000</v>
      </c>
      <c r="CQ95" s="128">
        <f t="shared" si="239"/>
        <v>122304.57083284999</v>
      </c>
      <c r="CR95" s="130">
        <f t="shared" si="193"/>
        <v>5.1000000000000004E-2</v>
      </c>
      <c r="CS95" s="128">
        <f t="shared" si="194"/>
        <v>124383.74853700843</v>
      </c>
      <c r="CT95" s="128" t="str">
        <f t="shared" si="195"/>
        <v>nie</v>
      </c>
      <c r="CU95" s="128">
        <f t="shared" si="196"/>
        <v>3000</v>
      </c>
      <c r="CV95" s="128">
        <f t="shared" si="197"/>
        <v>117320.83631497683</v>
      </c>
      <c r="CW95" s="128">
        <f t="shared" si="76"/>
        <v>0</v>
      </c>
      <c r="CX95" s="130">
        <f t="shared" si="198"/>
        <v>3.5999999999999997E-2</v>
      </c>
      <c r="CY95" s="128">
        <f t="shared" si="199"/>
        <v>0</v>
      </c>
      <c r="CZ95" s="128">
        <f t="shared" si="200"/>
        <v>117320.83631497683</v>
      </c>
      <c r="DA95" s="20"/>
      <c r="DB95" s="127">
        <f t="shared" si="144"/>
        <v>1000</v>
      </c>
      <c r="DC95" s="128">
        <f t="shared" si="145"/>
        <v>100000</v>
      </c>
      <c r="DD95" s="128">
        <f t="shared" si="136"/>
        <v>100000</v>
      </c>
      <c r="DE95" s="128">
        <f t="shared" si="240"/>
        <v>121898.24335499998</v>
      </c>
      <c r="DF95" s="130">
        <f t="shared" si="201"/>
        <v>5.1000000000000004E-2</v>
      </c>
      <c r="DG95" s="128">
        <f t="shared" si="202"/>
        <v>123970.51349203497</v>
      </c>
      <c r="DH95" s="128" t="str">
        <f t="shared" si="203"/>
        <v>nie</v>
      </c>
      <c r="DI95" s="128">
        <f t="shared" si="204"/>
        <v>2000</v>
      </c>
      <c r="DJ95" s="128">
        <f t="shared" si="205"/>
        <v>117796.11592854833</v>
      </c>
      <c r="DK95" s="128">
        <f t="shared" si="85"/>
        <v>0</v>
      </c>
      <c r="DL95" s="130">
        <f t="shared" si="206"/>
        <v>3.5999999999999997E-2</v>
      </c>
      <c r="DM95" s="128">
        <f t="shared" si="207"/>
        <v>0</v>
      </c>
      <c r="DN95" s="128">
        <f t="shared" si="208"/>
        <v>117796.11592854833</v>
      </c>
      <c r="DP95" s="127">
        <f t="shared" si="146"/>
        <v>1000</v>
      </c>
      <c r="DQ95" s="128">
        <f t="shared" si="147"/>
        <v>100000</v>
      </c>
      <c r="DR95" s="128">
        <f t="shared" si="138"/>
        <v>100000</v>
      </c>
      <c r="DS95" s="128">
        <f t="shared" si="241"/>
        <v>124352.82984960002</v>
      </c>
      <c r="DT95" s="130">
        <f t="shared" si="209"/>
        <v>5.6000000000000001E-2</v>
      </c>
      <c r="DU95" s="128">
        <f t="shared" si="210"/>
        <v>126674.08267345921</v>
      </c>
      <c r="DV95" s="128" t="str">
        <f t="shared" si="211"/>
        <v>nie</v>
      </c>
      <c r="DW95" s="128">
        <f t="shared" si="212"/>
        <v>3000</v>
      </c>
      <c r="DX95" s="128">
        <f t="shared" si="93"/>
        <v>119176.00696550196</v>
      </c>
      <c r="DY95" s="128">
        <f t="shared" si="94"/>
        <v>0</v>
      </c>
      <c r="DZ95" s="130">
        <f t="shared" si="213"/>
        <v>3.5999999999999997E-2</v>
      </c>
      <c r="EA95" s="128">
        <f t="shared" si="214"/>
        <v>0</v>
      </c>
      <c r="EB95" s="128">
        <f t="shared" si="215"/>
        <v>119176.00696550196</v>
      </c>
    </row>
    <row r="96" spans="1:134">
      <c r="A96" s="212"/>
      <c r="B96" s="188">
        <f t="shared" si="216"/>
        <v>52</v>
      </c>
      <c r="C96" s="128">
        <f t="shared" si="217"/>
        <v>115389.66737869104</v>
      </c>
      <c r="D96" s="128">
        <f t="shared" si="218"/>
        <v>114869.09514644626</v>
      </c>
      <c r="E96" s="128">
        <f t="shared" si="219"/>
        <v>115725.36779816085</v>
      </c>
      <c r="F96" s="128">
        <f t="shared" si="220"/>
        <v>115814.32946152413</v>
      </c>
      <c r="G96" s="128">
        <f t="shared" si="221"/>
        <v>117320.83631497683</v>
      </c>
      <c r="H96" s="128">
        <f t="shared" si="222"/>
        <v>117796.11592854833</v>
      </c>
      <c r="I96" s="128">
        <f t="shared" si="223"/>
        <v>119176.00696550196</v>
      </c>
      <c r="J96" s="128">
        <f t="shared" si="224"/>
        <v>113451.66723081851</v>
      </c>
      <c r="K96" s="128">
        <f t="shared" si="225"/>
        <v>114156.157709205</v>
      </c>
      <c r="M96" s="36"/>
      <c r="N96" s="32">
        <f t="shared" si="226"/>
        <v>52</v>
      </c>
      <c r="O96" s="25">
        <f t="shared" si="109"/>
        <v>0.1538966737869103</v>
      </c>
      <c r="P96" s="25">
        <f t="shared" si="110"/>
        <v>0.14869095146446254</v>
      </c>
      <c r="Q96" s="25">
        <f t="shared" si="111"/>
        <v>0.1572536779816085</v>
      </c>
      <c r="R96" s="25">
        <f t="shared" si="161"/>
        <v>0.15814329461524124</v>
      </c>
      <c r="S96" s="25">
        <f t="shared" si="162"/>
        <v>0.17320836314976829</v>
      </c>
      <c r="T96" s="25">
        <f t="shared" si="163"/>
        <v>0.17796115928548328</v>
      </c>
      <c r="U96" s="25">
        <f t="shared" si="164"/>
        <v>0.19176006965501968</v>
      </c>
      <c r="V96" s="25">
        <f t="shared" si="165"/>
        <v>0.13451667230818498</v>
      </c>
      <c r="W96" s="25">
        <f t="shared" si="166"/>
        <v>0.14156157709204997</v>
      </c>
      <c r="X96" s="36"/>
      <c r="Y96" s="36"/>
      <c r="AA96" s="124">
        <f t="shared" si="113"/>
        <v>53</v>
      </c>
      <c r="AB96" s="128">
        <f t="shared" si="167"/>
        <v>114448.04494848127</v>
      </c>
      <c r="AC96" s="124">
        <f t="shared" si="114"/>
        <v>53</v>
      </c>
      <c r="AD96" s="130">
        <f t="shared" si="227"/>
        <v>3.7499999999999999E-2</v>
      </c>
      <c r="AE96" s="127">
        <f t="shared" si="228"/>
        <v>1146</v>
      </c>
      <c r="AF96" s="128">
        <f t="shared" si="229"/>
        <v>114488.90000000001</v>
      </c>
      <c r="AG96" s="128">
        <f t="shared" si="140"/>
        <v>114600</v>
      </c>
      <c r="AH96" s="128">
        <f t="shared" si="118"/>
        <v>114600</v>
      </c>
      <c r="AI96" s="130">
        <f t="shared" si="168"/>
        <v>3.7499999999999999E-2</v>
      </c>
      <c r="AJ96" s="128">
        <f t="shared" si="169"/>
        <v>114958.125</v>
      </c>
      <c r="AK96" s="128" t="str">
        <f t="shared" si="170"/>
        <v>nie</v>
      </c>
      <c r="AL96" s="128">
        <f t="shared" si="171"/>
        <v>573</v>
      </c>
      <c r="AM96" s="128">
        <f t="shared" si="150"/>
        <v>114425.95125</v>
      </c>
      <c r="AN96" s="128">
        <f t="shared" si="172"/>
        <v>290.08125000000001</v>
      </c>
      <c r="AO96" s="130">
        <f t="shared" si="173"/>
        <v>3.5999999999999997E-2</v>
      </c>
      <c r="AP96" s="128">
        <f t="shared" si="174"/>
        <v>1546.9253563212535</v>
      </c>
      <c r="AQ96" s="128">
        <f t="shared" si="156"/>
        <v>115682.79535632125</v>
      </c>
      <c r="AS96" s="124">
        <f t="shared" si="119"/>
        <v>53</v>
      </c>
      <c r="AT96" s="130">
        <f t="shared" si="120"/>
        <v>3.7499999999999999E-2</v>
      </c>
      <c r="AU96" s="127">
        <f t="shared" si="230"/>
        <v>1142</v>
      </c>
      <c r="AV96" s="128">
        <f t="shared" si="231"/>
        <v>114092.8</v>
      </c>
      <c r="AW96" s="128">
        <f t="shared" si="151"/>
        <v>114200</v>
      </c>
      <c r="AX96" s="128">
        <f t="shared" si="123"/>
        <v>114200</v>
      </c>
      <c r="AY96" s="130">
        <f t="shared" si="175"/>
        <v>3.9E-2</v>
      </c>
      <c r="AZ96" s="128">
        <f t="shared" si="176"/>
        <v>114571.15</v>
      </c>
      <c r="BA96" s="128" t="str">
        <f t="shared" si="177"/>
        <v>nie</v>
      </c>
      <c r="BB96" s="128">
        <f t="shared" si="178"/>
        <v>799.4</v>
      </c>
      <c r="BC96" s="128">
        <f t="shared" si="158"/>
        <v>113853.11750000001</v>
      </c>
      <c r="BD96" s="128">
        <f t="shared" si="179"/>
        <v>300.6314999999953</v>
      </c>
      <c r="BE96" s="130">
        <f t="shared" si="51"/>
        <v>3.5999999999999997E-2</v>
      </c>
      <c r="BF96" s="128">
        <f t="shared" si="180"/>
        <v>1620.4400066720964</v>
      </c>
      <c r="BG96" s="128">
        <f t="shared" si="159"/>
        <v>115172.9260066721</v>
      </c>
      <c r="BI96" s="124">
        <f t="shared" si="124"/>
        <v>53</v>
      </c>
      <c r="BJ96" s="130">
        <f t="shared" si="242"/>
        <v>3.9100000000000003E-2</v>
      </c>
      <c r="BK96" s="127">
        <f t="shared" si="232"/>
        <v>1112</v>
      </c>
      <c r="BL96" s="128">
        <f t="shared" si="233"/>
        <v>111088.8</v>
      </c>
      <c r="BM96" s="128">
        <f t="shared" si="142"/>
        <v>111200</v>
      </c>
      <c r="BN96" s="128">
        <f t="shared" si="234"/>
        <v>116092.8</v>
      </c>
      <c r="BO96" s="130">
        <f t="shared" si="181"/>
        <v>4.3999999999999997E-2</v>
      </c>
      <c r="BP96" s="128">
        <f t="shared" si="182"/>
        <v>118221.16800000001</v>
      </c>
      <c r="BQ96" s="128" t="str">
        <f t="shared" si="183"/>
        <v>nie</v>
      </c>
      <c r="BR96" s="128">
        <f t="shared" si="184"/>
        <v>1112</v>
      </c>
      <c r="BS96" s="128">
        <f t="shared" si="153"/>
        <v>115986.42608</v>
      </c>
      <c r="BT96" s="128">
        <f t="shared" si="128"/>
        <v>0</v>
      </c>
      <c r="BU96" s="130">
        <f t="shared" si="185"/>
        <v>3.5999999999999997E-2</v>
      </c>
      <c r="BV96" s="128">
        <f t="shared" si="60"/>
        <v>83.940815882863248</v>
      </c>
      <c r="BW96" s="128">
        <f t="shared" si="243"/>
        <v>116070.36689588286</v>
      </c>
      <c r="BY96" s="130">
        <f t="shared" si="244"/>
        <v>3.1E-2</v>
      </c>
      <c r="BZ96" s="127">
        <f t="shared" si="235"/>
        <v>1158</v>
      </c>
      <c r="CA96" s="128">
        <f t="shared" si="236"/>
        <v>115696.20000000001</v>
      </c>
      <c r="CB96" s="128">
        <f t="shared" si="154"/>
        <v>115800</v>
      </c>
      <c r="CC96" s="128">
        <f t="shared" si="131"/>
        <v>115800</v>
      </c>
      <c r="CD96" s="130">
        <f t="shared" si="186"/>
        <v>4.7500000000000001E-2</v>
      </c>
      <c r="CE96" s="128">
        <f t="shared" si="187"/>
        <v>118091.875</v>
      </c>
      <c r="CF96" s="128" t="str">
        <f t="shared" si="188"/>
        <v>nie</v>
      </c>
      <c r="CG96" s="128">
        <f t="shared" si="189"/>
        <v>2291.875</v>
      </c>
      <c r="CH96" s="128">
        <f t="shared" si="160"/>
        <v>115800</v>
      </c>
      <c r="CI96" s="128">
        <f t="shared" si="190"/>
        <v>0</v>
      </c>
      <c r="CJ96" s="130">
        <f t="shared" si="68"/>
        <v>3.5999999999999997E-2</v>
      </c>
      <c r="CK96" s="128">
        <f t="shared" si="191"/>
        <v>14.364282115640155</v>
      </c>
      <c r="CL96" s="128">
        <f t="shared" si="192"/>
        <v>115814.36428211564</v>
      </c>
      <c r="CN96" s="127">
        <f t="shared" si="237"/>
        <v>1000</v>
      </c>
      <c r="CO96" s="128">
        <f t="shared" si="238"/>
        <v>100000</v>
      </c>
      <c r="CP96" s="128">
        <f t="shared" si="134"/>
        <v>100000</v>
      </c>
      <c r="CQ96" s="128">
        <f t="shared" si="239"/>
        <v>122304.57083284999</v>
      </c>
      <c r="CR96" s="130">
        <f t="shared" si="193"/>
        <v>5.1000000000000004E-2</v>
      </c>
      <c r="CS96" s="128">
        <f t="shared" si="194"/>
        <v>124903.54296304805</v>
      </c>
      <c r="CT96" s="128" t="str">
        <f t="shared" si="195"/>
        <v>nie</v>
      </c>
      <c r="CU96" s="128">
        <f t="shared" si="196"/>
        <v>3000</v>
      </c>
      <c r="CV96" s="128">
        <f t="shared" si="197"/>
        <v>117741.86980006892</v>
      </c>
      <c r="CW96" s="128">
        <f t="shared" si="76"/>
        <v>0</v>
      </c>
      <c r="CX96" s="130">
        <f t="shared" si="198"/>
        <v>3.5999999999999997E-2</v>
      </c>
      <c r="CY96" s="128">
        <f t="shared" si="199"/>
        <v>0</v>
      </c>
      <c r="CZ96" s="128">
        <f t="shared" si="200"/>
        <v>117741.86980006892</v>
      </c>
      <c r="DA96" s="20"/>
      <c r="DB96" s="127">
        <f t="shared" si="144"/>
        <v>1000</v>
      </c>
      <c r="DC96" s="128">
        <f t="shared" si="145"/>
        <v>100000</v>
      </c>
      <c r="DD96" s="128">
        <f t="shared" si="136"/>
        <v>100000</v>
      </c>
      <c r="DE96" s="128">
        <f t="shared" si="240"/>
        <v>121898.24335499998</v>
      </c>
      <c r="DF96" s="130">
        <f t="shared" si="201"/>
        <v>5.1000000000000004E-2</v>
      </c>
      <c r="DG96" s="128">
        <f t="shared" si="202"/>
        <v>124488.58102629373</v>
      </c>
      <c r="DH96" s="128" t="str">
        <f t="shared" si="203"/>
        <v>nie</v>
      </c>
      <c r="DI96" s="128">
        <f t="shared" si="204"/>
        <v>2000</v>
      </c>
      <c r="DJ96" s="128">
        <f t="shared" si="205"/>
        <v>118215.75063129792</v>
      </c>
      <c r="DK96" s="128">
        <f t="shared" si="85"/>
        <v>0</v>
      </c>
      <c r="DL96" s="130">
        <f t="shared" si="206"/>
        <v>3.5999999999999997E-2</v>
      </c>
      <c r="DM96" s="128">
        <f t="shared" si="207"/>
        <v>0</v>
      </c>
      <c r="DN96" s="128">
        <f t="shared" si="208"/>
        <v>118215.75063129792</v>
      </c>
      <c r="DP96" s="127">
        <f t="shared" si="146"/>
        <v>1000</v>
      </c>
      <c r="DQ96" s="128">
        <f t="shared" si="147"/>
        <v>100000</v>
      </c>
      <c r="DR96" s="128">
        <f t="shared" si="138"/>
        <v>100000</v>
      </c>
      <c r="DS96" s="128">
        <f t="shared" si="241"/>
        <v>124352.82984960002</v>
      </c>
      <c r="DT96" s="130">
        <f t="shared" si="209"/>
        <v>5.6000000000000001E-2</v>
      </c>
      <c r="DU96" s="128">
        <f t="shared" si="210"/>
        <v>127254.39587942403</v>
      </c>
      <c r="DV96" s="128" t="str">
        <f t="shared" si="211"/>
        <v>nie</v>
      </c>
      <c r="DW96" s="128">
        <f t="shared" si="212"/>
        <v>3000</v>
      </c>
      <c r="DX96" s="128">
        <f t="shared" si="93"/>
        <v>119646.06066233346</v>
      </c>
      <c r="DY96" s="128">
        <f t="shared" si="94"/>
        <v>0</v>
      </c>
      <c r="DZ96" s="130">
        <f t="shared" si="213"/>
        <v>3.5999999999999997E-2</v>
      </c>
      <c r="EA96" s="128">
        <f t="shared" si="214"/>
        <v>0</v>
      </c>
      <c r="EB96" s="128">
        <f t="shared" si="215"/>
        <v>119646.06066233346</v>
      </c>
    </row>
    <row r="97" spans="1:132">
      <c r="A97" s="212"/>
      <c r="B97" s="188">
        <f t="shared" si="216"/>
        <v>53</v>
      </c>
      <c r="C97" s="128">
        <f t="shared" si="217"/>
        <v>115682.79535632125</v>
      </c>
      <c r="D97" s="128">
        <f t="shared" si="218"/>
        <v>115172.9260066721</v>
      </c>
      <c r="E97" s="128">
        <f t="shared" si="219"/>
        <v>116070.36689588286</v>
      </c>
      <c r="F97" s="128">
        <f t="shared" si="220"/>
        <v>115814.36428211564</v>
      </c>
      <c r="G97" s="128">
        <f t="shared" si="221"/>
        <v>117741.86980006892</v>
      </c>
      <c r="H97" s="128">
        <f t="shared" si="222"/>
        <v>118215.75063129792</v>
      </c>
      <c r="I97" s="128">
        <f t="shared" si="223"/>
        <v>119646.06066233346</v>
      </c>
      <c r="J97" s="128">
        <f t="shared" si="224"/>
        <v>113727.35478218939</v>
      </c>
      <c r="K97" s="128">
        <f t="shared" si="225"/>
        <v>114448.04494848127</v>
      </c>
      <c r="M97" s="36"/>
      <c r="N97" s="32">
        <f t="shared" si="226"/>
        <v>53</v>
      </c>
      <c r="O97" s="25">
        <f t="shared" si="109"/>
        <v>0.15682795356321244</v>
      </c>
      <c r="P97" s="25">
        <f t="shared" si="110"/>
        <v>0.15172926006672105</v>
      </c>
      <c r="Q97" s="25">
        <f t="shared" si="111"/>
        <v>0.16070366895882859</v>
      </c>
      <c r="R97" s="25">
        <f t="shared" si="161"/>
        <v>0.15814364282115645</v>
      </c>
      <c r="S97" s="25">
        <f t="shared" si="162"/>
        <v>0.1774186980006891</v>
      </c>
      <c r="T97" s="25">
        <f t="shared" si="163"/>
        <v>0.18215750631297922</v>
      </c>
      <c r="U97" s="25">
        <f t="shared" si="164"/>
        <v>0.19646060662333453</v>
      </c>
      <c r="V97" s="25">
        <f t="shared" si="165"/>
        <v>0.13727354782189383</v>
      </c>
      <c r="W97" s="25">
        <f t="shared" si="166"/>
        <v>0.14448044948481265</v>
      </c>
      <c r="X97" s="36"/>
      <c r="Y97" s="36"/>
      <c r="AA97" s="124">
        <f t="shared" si="113"/>
        <v>54</v>
      </c>
      <c r="AB97" s="128">
        <f t="shared" si="167"/>
        <v>114739.93218775753</v>
      </c>
      <c r="AC97" s="124">
        <f t="shared" si="114"/>
        <v>54</v>
      </c>
      <c r="AD97" s="130">
        <f t="shared" si="227"/>
        <v>3.7499999999999999E-2</v>
      </c>
      <c r="AE97" s="127">
        <f t="shared" si="228"/>
        <v>1146</v>
      </c>
      <c r="AF97" s="128">
        <f t="shared" si="229"/>
        <v>114488.90000000001</v>
      </c>
      <c r="AG97" s="128">
        <f t="shared" si="140"/>
        <v>114600</v>
      </c>
      <c r="AH97" s="128">
        <f t="shared" si="118"/>
        <v>114600</v>
      </c>
      <c r="AI97" s="130">
        <f t="shared" si="168"/>
        <v>3.7499999999999999E-2</v>
      </c>
      <c r="AJ97" s="128">
        <f t="shared" si="169"/>
        <v>114958.125</v>
      </c>
      <c r="AK97" s="128" t="str">
        <f t="shared" si="170"/>
        <v>nie</v>
      </c>
      <c r="AL97" s="128">
        <f t="shared" si="171"/>
        <v>573</v>
      </c>
      <c r="AM97" s="128">
        <f t="shared" si="150"/>
        <v>114425.95125</v>
      </c>
      <c r="AN97" s="128">
        <f t="shared" si="172"/>
        <v>290.08125000000001</v>
      </c>
      <c r="AO97" s="130">
        <f t="shared" si="173"/>
        <v>3.5999999999999997E-2</v>
      </c>
      <c r="AP97" s="128">
        <f t="shared" si="174"/>
        <v>1840.7656349371141</v>
      </c>
      <c r="AQ97" s="128">
        <f t="shared" si="156"/>
        <v>115976.63563493711</v>
      </c>
      <c r="AS97" s="124">
        <f t="shared" si="119"/>
        <v>54</v>
      </c>
      <c r="AT97" s="130">
        <f t="shared" si="120"/>
        <v>3.7499999999999999E-2</v>
      </c>
      <c r="AU97" s="127">
        <f t="shared" si="230"/>
        <v>1142</v>
      </c>
      <c r="AV97" s="128">
        <f t="shared" si="231"/>
        <v>114092.8</v>
      </c>
      <c r="AW97" s="128">
        <f t="shared" si="151"/>
        <v>114200</v>
      </c>
      <c r="AX97" s="128">
        <f t="shared" si="123"/>
        <v>114200</v>
      </c>
      <c r="AY97" s="130">
        <f t="shared" si="175"/>
        <v>3.9E-2</v>
      </c>
      <c r="AZ97" s="128">
        <f t="shared" si="176"/>
        <v>114571.15</v>
      </c>
      <c r="BA97" s="128" t="str">
        <f t="shared" si="177"/>
        <v>nie</v>
      </c>
      <c r="BB97" s="128">
        <f t="shared" si="178"/>
        <v>799.4</v>
      </c>
      <c r="BC97" s="128">
        <f t="shared" si="158"/>
        <v>113853.11750000001</v>
      </c>
      <c r="BD97" s="128">
        <f t="shared" si="179"/>
        <v>300.6314999999953</v>
      </c>
      <c r="BE97" s="130">
        <f t="shared" si="51"/>
        <v>3.5999999999999997E-2</v>
      </c>
      <c r="BF97" s="128">
        <f t="shared" si="180"/>
        <v>1925.009175888305</v>
      </c>
      <c r="BG97" s="128">
        <f t="shared" si="159"/>
        <v>115477.49517588831</v>
      </c>
      <c r="BI97" s="124">
        <f t="shared" si="124"/>
        <v>54</v>
      </c>
      <c r="BJ97" s="130">
        <f t="shared" si="242"/>
        <v>3.9100000000000003E-2</v>
      </c>
      <c r="BK97" s="127">
        <f t="shared" si="232"/>
        <v>1112</v>
      </c>
      <c r="BL97" s="128">
        <f t="shared" si="233"/>
        <v>111088.8</v>
      </c>
      <c r="BM97" s="128">
        <f t="shared" si="142"/>
        <v>111200</v>
      </c>
      <c r="BN97" s="128">
        <f t="shared" si="234"/>
        <v>116092.8</v>
      </c>
      <c r="BO97" s="130">
        <f t="shared" si="181"/>
        <v>4.3999999999999997E-2</v>
      </c>
      <c r="BP97" s="128">
        <f t="shared" si="182"/>
        <v>118646.8416</v>
      </c>
      <c r="BQ97" s="128" t="str">
        <f t="shared" si="183"/>
        <v>nie</v>
      </c>
      <c r="BR97" s="128">
        <f t="shared" si="184"/>
        <v>1112</v>
      </c>
      <c r="BS97" s="128">
        <f t="shared" si="153"/>
        <v>116331.22169599999</v>
      </c>
      <c r="BT97" s="128">
        <f t="shared" si="128"/>
        <v>0</v>
      </c>
      <c r="BU97" s="130">
        <f t="shared" si="185"/>
        <v>3.5999999999999997E-2</v>
      </c>
      <c r="BV97" s="128">
        <f t="shared" si="60"/>
        <v>84.144792065458603</v>
      </c>
      <c r="BW97" s="128">
        <f t="shared" si="243"/>
        <v>116415.36648806545</v>
      </c>
      <c r="BY97" s="130">
        <f t="shared" si="244"/>
        <v>3.1E-2</v>
      </c>
      <c r="BZ97" s="127">
        <f t="shared" si="235"/>
        <v>1158</v>
      </c>
      <c r="CA97" s="128">
        <f t="shared" si="236"/>
        <v>115696.20000000001</v>
      </c>
      <c r="CB97" s="128">
        <f t="shared" si="154"/>
        <v>115800</v>
      </c>
      <c r="CC97" s="128">
        <f t="shared" si="131"/>
        <v>115800</v>
      </c>
      <c r="CD97" s="130">
        <f t="shared" si="186"/>
        <v>4.7500000000000001E-2</v>
      </c>
      <c r="CE97" s="128">
        <f t="shared" si="187"/>
        <v>118550.25</v>
      </c>
      <c r="CF97" s="128" t="str">
        <f t="shared" si="188"/>
        <v>nie</v>
      </c>
      <c r="CG97" s="128">
        <f t="shared" si="189"/>
        <v>2316</v>
      </c>
      <c r="CH97" s="128">
        <f t="shared" si="160"/>
        <v>116151.74249999999</v>
      </c>
      <c r="CI97" s="128">
        <f t="shared" si="190"/>
        <v>0</v>
      </c>
      <c r="CJ97" s="130">
        <f t="shared" si="68"/>
        <v>3.5999999999999997E-2</v>
      </c>
      <c r="CK97" s="128">
        <f t="shared" si="191"/>
        <v>14.399187321181159</v>
      </c>
      <c r="CL97" s="128">
        <f t="shared" si="192"/>
        <v>116166.14168732117</v>
      </c>
      <c r="CN97" s="127">
        <f t="shared" si="237"/>
        <v>1000</v>
      </c>
      <c r="CO97" s="128">
        <f t="shared" si="238"/>
        <v>100000</v>
      </c>
      <c r="CP97" s="128">
        <f t="shared" si="134"/>
        <v>100000</v>
      </c>
      <c r="CQ97" s="128">
        <f t="shared" si="239"/>
        <v>122304.57083284999</v>
      </c>
      <c r="CR97" s="130">
        <f t="shared" si="193"/>
        <v>5.1000000000000004E-2</v>
      </c>
      <c r="CS97" s="128">
        <f t="shared" si="194"/>
        <v>125423.33738908767</v>
      </c>
      <c r="CT97" s="128" t="str">
        <f t="shared" si="195"/>
        <v>nie</v>
      </c>
      <c r="CU97" s="128">
        <f t="shared" si="196"/>
        <v>3000</v>
      </c>
      <c r="CV97" s="128">
        <f t="shared" si="197"/>
        <v>118162.90328516101</v>
      </c>
      <c r="CW97" s="128">
        <f t="shared" si="76"/>
        <v>0</v>
      </c>
      <c r="CX97" s="130">
        <f t="shared" si="198"/>
        <v>3.5999999999999997E-2</v>
      </c>
      <c r="CY97" s="128">
        <f t="shared" si="199"/>
        <v>0</v>
      </c>
      <c r="CZ97" s="128">
        <f t="shared" si="200"/>
        <v>118162.90328516101</v>
      </c>
      <c r="DA97" s="20"/>
      <c r="DB97" s="127">
        <f t="shared" si="144"/>
        <v>1000</v>
      </c>
      <c r="DC97" s="128">
        <f t="shared" si="145"/>
        <v>100000</v>
      </c>
      <c r="DD97" s="128">
        <f t="shared" si="136"/>
        <v>100000</v>
      </c>
      <c r="DE97" s="128">
        <f t="shared" si="240"/>
        <v>121898.24335499998</v>
      </c>
      <c r="DF97" s="130">
        <f t="shared" si="201"/>
        <v>5.1000000000000004E-2</v>
      </c>
      <c r="DG97" s="128">
        <f t="shared" si="202"/>
        <v>125006.64856055249</v>
      </c>
      <c r="DH97" s="128" t="str">
        <f t="shared" si="203"/>
        <v>nie</v>
      </c>
      <c r="DI97" s="128">
        <f t="shared" si="204"/>
        <v>2000</v>
      </c>
      <c r="DJ97" s="128">
        <f t="shared" si="205"/>
        <v>118635.38533404752</v>
      </c>
      <c r="DK97" s="128">
        <f t="shared" si="85"/>
        <v>0</v>
      </c>
      <c r="DL97" s="130">
        <f t="shared" si="206"/>
        <v>3.5999999999999997E-2</v>
      </c>
      <c r="DM97" s="128">
        <f t="shared" si="207"/>
        <v>0</v>
      </c>
      <c r="DN97" s="128">
        <f t="shared" si="208"/>
        <v>118635.38533404752</v>
      </c>
      <c r="DP97" s="127">
        <f t="shared" si="146"/>
        <v>1000</v>
      </c>
      <c r="DQ97" s="128">
        <f t="shared" si="147"/>
        <v>100000</v>
      </c>
      <c r="DR97" s="128">
        <f t="shared" si="138"/>
        <v>100000</v>
      </c>
      <c r="DS97" s="128">
        <f t="shared" si="241"/>
        <v>124352.82984960002</v>
      </c>
      <c r="DT97" s="130">
        <f t="shared" si="209"/>
        <v>5.6000000000000001E-2</v>
      </c>
      <c r="DU97" s="128">
        <f t="shared" si="210"/>
        <v>127834.70908538882</v>
      </c>
      <c r="DV97" s="128" t="str">
        <f t="shared" si="211"/>
        <v>nie</v>
      </c>
      <c r="DW97" s="128">
        <f t="shared" si="212"/>
        <v>3000</v>
      </c>
      <c r="DX97" s="128">
        <f t="shared" si="93"/>
        <v>120116.11435916495</v>
      </c>
      <c r="DY97" s="128">
        <f t="shared" si="94"/>
        <v>0</v>
      </c>
      <c r="DZ97" s="130">
        <f t="shared" si="213"/>
        <v>3.5999999999999997E-2</v>
      </c>
      <c r="EA97" s="128">
        <f t="shared" si="214"/>
        <v>0</v>
      </c>
      <c r="EB97" s="128">
        <f t="shared" si="215"/>
        <v>120116.11435916495</v>
      </c>
    </row>
    <row r="98" spans="1:132">
      <c r="A98" s="212"/>
      <c r="B98" s="188">
        <f t="shared" si="216"/>
        <v>54</v>
      </c>
      <c r="C98" s="128">
        <f t="shared" si="217"/>
        <v>115976.63563493711</v>
      </c>
      <c r="D98" s="128">
        <f t="shared" si="218"/>
        <v>115477.49517588831</v>
      </c>
      <c r="E98" s="128">
        <f t="shared" si="219"/>
        <v>116415.36648806545</v>
      </c>
      <c r="F98" s="128">
        <f t="shared" si="220"/>
        <v>116166.14168732117</v>
      </c>
      <c r="G98" s="128">
        <f t="shared" si="221"/>
        <v>118162.90328516101</v>
      </c>
      <c r="H98" s="128">
        <f t="shared" si="222"/>
        <v>118635.38533404752</v>
      </c>
      <c r="I98" s="128">
        <f t="shared" si="223"/>
        <v>120116.11435916495</v>
      </c>
      <c r="J98" s="128">
        <f t="shared" si="224"/>
        <v>114003.7122543101</v>
      </c>
      <c r="K98" s="128">
        <f t="shared" si="225"/>
        <v>114739.93218775753</v>
      </c>
      <c r="M98" s="36"/>
      <c r="N98" s="32">
        <f t="shared" si="226"/>
        <v>54</v>
      </c>
      <c r="O98" s="25">
        <f t="shared" si="109"/>
        <v>0.15976635634937097</v>
      </c>
      <c r="P98" s="25">
        <f t="shared" si="110"/>
        <v>0.15477495175888301</v>
      </c>
      <c r="Q98" s="25">
        <f t="shared" si="111"/>
        <v>0.16415366488065453</v>
      </c>
      <c r="R98" s="25">
        <f t="shared" si="161"/>
        <v>0.16166141687321178</v>
      </c>
      <c r="S98" s="25">
        <f t="shared" si="162"/>
        <v>0.18162903285161014</v>
      </c>
      <c r="T98" s="25">
        <f t="shared" si="163"/>
        <v>0.18635385334047516</v>
      </c>
      <c r="U98" s="25">
        <f t="shared" si="164"/>
        <v>0.20116114359164938</v>
      </c>
      <c r="V98" s="25">
        <f t="shared" si="165"/>
        <v>0.14003712254310097</v>
      </c>
      <c r="W98" s="25">
        <f t="shared" si="166"/>
        <v>0.14739932187757532</v>
      </c>
      <c r="X98" s="36"/>
      <c r="Y98" s="36"/>
      <c r="AA98" s="124">
        <f t="shared" si="113"/>
        <v>55</v>
      </c>
      <c r="AB98" s="128">
        <f t="shared" si="167"/>
        <v>115031.81942703377</v>
      </c>
      <c r="AC98" s="124">
        <f t="shared" si="114"/>
        <v>55</v>
      </c>
      <c r="AD98" s="130">
        <f t="shared" si="227"/>
        <v>3.7499999999999999E-2</v>
      </c>
      <c r="AE98" s="127">
        <f t="shared" si="228"/>
        <v>1146</v>
      </c>
      <c r="AF98" s="128">
        <f t="shared" si="229"/>
        <v>114488.90000000001</v>
      </c>
      <c r="AG98" s="128">
        <f t="shared" si="140"/>
        <v>114600</v>
      </c>
      <c r="AH98" s="128">
        <f t="shared" si="118"/>
        <v>114600</v>
      </c>
      <c r="AI98" s="130">
        <f t="shared" si="168"/>
        <v>3.7499999999999999E-2</v>
      </c>
      <c r="AJ98" s="128">
        <f t="shared" si="169"/>
        <v>114958.125</v>
      </c>
      <c r="AK98" s="128" t="str">
        <f t="shared" si="170"/>
        <v>nie</v>
      </c>
      <c r="AL98" s="128">
        <f t="shared" si="171"/>
        <v>573</v>
      </c>
      <c r="AM98" s="128">
        <f t="shared" si="150"/>
        <v>114425.95125</v>
      </c>
      <c r="AN98" s="128">
        <f t="shared" si="172"/>
        <v>290.08125000000001</v>
      </c>
      <c r="AO98" s="130">
        <f t="shared" si="173"/>
        <v>3.5999999999999997E-2</v>
      </c>
      <c r="AP98" s="128">
        <f t="shared" si="174"/>
        <v>2135.3199454300111</v>
      </c>
      <c r="AQ98" s="128">
        <f t="shared" si="156"/>
        <v>116271.18994543001</v>
      </c>
      <c r="AS98" s="124">
        <f t="shared" si="119"/>
        <v>55</v>
      </c>
      <c r="AT98" s="130">
        <f t="shared" si="120"/>
        <v>3.7499999999999999E-2</v>
      </c>
      <c r="AU98" s="127">
        <f t="shared" si="230"/>
        <v>1142</v>
      </c>
      <c r="AV98" s="128">
        <f t="shared" si="231"/>
        <v>114092.8</v>
      </c>
      <c r="AW98" s="128">
        <f t="shared" si="151"/>
        <v>114200</v>
      </c>
      <c r="AX98" s="128">
        <f t="shared" si="123"/>
        <v>114200</v>
      </c>
      <c r="AY98" s="130">
        <f t="shared" si="175"/>
        <v>3.9E-2</v>
      </c>
      <c r="AZ98" s="128">
        <f t="shared" si="176"/>
        <v>114571.15</v>
      </c>
      <c r="BA98" s="128" t="str">
        <f t="shared" si="177"/>
        <v>nie</v>
      </c>
      <c r="BB98" s="128">
        <f t="shared" si="178"/>
        <v>799.4</v>
      </c>
      <c r="BC98" s="128">
        <f t="shared" si="158"/>
        <v>113853.11750000001</v>
      </c>
      <c r="BD98" s="128">
        <f t="shared" si="179"/>
        <v>300.6314999999953</v>
      </c>
      <c r="BE98" s="130">
        <f t="shared" si="51"/>
        <v>3.5999999999999997E-2</v>
      </c>
      <c r="BF98" s="128">
        <f t="shared" si="180"/>
        <v>2230.3184481857088</v>
      </c>
      <c r="BG98" s="128">
        <f t="shared" si="159"/>
        <v>115782.80444818572</v>
      </c>
      <c r="BI98" s="124">
        <f t="shared" si="124"/>
        <v>55</v>
      </c>
      <c r="BJ98" s="130">
        <f t="shared" si="242"/>
        <v>3.9100000000000003E-2</v>
      </c>
      <c r="BK98" s="127">
        <f t="shared" si="232"/>
        <v>1112</v>
      </c>
      <c r="BL98" s="128">
        <f t="shared" si="233"/>
        <v>111088.8</v>
      </c>
      <c r="BM98" s="128">
        <f t="shared" si="142"/>
        <v>111200</v>
      </c>
      <c r="BN98" s="128">
        <f t="shared" si="234"/>
        <v>116092.8</v>
      </c>
      <c r="BO98" s="130">
        <f t="shared" si="181"/>
        <v>4.3999999999999997E-2</v>
      </c>
      <c r="BP98" s="128">
        <f t="shared" si="182"/>
        <v>119072.51520000001</v>
      </c>
      <c r="BQ98" s="128" t="str">
        <f t="shared" si="183"/>
        <v>nie</v>
      </c>
      <c r="BR98" s="128">
        <f t="shared" si="184"/>
        <v>1112</v>
      </c>
      <c r="BS98" s="128">
        <f t="shared" si="153"/>
        <v>116676.01731200001</v>
      </c>
      <c r="BT98" s="128">
        <f t="shared" si="128"/>
        <v>0</v>
      </c>
      <c r="BU98" s="130">
        <f t="shared" si="185"/>
        <v>3.5999999999999997E-2</v>
      </c>
      <c r="BV98" s="128">
        <f t="shared" si="60"/>
        <v>84.349263910177655</v>
      </c>
      <c r="BW98" s="128">
        <f t="shared" si="243"/>
        <v>116760.36657591019</v>
      </c>
      <c r="BY98" s="130">
        <f t="shared" si="244"/>
        <v>3.1E-2</v>
      </c>
      <c r="BZ98" s="127">
        <f t="shared" si="235"/>
        <v>1158</v>
      </c>
      <c r="CA98" s="128">
        <f t="shared" si="236"/>
        <v>115696.20000000001</v>
      </c>
      <c r="CB98" s="128">
        <f t="shared" si="154"/>
        <v>115800</v>
      </c>
      <c r="CC98" s="128">
        <f t="shared" si="131"/>
        <v>115800</v>
      </c>
      <c r="CD98" s="130">
        <f t="shared" si="186"/>
        <v>4.7500000000000001E-2</v>
      </c>
      <c r="CE98" s="128">
        <f t="shared" si="187"/>
        <v>119008.62500000001</v>
      </c>
      <c r="CF98" s="128" t="str">
        <f t="shared" si="188"/>
        <v>nie</v>
      </c>
      <c r="CG98" s="128">
        <f t="shared" si="189"/>
        <v>2316</v>
      </c>
      <c r="CH98" s="128">
        <f t="shared" si="160"/>
        <v>116523.02625000001</v>
      </c>
      <c r="CI98" s="128">
        <f t="shared" si="190"/>
        <v>0</v>
      </c>
      <c r="CJ98" s="130">
        <f t="shared" si="68"/>
        <v>3.5999999999999997E-2</v>
      </c>
      <c r="CK98" s="128">
        <f t="shared" si="191"/>
        <v>14.434177346371628</v>
      </c>
      <c r="CL98" s="128">
        <f t="shared" si="192"/>
        <v>116537.46042734638</v>
      </c>
      <c r="CN98" s="127">
        <f t="shared" si="237"/>
        <v>1000</v>
      </c>
      <c r="CO98" s="128">
        <f t="shared" si="238"/>
        <v>100000</v>
      </c>
      <c r="CP98" s="128">
        <f t="shared" si="134"/>
        <v>100000</v>
      </c>
      <c r="CQ98" s="128">
        <f t="shared" si="239"/>
        <v>122304.57083284999</v>
      </c>
      <c r="CR98" s="130">
        <f t="shared" si="193"/>
        <v>5.1000000000000004E-2</v>
      </c>
      <c r="CS98" s="128">
        <f t="shared" si="194"/>
        <v>125943.13181512727</v>
      </c>
      <c r="CT98" s="128" t="str">
        <f t="shared" si="195"/>
        <v>nie</v>
      </c>
      <c r="CU98" s="128">
        <f t="shared" si="196"/>
        <v>3000</v>
      </c>
      <c r="CV98" s="128">
        <f t="shared" si="197"/>
        <v>118583.93677025309</v>
      </c>
      <c r="CW98" s="128">
        <f t="shared" si="76"/>
        <v>0</v>
      </c>
      <c r="CX98" s="130">
        <f t="shared" si="198"/>
        <v>3.5999999999999997E-2</v>
      </c>
      <c r="CY98" s="128">
        <f t="shared" si="199"/>
        <v>0</v>
      </c>
      <c r="CZ98" s="128">
        <f t="shared" si="200"/>
        <v>118583.93677025309</v>
      </c>
      <c r="DA98" s="20"/>
      <c r="DB98" s="127">
        <f t="shared" si="144"/>
        <v>1000</v>
      </c>
      <c r="DC98" s="128">
        <f t="shared" si="145"/>
        <v>100000</v>
      </c>
      <c r="DD98" s="128">
        <f t="shared" si="136"/>
        <v>100000</v>
      </c>
      <c r="DE98" s="128">
        <f t="shared" si="240"/>
        <v>121898.24335499998</v>
      </c>
      <c r="DF98" s="130">
        <f t="shared" si="201"/>
        <v>5.1000000000000004E-2</v>
      </c>
      <c r="DG98" s="128">
        <f t="shared" si="202"/>
        <v>125524.71609481123</v>
      </c>
      <c r="DH98" s="128" t="str">
        <f t="shared" si="203"/>
        <v>nie</v>
      </c>
      <c r="DI98" s="128">
        <f t="shared" si="204"/>
        <v>2000</v>
      </c>
      <c r="DJ98" s="128">
        <f t="shared" si="205"/>
        <v>119055.0200367971</v>
      </c>
      <c r="DK98" s="128">
        <f t="shared" si="85"/>
        <v>0</v>
      </c>
      <c r="DL98" s="130">
        <f t="shared" si="206"/>
        <v>3.5999999999999997E-2</v>
      </c>
      <c r="DM98" s="128">
        <f t="shared" si="207"/>
        <v>0</v>
      </c>
      <c r="DN98" s="128">
        <f t="shared" si="208"/>
        <v>119055.0200367971</v>
      </c>
      <c r="DP98" s="127">
        <f t="shared" si="146"/>
        <v>1000</v>
      </c>
      <c r="DQ98" s="128">
        <f t="shared" si="147"/>
        <v>100000</v>
      </c>
      <c r="DR98" s="128">
        <f t="shared" si="138"/>
        <v>100000</v>
      </c>
      <c r="DS98" s="128">
        <f t="shared" si="241"/>
        <v>124352.82984960002</v>
      </c>
      <c r="DT98" s="130">
        <f t="shared" si="209"/>
        <v>5.6000000000000001E-2</v>
      </c>
      <c r="DU98" s="128">
        <f t="shared" si="210"/>
        <v>128415.02229135361</v>
      </c>
      <c r="DV98" s="128" t="str">
        <f t="shared" si="211"/>
        <v>nie</v>
      </c>
      <c r="DW98" s="128">
        <f t="shared" si="212"/>
        <v>3000</v>
      </c>
      <c r="DX98" s="128">
        <f t="shared" si="93"/>
        <v>120586.16805599643</v>
      </c>
      <c r="DY98" s="128">
        <f t="shared" si="94"/>
        <v>0</v>
      </c>
      <c r="DZ98" s="130">
        <f t="shared" si="213"/>
        <v>3.5999999999999997E-2</v>
      </c>
      <c r="EA98" s="128">
        <f t="shared" si="214"/>
        <v>0</v>
      </c>
      <c r="EB98" s="128">
        <f t="shared" si="215"/>
        <v>120586.16805599643</v>
      </c>
    </row>
    <row r="99" spans="1:132">
      <c r="A99" s="212"/>
      <c r="B99" s="188">
        <f t="shared" si="216"/>
        <v>55</v>
      </c>
      <c r="C99" s="128">
        <f t="shared" si="217"/>
        <v>116271.18994543001</v>
      </c>
      <c r="D99" s="128">
        <f t="shared" si="218"/>
        <v>115782.80444818572</v>
      </c>
      <c r="E99" s="128">
        <f t="shared" si="219"/>
        <v>116760.36657591019</v>
      </c>
      <c r="F99" s="128">
        <f t="shared" si="220"/>
        <v>116537.46042734638</v>
      </c>
      <c r="G99" s="128">
        <f t="shared" si="221"/>
        <v>118583.93677025309</v>
      </c>
      <c r="H99" s="128">
        <f t="shared" si="222"/>
        <v>119055.0200367971</v>
      </c>
      <c r="I99" s="128">
        <f t="shared" si="223"/>
        <v>120586.16805599643</v>
      </c>
      <c r="J99" s="128">
        <f t="shared" si="224"/>
        <v>114280.74127508806</v>
      </c>
      <c r="K99" s="128">
        <f t="shared" si="225"/>
        <v>115031.81942703377</v>
      </c>
      <c r="M99" s="36"/>
      <c r="N99" s="32">
        <f t="shared" si="226"/>
        <v>55</v>
      </c>
      <c r="O99" s="25">
        <f t="shared" si="109"/>
        <v>0.1627118994543002</v>
      </c>
      <c r="P99" s="25">
        <f t="shared" si="110"/>
        <v>0.15782804448185717</v>
      </c>
      <c r="Q99" s="25">
        <f t="shared" si="111"/>
        <v>0.16760366575910179</v>
      </c>
      <c r="R99" s="25">
        <f t="shared" si="161"/>
        <v>0.16537460427346384</v>
      </c>
      <c r="S99" s="25">
        <f t="shared" si="162"/>
        <v>0.18583936770253096</v>
      </c>
      <c r="T99" s="25">
        <f t="shared" si="163"/>
        <v>0.19055020036797088</v>
      </c>
      <c r="U99" s="25">
        <f t="shared" si="164"/>
        <v>0.20586168055996423</v>
      </c>
      <c r="V99" s="25">
        <f t="shared" si="165"/>
        <v>0.14280741275088071</v>
      </c>
      <c r="W99" s="25">
        <f t="shared" si="166"/>
        <v>0.15031819427033777</v>
      </c>
      <c r="X99" s="36"/>
      <c r="Y99" s="36"/>
      <c r="AA99" s="124">
        <f t="shared" si="113"/>
        <v>56</v>
      </c>
      <c r="AB99" s="128">
        <f t="shared" si="167"/>
        <v>115323.70666631003</v>
      </c>
      <c r="AC99" s="124">
        <f t="shared" si="114"/>
        <v>56</v>
      </c>
      <c r="AD99" s="130">
        <f t="shared" si="227"/>
        <v>3.7499999999999999E-2</v>
      </c>
      <c r="AE99" s="127">
        <f t="shared" si="228"/>
        <v>1146</v>
      </c>
      <c r="AF99" s="128">
        <f t="shared" si="229"/>
        <v>114488.90000000001</v>
      </c>
      <c r="AG99" s="128">
        <f t="shared" si="140"/>
        <v>114600</v>
      </c>
      <c r="AH99" s="128">
        <f t="shared" si="118"/>
        <v>114600</v>
      </c>
      <c r="AI99" s="130">
        <f t="shared" si="168"/>
        <v>3.7499999999999999E-2</v>
      </c>
      <c r="AJ99" s="128">
        <f t="shared" si="169"/>
        <v>114958.125</v>
      </c>
      <c r="AK99" s="128" t="str">
        <f t="shared" si="170"/>
        <v>nie</v>
      </c>
      <c r="AL99" s="128">
        <f t="shared" si="171"/>
        <v>573</v>
      </c>
      <c r="AM99" s="128">
        <f t="shared" si="150"/>
        <v>114425.95125</v>
      </c>
      <c r="AN99" s="128">
        <f t="shared" si="172"/>
        <v>290.08125000000001</v>
      </c>
      <c r="AO99" s="130">
        <f t="shared" si="173"/>
        <v>3.5999999999999997E-2</v>
      </c>
      <c r="AP99" s="128">
        <f t="shared" si="174"/>
        <v>2430.590022897406</v>
      </c>
      <c r="AQ99" s="128">
        <f t="shared" si="156"/>
        <v>116566.4600228974</v>
      </c>
      <c r="AS99" s="124">
        <f t="shared" si="119"/>
        <v>56</v>
      </c>
      <c r="AT99" s="130">
        <f t="shared" si="120"/>
        <v>3.7499999999999999E-2</v>
      </c>
      <c r="AU99" s="127">
        <f t="shared" si="230"/>
        <v>1142</v>
      </c>
      <c r="AV99" s="128">
        <f t="shared" si="231"/>
        <v>114092.8</v>
      </c>
      <c r="AW99" s="128">
        <f t="shared" si="151"/>
        <v>114200</v>
      </c>
      <c r="AX99" s="128">
        <f t="shared" si="123"/>
        <v>114200</v>
      </c>
      <c r="AY99" s="130">
        <f t="shared" si="175"/>
        <v>3.9E-2</v>
      </c>
      <c r="AZ99" s="128">
        <f t="shared" si="176"/>
        <v>114571.15</v>
      </c>
      <c r="BA99" s="128" t="str">
        <f t="shared" si="177"/>
        <v>nie</v>
      </c>
      <c r="BB99" s="128">
        <f t="shared" si="178"/>
        <v>799.4</v>
      </c>
      <c r="BC99" s="128">
        <f t="shared" si="158"/>
        <v>113853.11750000001</v>
      </c>
      <c r="BD99" s="128">
        <f t="shared" si="179"/>
        <v>300.6314999999953</v>
      </c>
      <c r="BE99" s="130">
        <f t="shared" si="51"/>
        <v>3.5999999999999997E-2</v>
      </c>
      <c r="BF99" s="128">
        <f t="shared" si="180"/>
        <v>2536.3696220147954</v>
      </c>
      <c r="BG99" s="128">
        <f t="shared" si="159"/>
        <v>116088.8556220148</v>
      </c>
      <c r="BI99" s="124">
        <f t="shared" si="124"/>
        <v>56</v>
      </c>
      <c r="BJ99" s="130">
        <f t="shared" si="242"/>
        <v>3.9100000000000003E-2</v>
      </c>
      <c r="BK99" s="127">
        <f t="shared" si="232"/>
        <v>1112</v>
      </c>
      <c r="BL99" s="128">
        <f t="shared" si="233"/>
        <v>111088.8</v>
      </c>
      <c r="BM99" s="128">
        <f t="shared" si="142"/>
        <v>111200</v>
      </c>
      <c r="BN99" s="128">
        <f t="shared" si="234"/>
        <v>116092.8</v>
      </c>
      <c r="BO99" s="130">
        <f t="shared" si="181"/>
        <v>4.3999999999999997E-2</v>
      </c>
      <c r="BP99" s="128">
        <f t="shared" si="182"/>
        <v>119498.18880000002</v>
      </c>
      <c r="BQ99" s="128" t="str">
        <f t="shared" si="183"/>
        <v>nie</v>
      </c>
      <c r="BR99" s="128">
        <f t="shared" si="184"/>
        <v>1112</v>
      </c>
      <c r="BS99" s="128">
        <f t="shared" si="153"/>
        <v>117020.81292800001</v>
      </c>
      <c r="BT99" s="128">
        <f t="shared" si="128"/>
        <v>0</v>
      </c>
      <c r="BU99" s="130">
        <f t="shared" si="185"/>
        <v>3.5999999999999997E-2</v>
      </c>
      <c r="BV99" s="128">
        <f t="shared" si="60"/>
        <v>84.554232621479386</v>
      </c>
      <c r="BW99" s="128">
        <f t="shared" si="243"/>
        <v>117105.36716062149</v>
      </c>
      <c r="BY99" s="130">
        <f t="shared" si="244"/>
        <v>3.1E-2</v>
      </c>
      <c r="BZ99" s="127">
        <f t="shared" si="235"/>
        <v>1158</v>
      </c>
      <c r="CA99" s="128">
        <f t="shared" si="236"/>
        <v>115696.20000000001</v>
      </c>
      <c r="CB99" s="128">
        <f t="shared" si="154"/>
        <v>115800</v>
      </c>
      <c r="CC99" s="128">
        <f t="shared" si="131"/>
        <v>115800</v>
      </c>
      <c r="CD99" s="130">
        <f t="shared" si="186"/>
        <v>4.7500000000000001E-2</v>
      </c>
      <c r="CE99" s="128">
        <f t="shared" si="187"/>
        <v>119467.00000000001</v>
      </c>
      <c r="CF99" s="128" t="str">
        <f t="shared" si="188"/>
        <v>nie</v>
      </c>
      <c r="CG99" s="128">
        <f t="shared" si="189"/>
        <v>2316</v>
      </c>
      <c r="CH99" s="128">
        <f t="shared" si="160"/>
        <v>116894.31000000001</v>
      </c>
      <c r="CI99" s="128">
        <f t="shared" si="190"/>
        <v>0</v>
      </c>
      <c r="CJ99" s="130">
        <f t="shared" si="68"/>
        <v>3.5999999999999997E-2</v>
      </c>
      <c r="CK99" s="128">
        <f t="shared" si="191"/>
        <v>14.469252397323311</v>
      </c>
      <c r="CL99" s="128">
        <f t="shared" si="192"/>
        <v>116908.77925239733</v>
      </c>
      <c r="CN99" s="127">
        <f t="shared" si="237"/>
        <v>1000</v>
      </c>
      <c r="CO99" s="128">
        <f t="shared" si="238"/>
        <v>100000</v>
      </c>
      <c r="CP99" s="128">
        <f t="shared" si="134"/>
        <v>100000</v>
      </c>
      <c r="CQ99" s="128">
        <f t="shared" si="239"/>
        <v>122304.57083284999</v>
      </c>
      <c r="CR99" s="130">
        <f t="shared" si="193"/>
        <v>5.1000000000000004E-2</v>
      </c>
      <c r="CS99" s="128">
        <f t="shared" si="194"/>
        <v>126462.92624116689</v>
      </c>
      <c r="CT99" s="128" t="str">
        <f t="shared" si="195"/>
        <v>nie</v>
      </c>
      <c r="CU99" s="128">
        <f t="shared" si="196"/>
        <v>3000</v>
      </c>
      <c r="CV99" s="128">
        <f t="shared" si="197"/>
        <v>119004.97025534518</v>
      </c>
      <c r="CW99" s="128">
        <f t="shared" si="76"/>
        <v>0</v>
      </c>
      <c r="CX99" s="130">
        <f t="shared" si="198"/>
        <v>3.5999999999999997E-2</v>
      </c>
      <c r="CY99" s="128">
        <f t="shared" si="199"/>
        <v>0</v>
      </c>
      <c r="CZ99" s="128">
        <f t="shared" si="200"/>
        <v>119004.97025534518</v>
      </c>
      <c r="DA99" s="20"/>
      <c r="DB99" s="127">
        <f t="shared" si="144"/>
        <v>1000</v>
      </c>
      <c r="DC99" s="128">
        <f t="shared" si="145"/>
        <v>100000</v>
      </c>
      <c r="DD99" s="128">
        <f t="shared" si="136"/>
        <v>100000</v>
      </c>
      <c r="DE99" s="128">
        <f t="shared" si="240"/>
        <v>121898.24335499998</v>
      </c>
      <c r="DF99" s="130">
        <f t="shared" si="201"/>
        <v>5.1000000000000004E-2</v>
      </c>
      <c r="DG99" s="128">
        <f t="shared" si="202"/>
        <v>126042.78362906999</v>
      </c>
      <c r="DH99" s="128" t="str">
        <f t="shared" si="203"/>
        <v>nie</v>
      </c>
      <c r="DI99" s="128">
        <f t="shared" si="204"/>
        <v>2000</v>
      </c>
      <c r="DJ99" s="128">
        <f t="shared" si="205"/>
        <v>119474.65473954669</v>
      </c>
      <c r="DK99" s="128">
        <f t="shared" si="85"/>
        <v>0</v>
      </c>
      <c r="DL99" s="130">
        <f t="shared" si="206"/>
        <v>3.5999999999999997E-2</v>
      </c>
      <c r="DM99" s="128">
        <f t="shared" si="207"/>
        <v>0</v>
      </c>
      <c r="DN99" s="128">
        <f t="shared" si="208"/>
        <v>119474.65473954669</v>
      </c>
      <c r="DP99" s="127">
        <f t="shared" si="146"/>
        <v>1000</v>
      </c>
      <c r="DQ99" s="128">
        <f t="shared" si="147"/>
        <v>100000</v>
      </c>
      <c r="DR99" s="128">
        <f t="shared" si="138"/>
        <v>100000</v>
      </c>
      <c r="DS99" s="128">
        <f t="shared" si="241"/>
        <v>124352.82984960002</v>
      </c>
      <c r="DT99" s="130">
        <f t="shared" si="209"/>
        <v>5.6000000000000001E-2</v>
      </c>
      <c r="DU99" s="128">
        <f t="shared" si="210"/>
        <v>128995.33549731843</v>
      </c>
      <c r="DV99" s="128" t="str">
        <f t="shared" si="211"/>
        <v>nie</v>
      </c>
      <c r="DW99" s="128">
        <f t="shared" si="212"/>
        <v>3000</v>
      </c>
      <c r="DX99" s="128">
        <f t="shared" si="93"/>
        <v>121056.22175282793</v>
      </c>
      <c r="DY99" s="128">
        <f t="shared" si="94"/>
        <v>0</v>
      </c>
      <c r="DZ99" s="130">
        <f t="shared" si="213"/>
        <v>3.5999999999999997E-2</v>
      </c>
      <c r="EA99" s="128">
        <f t="shared" si="214"/>
        <v>0</v>
      </c>
      <c r="EB99" s="128">
        <f t="shared" si="215"/>
        <v>121056.22175282793</v>
      </c>
    </row>
    <row r="100" spans="1:132">
      <c r="A100" s="212"/>
      <c r="B100" s="188">
        <f t="shared" si="216"/>
        <v>56</v>
      </c>
      <c r="C100" s="128">
        <f t="shared" si="217"/>
        <v>116566.4600228974</v>
      </c>
      <c r="D100" s="128">
        <f t="shared" si="218"/>
        <v>116088.8556220148</v>
      </c>
      <c r="E100" s="128">
        <f t="shared" si="219"/>
        <v>117105.36716062149</v>
      </c>
      <c r="F100" s="128">
        <f t="shared" si="220"/>
        <v>116908.77925239733</v>
      </c>
      <c r="G100" s="128">
        <f t="shared" si="221"/>
        <v>119004.97025534518</v>
      </c>
      <c r="H100" s="128">
        <f t="shared" si="222"/>
        <v>119474.65473954669</v>
      </c>
      <c r="I100" s="128">
        <f t="shared" si="223"/>
        <v>121056.22175282793</v>
      </c>
      <c r="J100" s="128">
        <f t="shared" si="224"/>
        <v>114558.44347638651</v>
      </c>
      <c r="K100" s="128">
        <f t="shared" si="225"/>
        <v>115323.70666631003</v>
      </c>
      <c r="M100" s="36"/>
      <c r="N100" s="32">
        <f t="shared" si="226"/>
        <v>56</v>
      </c>
      <c r="O100" s="25">
        <f t="shared" si="109"/>
        <v>0.16566460022897411</v>
      </c>
      <c r="P100" s="25">
        <f t="shared" si="110"/>
        <v>0.16088855622014808</v>
      </c>
      <c r="Q100" s="25">
        <f t="shared" si="111"/>
        <v>0.17105367160621499</v>
      </c>
      <c r="R100" s="25">
        <f t="shared" si="161"/>
        <v>0.16908779252397332</v>
      </c>
      <c r="S100" s="25">
        <f t="shared" si="162"/>
        <v>0.19004970255345177</v>
      </c>
      <c r="T100" s="25">
        <f t="shared" si="163"/>
        <v>0.19474654739546682</v>
      </c>
      <c r="U100" s="25">
        <f t="shared" si="164"/>
        <v>0.21056221752827931</v>
      </c>
      <c r="V100" s="25">
        <f t="shared" si="165"/>
        <v>0.14558443476386507</v>
      </c>
      <c r="W100" s="25">
        <f t="shared" si="166"/>
        <v>0.15323706666310022</v>
      </c>
      <c r="X100" s="36"/>
      <c r="Y100" s="36"/>
      <c r="AA100" s="124">
        <f t="shared" si="113"/>
        <v>57</v>
      </c>
      <c r="AB100" s="128">
        <f t="shared" si="167"/>
        <v>115615.5939055863</v>
      </c>
      <c r="AC100" s="124">
        <f t="shared" si="114"/>
        <v>57</v>
      </c>
      <c r="AD100" s="130">
        <f t="shared" si="227"/>
        <v>3.7499999999999999E-2</v>
      </c>
      <c r="AE100" s="127">
        <f t="shared" si="228"/>
        <v>1146</v>
      </c>
      <c r="AF100" s="128">
        <f t="shared" si="229"/>
        <v>114488.90000000001</v>
      </c>
      <c r="AG100" s="128">
        <f t="shared" si="140"/>
        <v>114600</v>
      </c>
      <c r="AH100" s="128">
        <f t="shared" si="118"/>
        <v>114600</v>
      </c>
      <c r="AI100" s="130">
        <f t="shared" si="168"/>
        <v>3.7499999999999999E-2</v>
      </c>
      <c r="AJ100" s="128">
        <f t="shared" si="169"/>
        <v>114958.125</v>
      </c>
      <c r="AK100" s="128" t="str">
        <f t="shared" si="170"/>
        <v>nie</v>
      </c>
      <c r="AL100" s="128">
        <f t="shared" si="171"/>
        <v>573</v>
      </c>
      <c r="AM100" s="128">
        <f t="shared" si="150"/>
        <v>114425.95125</v>
      </c>
      <c r="AN100" s="128">
        <f t="shared" si="172"/>
        <v>290.08125000000001</v>
      </c>
      <c r="AO100" s="130">
        <f t="shared" si="173"/>
        <v>3.5999999999999997E-2</v>
      </c>
      <c r="AP100" s="128">
        <f t="shared" si="174"/>
        <v>2726.5776066530466</v>
      </c>
      <c r="AQ100" s="128">
        <f t="shared" si="156"/>
        <v>116862.44760665305</v>
      </c>
      <c r="AS100" s="124">
        <f t="shared" si="119"/>
        <v>57</v>
      </c>
      <c r="AT100" s="130">
        <f t="shared" si="120"/>
        <v>3.7499999999999999E-2</v>
      </c>
      <c r="AU100" s="127">
        <f t="shared" si="230"/>
        <v>1142</v>
      </c>
      <c r="AV100" s="128">
        <f t="shared" si="231"/>
        <v>114092.8</v>
      </c>
      <c r="AW100" s="128">
        <f t="shared" si="151"/>
        <v>114200</v>
      </c>
      <c r="AX100" s="128">
        <f t="shared" si="123"/>
        <v>114200</v>
      </c>
      <c r="AY100" s="130">
        <f t="shared" si="175"/>
        <v>3.9E-2</v>
      </c>
      <c r="AZ100" s="128">
        <f t="shared" si="176"/>
        <v>114571.15</v>
      </c>
      <c r="BA100" s="128" t="str">
        <f t="shared" si="177"/>
        <v>nie</v>
      </c>
      <c r="BB100" s="128">
        <f t="shared" si="178"/>
        <v>799.4</v>
      </c>
      <c r="BC100" s="128">
        <f t="shared" si="158"/>
        <v>113853.11750000001</v>
      </c>
      <c r="BD100" s="128">
        <f t="shared" si="179"/>
        <v>300.6314999999953</v>
      </c>
      <c r="BE100" s="130">
        <f t="shared" si="51"/>
        <v>3.5999999999999997E-2</v>
      </c>
      <c r="BF100" s="128">
        <f t="shared" si="180"/>
        <v>2843.1645001962866</v>
      </c>
      <c r="BG100" s="128">
        <f t="shared" si="159"/>
        <v>116395.65050019629</v>
      </c>
      <c r="BI100" s="124">
        <f t="shared" si="124"/>
        <v>57</v>
      </c>
      <c r="BJ100" s="130">
        <f t="shared" si="242"/>
        <v>3.9100000000000003E-2</v>
      </c>
      <c r="BK100" s="127">
        <f t="shared" si="232"/>
        <v>1112</v>
      </c>
      <c r="BL100" s="128">
        <f t="shared" si="233"/>
        <v>111088.8</v>
      </c>
      <c r="BM100" s="128">
        <f t="shared" si="142"/>
        <v>111200</v>
      </c>
      <c r="BN100" s="128">
        <f t="shared" si="234"/>
        <v>116092.8</v>
      </c>
      <c r="BO100" s="130">
        <f t="shared" si="181"/>
        <v>4.3999999999999997E-2</v>
      </c>
      <c r="BP100" s="128">
        <f t="shared" si="182"/>
        <v>119923.8624</v>
      </c>
      <c r="BQ100" s="128" t="str">
        <f t="shared" si="183"/>
        <v>nie</v>
      </c>
      <c r="BR100" s="128">
        <f t="shared" si="184"/>
        <v>1112</v>
      </c>
      <c r="BS100" s="128">
        <f t="shared" si="153"/>
        <v>117365.608544</v>
      </c>
      <c r="BT100" s="128">
        <f t="shared" si="128"/>
        <v>0</v>
      </c>
      <c r="BU100" s="130">
        <f t="shared" si="185"/>
        <v>3.5999999999999997E-2</v>
      </c>
      <c r="BV100" s="128">
        <f t="shared" si="60"/>
        <v>84.759699406749576</v>
      </c>
      <c r="BW100" s="128">
        <f t="shared" si="243"/>
        <v>117450.36824340675</v>
      </c>
      <c r="BY100" s="130">
        <f t="shared" si="244"/>
        <v>3.1E-2</v>
      </c>
      <c r="BZ100" s="127">
        <f t="shared" si="235"/>
        <v>1158</v>
      </c>
      <c r="CA100" s="128">
        <f t="shared" si="236"/>
        <v>115696.20000000001</v>
      </c>
      <c r="CB100" s="128">
        <f t="shared" si="154"/>
        <v>115800</v>
      </c>
      <c r="CC100" s="128">
        <f t="shared" si="131"/>
        <v>115800</v>
      </c>
      <c r="CD100" s="130">
        <f t="shared" si="186"/>
        <v>4.7500000000000001E-2</v>
      </c>
      <c r="CE100" s="128">
        <f t="shared" si="187"/>
        <v>119925.375</v>
      </c>
      <c r="CF100" s="128" t="str">
        <f t="shared" si="188"/>
        <v>nie</v>
      </c>
      <c r="CG100" s="128">
        <f t="shared" si="189"/>
        <v>2316</v>
      </c>
      <c r="CH100" s="128">
        <f t="shared" si="160"/>
        <v>117265.59375</v>
      </c>
      <c r="CI100" s="128">
        <f t="shared" si="190"/>
        <v>0</v>
      </c>
      <c r="CJ100" s="130">
        <f t="shared" si="68"/>
        <v>3.5999999999999997E-2</v>
      </c>
      <c r="CK100" s="128">
        <f t="shared" si="191"/>
        <v>14.504412680648805</v>
      </c>
      <c r="CL100" s="128">
        <f t="shared" si="192"/>
        <v>117280.09816268065</v>
      </c>
      <c r="CN100" s="127">
        <f t="shared" si="237"/>
        <v>1000</v>
      </c>
      <c r="CO100" s="128">
        <f t="shared" si="238"/>
        <v>100000</v>
      </c>
      <c r="CP100" s="128">
        <f t="shared" si="134"/>
        <v>100000</v>
      </c>
      <c r="CQ100" s="128">
        <f t="shared" si="239"/>
        <v>122304.57083284999</v>
      </c>
      <c r="CR100" s="130">
        <f t="shared" si="193"/>
        <v>5.1000000000000004E-2</v>
      </c>
      <c r="CS100" s="128">
        <f t="shared" si="194"/>
        <v>126982.72066720649</v>
      </c>
      <c r="CT100" s="128" t="str">
        <f t="shared" si="195"/>
        <v>nie</v>
      </c>
      <c r="CU100" s="128">
        <f t="shared" si="196"/>
        <v>3000</v>
      </c>
      <c r="CV100" s="128">
        <f t="shared" si="197"/>
        <v>119426.00374043726</v>
      </c>
      <c r="CW100" s="128">
        <f t="shared" si="76"/>
        <v>0</v>
      </c>
      <c r="CX100" s="130">
        <f t="shared" si="198"/>
        <v>3.5999999999999997E-2</v>
      </c>
      <c r="CY100" s="128">
        <f t="shared" si="199"/>
        <v>0</v>
      </c>
      <c r="CZ100" s="128">
        <f t="shared" si="200"/>
        <v>119426.00374043726</v>
      </c>
      <c r="DA100" s="20"/>
      <c r="DB100" s="127">
        <f t="shared" si="144"/>
        <v>1000</v>
      </c>
      <c r="DC100" s="128">
        <f t="shared" si="145"/>
        <v>100000</v>
      </c>
      <c r="DD100" s="128">
        <f t="shared" si="136"/>
        <v>100000</v>
      </c>
      <c r="DE100" s="128">
        <f t="shared" si="240"/>
        <v>121898.24335499998</v>
      </c>
      <c r="DF100" s="130">
        <f t="shared" si="201"/>
        <v>5.1000000000000004E-2</v>
      </c>
      <c r="DG100" s="128">
        <f t="shared" si="202"/>
        <v>126560.85116332873</v>
      </c>
      <c r="DH100" s="128" t="str">
        <f t="shared" si="203"/>
        <v>nie</v>
      </c>
      <c r="DI100" s="128">
        <f t="shared" si="204"/>
        <v>2000</v>
      </c>
      <c r="DJ100" s="128">
        <f t="shared" si="205"/>
        <v>119894.28944229627</v>
      </c>
      <c r="DK100" s="128">
        <f t="shared" si="85"/>
        <v>0</v>
      </c>
      <c r="DL100" s="130">
        <f t="shared" si="206"/>
        <v>3.5999999999999997E-2</v>
      </c>
      <c r="DM100" s="128">
        <f t="shared" si="207"/>
        <v>0</v>
      </c>
      <c r="DN100" s="128">
        <f t="shared" si="208"/>
        <v>119894.28944229627</v>
      </c>
      <c r="DP100" s="127">
        <f t="shared" si="146"/>
        <v>1000</v>
      </c>
      <c r="DQ100" s="128">
        <f t="shared" si="147"/>
        <v>100000</v>
      </c>
      <c r="DR100" s="128">
        <f t="shared" si="138"/>
        <v>100000</v>
      </c>
      <c r="DS100" s="128">
        <f t="shared" si="241"/>
        <v>124352.82984960002</v>
      </c>
      <c r="DT100" s="130">
        <f t="shared" si="209"/>
        <v>5.6000000000000001E-2</v>
      </c>
      <c r="DU100" s="128">
        <f t="shared" si="210"/>
        <v>129575.64870328322</v>
      </c>
      <c r="DV100" s="128" t="str">
        <f t="shared" si="211"/>
        <v>nie</v>
      </c>
      <c r="DW100" s="128">
        <f t="shared" si="212"/>
        <v>3000</v>
      </c>
      <c r="DX100" s="128">
        <f t="shared" si="93"/>
        <v>121526.27544965941</v>
      </c>
      <c r="DY100" s="128">
        <f t="shared" si="94"/>
        <v>0</v>
      </c>
      <c r="DZ100" s="130">
        <f t="shared" si="213"/>
        <v>3.5999999999999997E-2</v>
      </c>
      <c r="EA100" s="128">
        <f t="shared" si="214"/>
        <v>0</v>
      </c>
      <c r="EB100" s="128">
        <f t="shared" si="215"/>
        <v>121526.27544965941</v>
      </c>
    </row>
    <row r="101" spans="1:132">
      <c r="A101" s="212"/>
      <c r="B101" s="188">
        <f t="shared" si="216"/>
        <v>57</v>
      </c>
      <c r="C101" s="128">
        <f t="shared" si="217"/>
        <v>116862.44760665305</v>
      </c>
      <c r="D101" s="128">
        <f t="shared" si="218"/>
        <v>116395.65050019629</v>
      </c>
      <c r="E101" s="128">
        <f t="shared" si="219"/>
        <v>117450.36824340675</v>
      </c>
      <c r="F101" s="128">
        <f t="shared" si="220"/>
        <v>117280.09816268065</v>
      </c>
      <c r="G101" s="128">
        <f t="shared" si="221"/>
        <v>119426.00374043726</v>
      </c>
      <c r="H101" s="128">
        <f t="shared" si="222"/>
        <v>119894.28944229627</v>
      </c>
      <c r="I101" s="128">
        <f t="shared" si="223"/>
        <v>121526.27544965941</v>
      </c>
      <c r="J101" s="128">
        <f t="shared" si="224"/>
        <v>114836.82049403412</v>
      </c>
      <c r="K101" s="128">
        <f t="shared" si="225"/>
        <v>115615.5939055863</v>
      </c>
      <c r="M101" s="36"/>
      <c r="N101" s="32">
        <f t="shared" si="226"/>
        <v>57</v>
      </c>
      <c r="O101" s="25">
        <f t="shared" si="109"/>
        <v>0.16862447606653053</v>
      </c>
      <c r="P101" s="25">
        <f t="shared" si="110"/>
        <v>0.1639565050019629</v>
      </c>
      <c r="Q101" s="25">
        <f t="shared" si="111"/>
        <v>0.17450368243406755</v>
      </c>
      <c r="R101" s="25">
        <f t="shared" si="161"/>
        <v>0.17280098162680657</v>
      </c>
      <c r="S101" s="25">
        <f t="shared" si="162"/>
        <v>0.19426003740437259</v>
      </c>
      <c r="T101" s="25">
        <f t="shared" si="163"/>
        <v>0.19894289442296276</v>
      </c>
      <c r="U101" s="25">
        <f t="shared" si="164"/>
        <v>0.21526275449659416</v>
      </c>
      <c r="V101" s="25">
        <f t="shared" si="165"/>
        <v>0.1483682049403412</v>
      </c>
      <c r="W101" s="25">
        <f t="shared" si="166"/>
        <v>0.15615593905586289</v>
      </c>
      <c r="X101" s="36"/>
      <c r="Y101" s="36"/>
      <c r="AA101" s="124">
        <f t="shared" si="113"/>
        <v>58</v>
      </c>
      <c r="AB101" s="128">
        <f t="shared" si="167"/>
        <v>115907.48114486256</v>
      </c>
      <c r="AC101" s="124">
        <f t="shared" si="114"/>
        <v>58</v>
      </c>
      <c r="AD101" s="130">
        <f t="shared" si="227"/>
        <v>3.7499999999999999E-2</v>
      </c>
      <c r="AE101" s="127">
        <f t="shared" si="228"/>
        <v>1146</v>
      </c>
      <c r="AF101" s="128">
        <f t="shared" si="229"/>
        <v>114488.90000000001</v>
      </c>
      <c r="AG101" s="128">
        <f t="shared" si="140"/>
        <v>114600</v>
      </c>
      <c r="AH101" s="128">
        <f t="shared" si="118"/>
        <v>114600</v>
      </c>
      <c r="AI101" s="130">
        <f t="shared" si="168"/>
        <v>3.7499999999999999E-2</v>
      </c>
      <c r="AJ101" s="128">
        <f t="shared" si="169"/>
        <v>114958.125</v>
      </c>
      <c r="AK101" s="128" t="str">
        <f t="shared" si="170"/>
        <v>nie</v>
      </c>
      <c r="AL101" s="128">
        <f t="shared" si="171"/>
        <v>573</v>
      </c>
      <c r="AM101" s="128">
        <f t="shared" si="150"/>
        <v>114425.95125</v>
      </c>
      <c r="AN101" s="128">
        <f t="shared" si="172"/>
        <v>290.08125000000001</v>
      </c>
      <c r="AO101" s="130">
        <f t="shared" si="173"/>
        <v>3.5999999999999997E-2</v>
      </c>
      <c r="AP101" s="128">
        <f t="shared" si="174"/>
        <v>3023.2844402372134</v>
      </c>
      <c r="AQ101" s="128">
        <f t="shared" si="156"/>
        <v>117159.15444023721</v>
      </c>
      <c r="AS101" s="124">
        <f t="shared" si="119"/>
        <v>58</v>
      </c>
      <c r="AT101" s="130">
        <f t="shared" si="120"/>
        <v>3.7499999999999999E-2</v>
      </c>
      <c r="AU101" s="127">
        <f t="shared" si="230"/>
        <v>1142</v>
      </c>
      <c r="AV101" s="128">
        <f t="shared" si="231"/>
        <v>114092.8</v>
      </c>
      <c r="AW101" s="128">
        <f t="shared" si="151"/>
        <v>114200</v>
      </c>
      <c r="AX101" s="128">
        <f t="shared" si="123"/>
        <v>114200</v>
      </c>
      <c r="AY101" s="130">
        <f t="shared" si="175"/>
        <v>3.9E-2</v>
      </c>
      <c r="AZ101" s="128">
        <f t="shared" si="176"/>
        <v>114571.15</v>
      </c>
      <c r="BA101" s="128" t="str">
        <f t="shared" si="177"/>
        <v>nie</v>
      </c>
      <c r="BB101" s="128">
        <f t="shared" si="178"/>
        <v>799.4</v>
      </c>
      <c r="BC101" s="128">
        <f t="shared" si="158"/>
        <v>113853.11750000001</v>
      </c>
      <c r="BD101" s="128">
        <f t="shared" si="179"/>
        <v>300.6314999999953</v>
      </c>
      <c r="BE101" s="130">
        <f t="shared" si="51"/>
        <v>3.5999999999999997E-2</v>
      </c>
      <c r="BF101" s="128">
        <f t="shared" si="180"/>
        <v>3150.7048899317588</v>
      </c>
      <c r="BG101" s="128">
        <f t="shared" si="159"/>
        <v>116703.19088993176</v>
      </c>
      <c r="BI101" s="124">
        <f t="shared" si="124"/>
        <v>58</v>
      </c>
      <c r="BJ101" s="130">
        <f t="shared" si="242"/>
        <v>3.9100000000000003E-2</v>
      </c>
      <c r="BK101" s="127">
        <f t="shared" si="232"/>
        <v>1112</v>
      </c>
      <c r="BL101" s="128">
        <f t="shared" si="233"/>
        <v>111088.8</v>
      </c>
      <c r="BM101" s="128">
        <f t="shared" si="142"/>
        <v>111200</v>
      </c>
      <c r="BN101" s="128">
        <f t="shared" si="234"/>
        <v>116092.8</v>
      </c>
      <c r="BO101" s="130">
        <f t="shared" si="181"/>
        <v>4.3999999999999997E-2</v>
      </c>
      <c r="BP101" s="128">
        <f t="shared" si="182"/>
        <v>120349.53599999999</v>
      </c>
      <c r="BQ101" s="128" t="str">
        <f t="shared" si="183"/>
        <v>nie</v>
      </c>
      <c r="BR101" s="128">
        <f t="shared" si="184"/>
        <v>1112</v>
      </c>
      <c r="BS101" s="128">
        <f t="shared" si="153"/>
        <v>117710.40415999999</v>
      </c>
      <c r="BT101" s="128">
        <f t="shared" si="128"/>
        <v>0</v>
      </c>
      <c r="BU101" s="130">
        <f t="shared" si="185"/>
        <v>3.5999999999999997E-2</v>
      </c>
      <c r="BV101" s="128">
        <f t="shared" si="60"/>
        <v>84.965665476307976</v>
      </c>
      <c r="BW101" s="128">
        <f t="shared" si="243"/>
        <v>117795.3698254763</v>
      </c>
      <c r="BY101" s="130">
        <f t="shared" si="244"/>
        <v>3.1E-2</v>
      </c>
      <c r="BZ101" s="127">
        <f t="shared" si="235"/>
        <v>1158</v>
      </c>
      <c r="CA101" s="128">
        <f t="shared" si="236"/>
        <v>115696.20000000001</v>
      </c>
      <c r="CB101" s="128">
        <f t="shared" si="154"/>
        <v>115800</v>
      </c>
      <c r="CC101" s="128">
        <f t="shared" si="131"/>
        <v>115800</v>
      </c>
      <c r="CD101" s="130">
        <f t="shared" si="186"/>
        <v>4.7500000000000001E-2</v>
      </c>
      <c r="CE101" s="128">
        <f t="shared" si="187"/>
        <v>120383.75</v>
      </c>
      <c r="CF101" s="128" t="str">
        <f t="shared" si="188"/>
        <v>nie</v>
      </c>
      <c r="CG101" s="128">
        <f t="shared" si="189"/>
        <v>2316</v>
      </c>
      <c r="CH101" s="128">
        <f t="shared" si="160"/>
        <v>117636.8775</v>
      </c>
      <c r="CI101" s="128">
        <f t="shared" si="190"/>
        <v>0</v>
      </c>
      <c r="CJ101" s="130">
        <f t="shared" si="68"/>
        <v>3.5999999999999997E-2</v>
      </c>
      <c r="CK101" s="128">
        <f t="shared" si="191"/>
        <v>14.539658403462781</v>
      </c>
      <c r="CL101" s="128">
        <f t="shared" si="192"/>
        <v>117651.41715840346</v>
      </c>
      <c r="CN101" s="127">
        <f t="shared" si="237"/>
        <v>1000</v>
      </c>
      <c r="CO101" s="128">
        <f t="shared" si="238"/>
        <v>100000</v>
      </c>
      <c r="CP101" s="128">
        <f t="shared" si="134"/>
        <v>100000</v>
      </c>
      <c r="CQ101" s="128">
        <f t="shared" si="239"/>
        <v>122304.57083284999</v>
      </c>
      <c r="CR101" s="130">
        <f t="shared" si="193"/>
        <v>5.1000000000000004E-2</v>
      </c>
      <c r="CS101" s="128">
        <f t="shared" si="194"/>
        <v>127502.51509324611</v>
      </c>
      <c r="CT101" s="128" t="str">
        <f t="shared" si="195"/>
        <v>nie</v>
      </c>
      <c r="CU101" s="128">
        <f t="shared" si="196"/>
        <v>3000</v>
      </c>
      <c r="CV101" s="128">
        <f t="shared" si="197"/>
        <v>119847.03722552935</v>
      </c>
      <c r="CW101" s="128">
        <f t="shared" si="76"/>
        <v>0</v>
      </c>
      <c r="CX101" s="130">
        <f t="shared" si="198"/>
        <v>3.5999999999999997E-2</v>
      </c>
      <c r="CY101" s="128">
        <f t="shared" si="199"/>
        <v>0</v>
      </c>
      <c r="CZ101" s="128">
        <f t="shared" si="200"/>
        <v>119847.03722552935</v>
      </c>
      <c r="DA101" s="20"/>
      <c r="DB101" s="127">
        <f t="shared" si="144"/>
        <v>1000</v>
      </c>
      <c r="DC101" s="128">
        <f t="shared" si="145"/>
        <v>100000</v>
      </c>
      <c r="DD101" s="128">
        <f t="shared" si="136"/>
        <v>100000</v>
      </c>
      <c r="DE101" s="128">
        <f t="shared" si="240"/>
        <v>121898.24335499998</v>
      </c>
      <c r="DF101" s="130">
        <f t="shared" si="201"/>
        <v>5.1000000000000004E-2</v>
      </c>
      <c r="DG101" s="128">
        <f t="shared" si="202"/>
        <v>127078.91869758748</v>
      </c>
      <c r="DH101" s="128" t="str">
        <f t="shared" si="203"/>
        <v>nie</v>
      </c>
      <c r="DI101" s="128">
        <f t="shared" si="204"/>
        <v>2000</v>
      </c>
      <c r="DJ101" s="128">
        <f t="shared" si="205"/>
        <v>120313.92414504585</v>
      </c>
      <c r="DK101" s="128">
        <f t="shared" si="85"/>
        <v>0</v>
      </c>
      <c r="DL101" s="130">
        <f t="shared" si="206"/>
        <v>3.5999999999999997E-2</v>
      </c>
      <c r="DM101" s="128">
        <f t="shared" si="207"/>
        <v>0</v>
      </c>
      <c r="DN101" s="128">
        <f t="shared" si="208"/>
        <v>120313.92414504585</v>
      </c>
      <c r="DP101" s="127">
        <f t="shared" si="146"/>
        <v>1000</v>
      </c>
      <c r="DQ101" s="128">
        <f t="shared" si="147"/>
        <v>100000</v>
      </c>
      <c r="DR101" s="128">
        <f t="shared" si="138"/>
        <v>100000</v>
      </c>
      <c r="DS101" s="128">
        <f t="shared" si="241"/>
        <v>124352.82984960002</v>
      </c>
      <c r="DT101" s="130">
        <f t="shared" si="209"/>
        <v>5.6000000000000001E-2</v>
      </c>
      <c r="DU101" s="128">
        <f t="shared" si="210"/>
        <v>130155.96190924801</v>
      </c>
      <c r="DV101" s="128" t="str">
        <f t="shared" si="211"/>
        <v>nie</v>
      </c>
      <c r="DW101" s="128">
        <f t="shared" si="212"/>
        <v>3000</v>
      </c>
      <c r="DX101" s="128">
        <f t="shared" si="93"/>
        <v>121996.3291464909</v>
      </c>
      <c r="DY101" s="128">
        <f t="shared" si="94"/>
        <v>0</v>
      </c>
      <c r="DZ101" s="130">
        <f t="shared" si="213"/>
        <v>3.5999999999999997E-2</v>
      </c>
      <c r="EA101" s="128">
        <f t="shared" si="214"/>
        <v>0</v>
      </c>
      <c r="EB101" s="128">
        <f t="shared" si="215"/>
        <v>121996.3291464909</v>
      </c>
    </row>
    <row r="102" spans="1:132">
      <c r="A102" s="212"/>
      <c r="B102" s="188">
        <f t="shared" si="216"/>
        <v>58</v>
      </c>
      <c r="C102" s="128">
        <f t="shared" si="217"/>
        <v>117159.15444023721</v>
      </c>
      <c r="D102" s="128">
        <f t="shared" si="218"/>
        <v>116703.19088993176</v>
      </c>
      <c r="E102" s="128">
        <f t="shared" si="219"/>
        <v>117795.3698254763</v>
      </c>
      <c r="F102" s="128">
        <f t="shared" si="220"/>
        <v>117651.41715840346</v>
      </c>
      <c r="G102" s="128">
        <f t="shared" si="221"/>
        <v>119847.03722552935</v>
      </c>
      <c r="H102" s="128">
        <f t="shared" si="222"/>
        <v>120313.92414504585</v>
      </c>
      <c r="I102" s="128">
        <f t="shared" si="223"/>
        <v>121996.3291464909</v>
      </c>
      <c r="J102" s="128">
        <f t="shared" si="224"/>
        <v>115115.87396783462</v>
      </c>
      <c r="K102" s="128">
        <f t="shared" si="225"/>
        <v>115907.48114486256</v>
      </c>
      <c r="M102" s="36"/>
      <c r="N102" s="32">
        <f t="shared" si="226"/>
        <v>58</v>
      </c>
      <c r="O102" s="25">
        <f t="shared" si="109"/>
        <v>0.17159154440237212</v>
      </c>
      <c r="P102" s="25">
        <f t="shared" si="110"/>
        <v>0.16703190889931774</v>
      </c>
      <c r="Q102" s="25">
        <f t="shared" si="111"/>
        <v>0.17795369825476293</v>
      </c>
      <c r="R102" s="25">
        <f t="shared" si="161"/>
        <v>0.1765141715840346</v>
      </c>
      <c r="S102" s="25">
        <f t="shared" si="162"/>
        <v>0.1984703722552934</v>
      </c>
      <c r="T102" s="25">
        <f t="shared" si="163"/>
        <v>0.20313924145045847</v>
      </c>
      <c r="U102" s="25">
        <f t="shared" si="164"/>
        <v>0.21996329146490901</v>
      </c>
      <c r="V102" s="25">
        <f t="shared" si="165"/>
        <v>0.15115873967834625</v>
      </c>
      <c r="W102" s="25">
        <f t="shared" si="166"/>
        <v>0.15907481144862556</v>
      </c>
      <c r="X102" s="36"/>
      <c r="Y102" s="36"/>
      <c r="AA102" s="124">
        <f t="shared" si="113"/>
        <v>59</v>
      </c>
      <c r="AB102" s="128">
        <f t="shared" si="167"/>
        <v>116199.36838413883</v>
      </c>
      <c r="AC102" s="124">
        <f t="shared" si="114"/>
        <v>59</v>
      </c>
      <c r="AD102" s="130">
        <f t="shared" si="227"/>
        <v>3.7499999999999999E-2</v>
      </c>
      <c r="AE102" s="127">
        <f t="shared" si="228"/>
        <v>1146</v>
      </c>
      <c r="AF102" s="128">
        <f t="shared" si="229"/>
        <v>114488.90000000001</v>
      </c>
      <c r="AG102" s="128">
        <f t="shared" si="140"/>
        <v>114600</v>
      </c>
      <c r="AH102" s="128">
        <f t="shared" si="118"/>
        <v>114600</v>
      </c>
      <c r="AI102" s="130">
        <f t="shared" si="168"/>
        <v>3.7499999999999999E-2</v>
      </c>
      <c r="AJ102" s="128">
        <f t="shared" si="169"/>
        <v>114958.125</v>
      </c>
      <c r="AK102" s="128" t="str">
        <f t="shared" si="170"/>
        <v>nie</v>
      </c>
      <c r="AL102" s="128">
        <f t="shared" si="171"/>
        <v>573</v>
      </c>
      <c r="AM102" s="128">
        <f t="shared" si="150"/>
        <v>114425.95125</v>
      </c>
      <c r="AN102" s="128">
        <f t="shared" si="172"/>
        <v>290.08125000000001</v>
      </c>
      <c r="AO102" s="130">
        <f t="shared" si="173"/>
        <v>3.5999999999999997E-2</v>
      </c>
      <c r="AP102" s="128">
        <f t="shared" si="174"/>
        <v>3320.7122714269899</v>
      </c>
      <c r="AQ102" s="128">
        <f t="shared" si="156"/>
        <v>117456.58227142699</v>
      </c>
      <c r="AS102" s="124">
        <f t="shared" si="119"/>
        <v>59</v>
      </c>
      <c r="AT102" s="130">
        <f t="shared" si="120"/>
        <v>3.7499999999999999E-2</v>
      </c>
      <c r="AU102" s="127">
        <f t="shared" si="230"/>
        <v>1142</v>
      </c>
      <c r="AV102" s="128">
        <f t="shared" si="231"/>
        <v>114092.8</v>
      </c>
      <c r="AW102" s="128">
        <f t="shared" si="151"/>
        <v>114200</v>
      </c>
      <c r="AX102" s="128">
        <f t="shared" si="123"/>
        <v>114200</v>
      </c>
      <c r="AY102" s="130">
        <f t="shared" si="175"/>
        <v>3.9E-2</v>
      </c>
      <c r="AZ102" s="128">
        <f t="shared" si="176"/>
        <v>114571.15</v>
      </c>
      <c r="BA102" s="128" t="str">
        <f t="shared" si="177"/>
        <v>nie</v>
      </c>
      <c r="BB102" s="128">
        <f t="shared" si="178"/>
        <v>799.4</v>
      </c>
      <c r="BC102" s="128">
        <f t="shared" si="158"/>
        <v>113853.11750000001</v>
      </c>
      <c r="BD102" s="128">
        <f t="shared" si="179"/>
        <v>300.6314999999953</v>
      </c>
      <c r="BE102" s="130">
        <f t="shared" si="51"/>
        <v>3.5999999999999997E-2</v>
      </c>
      <c r="BF102" s="128">
        <f t="shared" si="180"/>
        <v>3458.9926028142881</v>
      </c>
      <c r="BG102" s="128">
        <f t="shared" si="159"/>
        <v>117011.4786028143</v>
      </c>
      <c r="BI102" s="124">
        <f t="shared" si="124"/>
        <v>59</v>
      </c>
      <c r="BJ102" s="130">
        <f t="shared" si="242"/>
        <v>3.9100000000000003E-2</v>
      </c>
      <c r="BK102" s="127">
        <f t="shared" si="232"/>
        <v>1112</v>
      </c>
      <c r="BL102" s="128">
        <f t="shared" si="233"/>
        <v>111088.8</v>
      </c>
      <c r="BM102" s="128">
        <f t="shared" si="142"/>
        <v>111200</v>
      </c>
      <c r="BN102" s="128">
        <f t="shared" si="234"/>
        <v>116092.8</v>
      </c>
      <c r="BO102" s="130">
        <f t="shared" si="181"/>
        <v>4.3999999999999997E-2</v>
      </c>
      <c r="BP102" s="128">
        <f t="shared" si="182"/>
        <v>120775.2096</v>
      </c>
      <c r="BQ102" s="128" t="str">
        <f t="shared" si="183"/>
        <v>nie</v>
      </c>
      <c r="BR102" s="128">
        <f t="shared" si="184"/>
        <v>1112</v>
      </c>
      <c r="BS102" s="128">
        <f t="shared" si="153"/>
        <v>118055.19977600001</v>
      </c>
      <c r="BT102" s="128">
        <f t="shared" si="128"/>
        <v>0</v>
      </c>
      <c r="BU102" s="130">
        <f t="shared" si="185"/>
        <v>3.5999999999999997E-2</v>
      </c>
      <c r="BV102" s="128">
        <f t="shared" si="60"/>
        <v>85.172132043415402</v>
      </c>
      <c r="BW102" s="128">
        <f t="shared" si="243"/>
        <v>118140.37190804342</v>
      </c>
      <c r="BY102" s="130">
        <f t="shared" si="244"/>
        <v>3.1E-2</v>
      </c>
      <c r="BZ102" s="127">
        <f t="shared" si="235"/>
        <v>1158</v>
      </c>
      <c r="CA102" s="128">
        <f t="shared" si="236"/>
        <v>115696.20000000001</v>
      </c>
      <c r="CB102" s="128">
        <f t="shared" si="154"/>
        <v>115800</v>
      </c>
      <c r="CC102" s="128">
        <f t="shared" si="131"/>
        <v>115800</v>
      </c>
      <c r="CD102" s="130">
        <f t="shared" si="186"/>
        <v>4.7500000000000001E-2</v>
      </c>
      <c r="CE102" s="128">
        <f t="shared" si="187"/>
        <v>120842.12499999999</v>
      </c>
      <c r="CF102" s="128" t="str">
        <f t="shared" si="188"/>
        <v>nie</v>
      </c>
      <c r="CG102" s="128">
        <f t="shared" si="189"/>
        <v>2316</v>
      </c>
      <c r="CH102" s="128">
        <f t="shared" si="160"/>
        <v>118008.16124999999</v>
      </c>
      <c r="CI102" s="128">
        <f t="shared" si="190"/>
        <v>0</v>
      </c>
      <c r="CJ102" s="130">
        <f t="shared" si="68"/>
        <v>3.5999999999999997E-2</v>
      </c>
      <c r="CK102" s="128">
        <f t="shared" si="191"/>
        <v>14.574989773383194</v>
      </c>
      <c r="CL102" s="128">
        <f t="shared" si="192"/>
        <v>118022.73623977337</v>
      </c>
      <c r="CN102" s="127">
        <f t="shared" si="237"/>
        <v>1000</v>
      </c>
      <c r="CO102" s="128">
        <f t="shared" si="238"/>
        <v>100000</v>
      </c>
      <c r="CP102" s="128">
        <f t="shared" si="134"/>
        <v>100000</v>
      </c>
      <c r="CQ102" s="128">
        <f t="shared" si="239"/>
        <v>122304.57083284999</v>
      </c>
      <c r="CR102" s="130">
        <f t="shared" si="193"/>
        <v>5.1000000000000004E-2</v>
      </c>
      <c r="CS102" s="128">
        <f t="shared" si="194"/>
        <v>128022.30951928573</v>
      </c>
      <c r="CT102" s="128" t="str">
        <f t="shared" si="195"/>
        <v>nie</v>
      </c>
      <c r="CU102" s="128">
        <f t="shared" si="196"/>
        <v>3000</v>
      </c>
      <c r="CV102" s="128">
        <f t="shared" si="197"/>
        <v>120268.07071062144</v>
      </c>
      <c r="CW102" s="128">
        <f t="shared" si="76"/>
        <v>0</v>
      </c>
      <c r="CX102" s="130">
        <f t="shared" si="198"/>
        <v>3.5999999999999997E-2</v>
      </c>
      <c r="CY102" s="128">
        <f t="shared" si="199"/>
        <v>0</v>
      </c>
      <c r="CZ102" s="128">
        <f t="shared" si="200"/>
        <v>120268.07071062144</v>
      </c>
      <c r="DA102" s="20"/>
      <c r="DB102" s="127">
        <f t="shared" si="144"/>
        <v>1000</v>
      </c>
      <c r="DC102" s="128">
        <f t="shared" si="145"/>
        <v>100000</v>
      </c>
      <c r="DD102" s="128">
        <f t="shared" si="136"/>
        <v>100000</v>
      </c>
      <c r="DE102" s="128">
        <f t="shared" si="240"/>
        <v>121898.24335499998</v>
      </c>
      <c r="DF102" s="130">
        <f t="shared" si="201"/>
        <v>5.1000000000000004E-2</v>
      </c>
      <c r="DG102" s="128">
        <f t="shared" si="202"/>
        <v>127596.98623184624</v>
      </c>
      <c r="DH102" s="128" t="str">
        <f t="shared" si="203"/>
        <v>nie</v>
      </c>
      <c r="DI102" s="128">
        <f t="shared" si="204"/>
        <v>2000</v>
      </c>
      <c r="DJ102" s="128">
        <f t="shared" si="205"/>
        <v>120733.55884779546</v>
      </c>
      <c r="DK102" s="128">
        <f t="shared" si="85"/>
        <v>0</v>
      </c>
      <c r="DL102" s="130">
        <f t="shared" si="206"/>
        <v>3.5999999999999997E-2</v>
      </c>
      <c r="DM102" s="128">
        <f t="shared" si="207"/>
        <v>0</v>
      </c>
      <c r="DN102" s="128">
        <f t="shared" si="208"/>
        <v>120733.55884779546</v>
      </c>
      <c r="DP102" s="127">
        <f t="shared" si="146"/>
        <v>1000</v>
      </c>
      <c r="DQ102" s="128">
        <f t="shared" si="147"/>
        <v>100000</v>
      </c>
      <c r="DR102" s="128">
        <f t="shared" si="138"/>
        <v>100000</v>
      </c>
      <c r="DS102" s="128">
        <f t="shared" si="241"/>
        <v>124352.82984960002</v>
      </c>
      <c r="DT102" s="130">
        <f t="shared" si="209"/>
        <v>5.6000000000000001E-2</v>
      </c>
      <c r="DU102" s="128">
        <f t="shared" si="210"/>
        <v>130736.2751152128</v>
      </c>
      <c r="DV102" s="128" t="str">
        <f t="shared" si="211"/>
        <v>nie</v>
      </c>
      <c r="DW102" s="128">
        <f t="shared" si="212"/>
        <v>3000</v>
      </c>
      <c r="DX102" s="128">
        <f t="shared" si="93"/>
        <v>122466.38284332237</v>
      </c>
      <c r="DY102" s="128">
        <f t="shared" si="94"/>
        <v>0</v>
      </c>
      <c r="DZ102" s="130">
        <f t="shared" si="213"/>
        <v>3.5999999999999997E-2</v>
      </c>
      <c r="EA102" s="128">
        <f t="shared" si="214"/>
        <v>0</v>
      </c>
      <c r="EB102" s="128">
        <f t="shared" si="215"/>
        <v>122466.38284332237</v>
      </c>
    </row>
    <row r="103" spans="1:132" ht="14.25" customHeight="1">
      <c r="A103" s="212"/>
      <c r="B103" s="188">
        <f t="shared" si="216"/>
        <v>59</v>
      </c>
      <c r="C103" s="128">
        <f t="shared" si="217"/>
        <v>117456.58227142699</v>
      </c>
      <c r="D103" s="128">
        <f t="shared" si="218"/>
        <v>117011.4786028143</v>
      </c>
      <c r="E103" s="128">
        <f t="shared" si="219"/>
        <v>118140.37190804342</v>
      </c>
      <c r="F103" s="128">
        <f t="shared" si="220"/>
        <v>118022.73623977337</v>
      </c>
      <c r="G103" s="128">
        <f t="shared" si="221"/>
        <v>120268.07071062144</v>
      </c>
      <c r="H103" s="128">
        <f t="shared" si="222"/>
        <v>120733.55884779546</v>
      </c>
      <c r="I103" s="128">
        <f t="shared" si="223"/>
        <v>122466.38284332237</v>
      </c>
      <c r="J103" s="128">
        <f t="shared" si="224"/>
        <v>115395.60554157644</v>
      </c>
      <c r="K103" s="128">
        <f t="shared" si="225"/>
        <v>116199.36838413883</v>
      </c>
      <c r="M103" s="36"/>
      <c r="N103" s="32">
        <f t="shared" si="226"/>
        <v>59</v>
      </c>
      <c r="O103" s="25">
        <f t="shared" si="109"/>
        <v>0.1745658227142699</v>
      </c>
      <c r="P103" s="25">
        <f t="shared" si="110"/>
        <v>0.17011478602814289</v>
      </c>
      <c r="Q103" s="25">
        <f t="shared" si="111"/>
        <v>0.18140371908043429</v>
      </c>
      <c r="R103" s="25">
        <f t="shared" si="161"/>
        <v>0.18022736239773374</v>
      </c>
      <c r="S103" s="25">
        <f t="shared" si="162"/>
        <v>0.20268070710621444</v>
      </c>
      <c r="T103" s="25">
        <f t="shared" si="163"/>
        <v>0.20733558847795464</v>
      </c>
      <c r="U103" s="25">
        <f t="shared" si="164"/>
        <v>0.22466382843322363</v>
      </c>
      <c r="V103" s="25">
        <f t="shared" si="165"/>
        <v>0.1539560554157644</v>
      </c>
      <c r="W103" s="25">
        <f t="shared" si="166"/>
        <v>0.16199368384138824</v>
      </c>
      <c r="X103" s="36"/>
      <c r="Y103" s="36"/>
      <c r="AA103" s="124">
        <f t="shared" si="113"/>
        <v>60</v>
      </c>
      <c r="AB103" s="128">
        <f t="shared" si="167"/>
        <v>116491.25562341507</v>
      </c>
      <c r="AC103" s="124">
        <f t="shared" si="114"/>
        <v>60</v>
      </c>
      <c r="AD103" s="130">
        <f t="shared" si="227"/>
        <v>3.7499999999999999E-2</v>
      </c>
      <c r="AE103" s="127">
        <f t="shared" si="228"/>
        <v>1146</v>
      </c>
      <c r="AF103" s="128">
        <f t="shared" si="229"/>
        <v>114488.90000000001</v>
      </c>
      <c r="AG103" s="128">
        <f t="shared" si="140"/>
        <v>114600</v>
      </c>
      <c r="AH103" s="128">
        <f t="shared" si="118"/>
        <v>114600</v>
      </c>
      <c r="AI103" s="130">
        <f t="shared" si="168"/>
        <v>3.7499999999999999E-2</v>
      </c>
      <c r="AJ103" s="128">
        <f t="shared" si="169"/>
        <v>114958.125</v>
      </c>
      <c r="AK103" s="128" t="str">
        <f t="shared" si="170"/>
        <v>tak</v>
      </c>
      <c r="AL103" s="128">
        <f t="shared" si="171"/>
        <v>0</v>
      </c>
      <c r="AM103" s="128">
        <f t="shared" si="150"/>
        <v>114890.08125</v>
      </c>
      <c r="AN103" s="128">
        <f t="shared" si="172"/>
        <v>405.08124999999347</v>
      </c>
      <c r="AO103" s="130">
        <f t="shared" si="173"/>
        <v>3.5999999999999997E-2</v>
      </c>
      <c r="AP103" s="128">
        <f t="shared" si="174"/>
        <v>3733.8628522465506</v>
      </c>
      <c r="AQ103" s="128">
        <f t="shared" si="156"/>
        <v>118218.86285224656</v>
      </c>
      <c r="AS103" s="124">
        <f t="shared" si="119"/>
        <v>60</v>
      </c>
      <c r="AT103" s="130">
        <f t="shared" si="120"/>
        <v>3.7499999999999999E-2</v>
      </c>
      <c r="AU103" s="127">
        <f t="shared" si="230"/>
        <v>1142</v>
      </c>
      <c r="AV103" s="128">
        <f t="shared" si="231"/>
        <v>114092.8</v>
      </c>
      <c r="AW103" s="128">
        <f t="shared" si="151"/>
        <v>114200</v>
      </c>
      <c r="AX103" s="128">
        <f t="shared" si="123"/>
        <v>114200</v>
      </c>
      <c r="AY103" s="130">
        <f t="shared" si="175"/>
        <v>3.9E-2</v>
      </c>
      <c r="AZ103" s="128">
        <f t="shared" si="176"/>
        <v>114571.15</v>
      </c>
      <c r="BA103" s="128" t="str">
        <f t="shared" si="177"/>
        <v>nie</v>
      </c>
      <c r="BB103" s="128">
        <f t="shared" si="178"/>
        <v>799.4</v>
      </c>
      <c r="BC103" s="128">
        <f t="shared" si="158"/>
        <v>113853.11750000001</v>
      </c>
      <c r="BD103" s="128">
        <f t="shared" si="179"/>
        <v>300.6314999999953</v>
      </c>
      <c r="BE103" s="130">
        <f t="shared" si="51"/>
        <v>3.5999999999999997E-2</v>
      </c>
      <c r="BF103" s="128">
        <f t="shared" si="180"/>
        <v>3768.0294548391221</v>
      </c>
      <c r="BG103" s="128">
        <f t="shared" si="159"/>
        <v>117320.51545483913</v>
      </c>
      <c r="BI103" s="124">
        <f t="shared" si="124"/>
        <v>60</v>
      </c>
      <c r="BJ103" s="130">
        <f t="shared" si="242"/>
        <v>3.9100000000000003E-2</v>
      </c>
      <c r="BK103" s="127">
        <f t="shared" si="232"/>
        <v>1112</v>
      </c>
      <c r="BL103" s="128">
        <f t="shared" si="233"/>
        <v>111088.8</v>
      </c>
      <c r="BM103" s="128">
        <f t="shared" si="142"/>
        <v>111200</v>
      </c>
      <c r="BN103" s="128">
        <f t="shared" si="234"/>
        <v>116092.8</v>
      </c>
      <c r="BO103" s="130">
        <f t="shared" si="181"/>
        <v>4.3999999999999997E-2</v>
      </c>
      <c r="BP103" s="128">
        <f t="shared" si="182"/>
        <v>121200.88320000001</v>
      </c>
      <c r="BQ103" s="128" t="str">
        <f t="shared" si="183"/>
        <v>nie</v>
      </c>
      <c r="BR103" s="128">
        <f t="shared" si="184"/>
        <v>1112</v>
      </c>
      <c r="BS103" s="128">
        <f t="shared" si="153"/>
        <v>118399.99539200001</v>
      </c>
      <c r="BT103" s="128">
        <f t="shared" si="128"/>
        <v>0</v>
      </c>
      <c r="BU103" s="130">
        <f t="shared" si="185"/>
        <v>3.5999999999999997E-2</v>
      </c>
      <c r="BV103" s="128">
        <f t="shared" si="60"/>
        <v>85.379100324280898</v>
      </c>
      <c r="BW103" s="128">
        <f t="shared" si="243"/>
        <v>118485.37449232429</v>
      </c>
      <c r="BY103" s="130">
        <f t="shared" si="244"/>
        <v>3.1E-2</v>
      </c>
      <c r="BZ103" s="127">
        <f t="shared" si="235"/>
        <v>1158</v>
      </c>
      <c r="CA103" s="128">
        <f t="shared" si="236"/>
        <v>115696.20000000001</v>
      </c>
      <c r="CB103" s="128">
        <f t="shared" si="154"/>
        <v>115800</v>
      </c>
      <c r="CC103" s="128">
        <f t="shared" si="131"/>
        <v>115800</v>
      </c>
      <c r="CD103" s="130">
        <f t="shared" si="186"/>
        <v>4.7500000000000001E-2</v>
      </c>
      <c r="CE103" s="128">
        <f t="shared" si="187"/>
        <v>121300.50000000001</v>
      </c>
      <c r="CF103" s="128" t="str">
        <f t="shared" si="188"/>
        <v>nie</v>
      </c>
      <c r="CG103" s="128">
        <f t="shared" si="189"/>
        <v>2316</v>
      </c>
      <c r="CH103" s="128">
        <f t="shared" si="160"/>
        <v>118379.44500000001</v>
      </c>
      <c r="CI103" s="128">
        <f t="shared" si="190"/>
        <v>4455.4050000000125</v>
      </c>
      <c r="CJ103" s="130">
        <f t="shared" si="68"/>
        <v>3.5999999999999997E-2</v>
      </c>
      <c r="CK103" s="128">
        <f t="shared" si="191"/>
        <v>4470.0154069985447</v>
      </c>
      <c r="CL103" s="128">
        <f t="shared" si="192"/>
        <v>118394.05540699854</v>
      </c>
      <c r="CN103" s="127">
        <f t="shared" si="237"/>
        <v>1000</v>
      </c>
      <c r="CO103" s="128">
        <f t="shared" si="238"/>
        <v>100000</v>
      </c>
      <c r="CP103" s="128">
        <f t="shared" si="134"/>
        <v>100000</v>
      </c>
      <c r="CQ103" s="128">
        <f t="shared" si="239"/>
        <v>122304.57083284999</v>
      </c>
      <c r="CR103" s="130">
        <f t="shared" si="193"/>
        <v>5.1000000000000004E-2</v>
      </c>
      <c r="CS103" s="128">
        <f t="shared" si="194"/>
        <v>128542.10394532533</v>
      </c>
      <c r="CT103" s="128" t="str">
        <f t="shared" si="195"/>
        <v>nie</v>
      </c>
      <c r="CU103" s="128">
        <f t="shared" si="196"/>
        <v>3000</v>
      </c>
      <c r="CV103" s="128">
        <f t="shared" si="197"/>
        <v>120689.10419571352</v>
      </c>
      <c r="CW103" s="128">
        <f t="shared" si="76"/>
        <v>0</v>
      </c>
      <c r="CX103" s="130">
        <f t="shared" si="198"/>
        <v>3.5999999999999997E-2</v>
      </c>
      <c r="CY103" s="128">
        <f t="shared" si="199"/>
        <v>0</v>
      </c>
      <c r="CZ103" s="128">
        <f t="shared" si="200"/>
        <v>120689.10419571352</v>
      </c>
      <c r="DA103" s="20"/>
      <c r="DB103" s="127">
        <f t="shared" si="144"/>
        <v>1000</v>
      </c>
      <c r="DC103" s="128">
        <f t="shared" si="145"/>
        <v>100000</v>
      </c>
      <c r="DD103" s="128">
        <f t="shared" si="136"/>
        <v>100000</v>
      </c>
      <c r="DE103" s="128">
        <f t="shared" si="240"/>
        <v>121898.24335499998</v>
      </c>
      <c r="DF103" s="130">
        <f t="shared" si="201"/>
        <v>5.1000000000000004E-2</v>
      </c>
      <c r="DG103" s="128">
        <f t="shared" si="202"/>
        <v>128115.05376610497</v>
      </c>
      <c r="DH103" s="128" t="str">
        <f t="shared" si="203"/>
        <v>nie</v>
      </c>
      <c r="DI103" s="128">
        <f t="shared" si="204"/>
        <v>2000</v>
      </c>
      <c r="DJ103" s="128">
        <f t="shared" si="205"/>
        <v>121153.19355054502</v>
      </c>
      <c r="DK103" s="128">
        <f t="shared" si="85"/>
        <v>0</v>
      </c>
      <c r="DL103" s="130">
        <f t="shared" si="206"/>
        <v>3.5999999999999997E-2</v>
      </c>
      <c r="DM103" s="128">
        <f t="shared" si="207"/>
        <v>0</v>
      </c>
      <c r="DN103" s="128">
        <f t="shared" si="208"/>
        <v>121153.19355054502</v>
      </c>
      <c r="DP103" s="127">
        <f t="shared" si="146"/>
        <v>1000</v>
      </c>
      <c r="DQ103" s="128">
        <f t="shared" si="147"/>
        <v>100000</v>
      </c>
      <c r="DR103" s="128">
        <f t="shared" si="138"/>
        <v>100000</v>
      </c>
      <c r="DS103" s="128">
        <f t="shared" si="241"/>
        <v>124352.82984960002</v>
      </c>
      <c r="DT103" s="130">
        <f t="shared" si="209"/>
        <v>5.6000000000000001E-2</v>
      </c>
      <c r="DU103" s="128">
        <f t="shared" si="210"/>
        <v>131316.58832117764</v>
      </c>
      <c r="DV103" s="128" t="str">
        <f t="shared" si="211"/>
        <v>nie</v>
      </c>
      <c r="DW103" s="128">
        <f t="shared" si="212"/>
        <v>3000</v>
      </c>
      <c r="DX103" s="128">
        <f t="shared" si="93"/>
        <v>122936.43654015388</v>
      </c>
      <c r="DY103" s="128">
        <f t="shared" si="94"/>
        <v>0</v>
      </c>
      <c r="DZ103" s="130">
        <f t="shared" si="213"/>
        <v>3.5999999999999997E-2</v>
      </c>
      <c r="EA103" s="128">
        <f t="shared" si="214"/>
        <v>0</v>
      </c>
      <c r="EB103" s="128">
        <f t="shared" si="215"/>
        <v>122936.43654015388</v>
      </c>
    </row>
    <row r="104" spans="1:132">
      <c r="A104" s="212"/>
      <c r="B104" s="188">
        <f t="shared" si="216"/>
        <v>60</v>
      </c>
      <c r="C104" s="128">
        <f t="shared" si="217"/>
        <v>118218.86285224656</v>
      </c>
      <c r="D104" s="128">
        <f t="shared" si="218"/>
        <v>117320.51545483913</v>
      </c>
      <c r="E104" s="128">
        <f t="shared" si="219"/>
        <v>118485.37449232429</v>
      </c>
      <c r="F104" s="128">
        <f t="shared" si="220"/>
        <v>118394.05540699854</v>
      </c>
      <c r="G104" s="128">
        <f t="shared" si="221"/>
        <v>120689.10419571352</v>
      </c>
      <c r="H104" s="128">
        <f t="shared" si="222"/>
        <v>121153.19355054502</v>
      </c>
      <c r="I104" s="128">
        <f t="shared" si="223"/>
        <v>122936.43654015388</v>
      </c>
      <c r="J104" s="128">
        <f t="shared" si="224"/>
        <v>115676.01686304246</v>
      </c>
      <c r="K104" s="128">
        <f t="shared" si="225"/>
        <v>116491.25562341507</v>
      </c>
      <c r="M104" s="36"/>
      <c r="N104" s="32">
        <f t="shared" si="226"/>
        <v>60</v>
      </c>
      <c r="O104" s="25">
        <f t="shared" si="109"/>
        <v>0.18218862852246565</v>
      </c>
      <c r="P104" s="25">
        <f t="shared" si="110"/>
        <v>0.17320515454839125</v>
      </c>
      <c r="Q104" s="25">
        <f t="shared" si="111"/>
        <v>0.18485374492324302</v>
      </c>
      <c r="R104" s="25">
        <f t="shared" si="161"/>
        <v>0.18394055406998544</v>
      </c>
      <c r="S104" s="25">
        <f t="shared" si="162"/>
        <v>0.20689104195713526</v>
      </c>
      <c r="T104" s="25">
        <f t="shared" si="163"/>
        <v>0.21153193550545013</v>
      </c>
      <c r="U104" s="25">
        <f t="shared" si="164"/>
        <v>0.22936436540153871</v>
      </c>
      <c r="V104" s="25">
        <f t="shared" si="165"/>
        <v>0.15676016863042452</v>
      </c>
      <c r="W104" s="25">
        <f t="shared" si="166"/>
        <v>0.16491255623415069</v>
      </c>
      <c r="X104" s="36"/>
      <c r="Y104" s="36"/>
      <c r="AA104" s="124">
        <f t="shared" si="113"/>
        <v>61</v>
      </c>
      <c r="AB104" s="128">
        <f t="shared" si="167"/>
        <v>116792.1913671089</v>
      </c>
      <c r="AC104" s="124">
        <f t="shared" si="114"/>
        <v>61</v>
      </c>
      <c r="AD104" s="130">
        <f t="shared" si="227"/>
        <v>3.7499999999999999E-2</v>
      </c>
      <c r="AE104" s="127">
        <f t="shared" si="228"/>
        <v>1187</v>
      </c>
      <c r="AF104" s="128">
        <f t="shared" si="229"/>
        <v>118585</v>
      </c>
      <c r="AG104" s="128">
        <f t="shared" si="140"/>
        <v>118700</v>
      </c>
      <c r="AH104" s="128">
        <f t="shared" si="118"/>
        <v>118700</v>
      </c>
      <c r="AI104" s="130">
        <f t="shared" si="168"/>
        <v>0.04</v>
      </c>
      <c r="AJ104" s="128">
        <f t="shared" si="169"/>
        <v>119095.66666666667</v>
      </c>
      <c r="AK104" s="128" t="str">
        <f t="shared" si="170"/>
        <v>nie</v>
      </c>
      <c r="AL104" s="128">
        <f t="shared" si="171"/>
        <v>395.66666666667152</v>
      </c>
      <c r="AM104" s="128">
        <f t="shared" si="150"/>
        <v>118700</v>
      </c>
      <c r="AN104" s="128">
        <f t="shared" si="172"/>
        <v>320.49000000000393</v>
      </c>
      <c r="AO104" s="130">
        <f t="shared" si="173"/>
        <v>3.5999999999999997E-2</v>
      </c>
      <c r="AP104" s="128">
        <f t="shared" si="174"/>
        <v>354.43513897751365</v>
      </c>
      <c r="AQ104" s="128">
        <f t="shared" si="156"/>
        <v>122442.93613897751</v>
      </c>
      <c r="AS104" s="124">
        <f t="shared" si="119"/>
        <v>61</v>
      </c>
      <c r="AT104" s="130">
        <f t="shared" si="120"/>
        <v>3.7499999999999999E-2</v>
      </c>
      <c r="AU104" s="127">
        <f t="shared" si="230"/>
        <v>1142</v>
      </c>
      <c r="AV104" s="128">
        <f t="shared" si="231"/>
        <v>114092.8</v>
      </c>
      <c r="AW104" s="128">
        <f t="shared" si="151"/>
        <v>114200</v>
      </c>
      <c r="AX104" s="128">
        <f t="shared" si="123"/>
        <v>114200</v>
      </c>
      <c r="AY104" s="130">
        <f t="shared" si="175"/>
        <v>3.9E-2</v>
      </c>
      <c r="AZ104" s="128">
        <f t="shared" si="176"/>
        <v>114571.15</v>
      </c>
      <c r="BA104" s="128" t="str">
        <f t="shared" si="177"/>
        <v>nie</v>
      </c>
      <c r="BB104" s="128">
        <f t="shared" si="178"/>
        <v>799.4</v>
      </c>
      <c r="BC104" s="128">
        <f t="shared" si="158"/>
        <v>113853.11750000001</v>
      </c>
      <c r="BD104" s="128">
        <f t="shared" si="179"/>
        <v>300.6314999999953</v>
      </c>
      <c r="BE104" s="130">
        <f t="shared" si="51"/>
        <v>3.5999999999999997E-2</v>
      </c>
      <c r="BF104" s="128">
        <f t="shared" si="180"/>
        <v>4077.8172664143763</v>
      </c>
      <c r="BG104" s="128">
        <f t="shared" si="159"/>
        <v>117630.30326641438</v>
      </c>
      <c r="BI104" s="124">
        <f t="shared" si="124"/>
        <v>61</v>
      </c>
      <c r="BJ104" s="130">
        <f t="shared" si="242"/>
        <v>3.9100000000000003E-2</v>
      </c>
      <c r="BK104" s="127">
        <f t="shared" si="232"/>
        <v>1112</v>
      </c>
      <c r="BL104" s="128">
        <f t="shared" si="233"/>
        <v>111088.8</v>
      </c>
      <c r="BM104" s="128">
        <f t="shared" si="142"/>
        <v>111200</v>
      </c>
      <c r="BN104" s="128">
        <f t="shared" si="234"/>
        <v>121200.88320000001</v>
      </c>
      <c r="BO104" s="130">
        <f t="shared" si="181"/>
        <v>4.3999999999999997E-2</v>
      </c>
      <c r="BP104" s="128">
        <f t="shared" si="182"/>
        <v>121645.28643840001</v>
      </c>
      <c r="BQ104" s="128" t="str">
        <f t="shared" si="183"/>
        <v>nie</v>
      </c>
      <c r="BR104" s="128">
        <f t="shared" si="184"/>
        <v>1112</v>
      </c>
      <c r="BS104" s="128">
        <f t="shared" si="153"/>
        <v>118759.96201510401</v>
      </c>
      <c r="BT104" s="128">
        <f t="shared" si="128"/>
        <v>0</v>
      </c>
      <c r="BU104" s="130">
        <f t="shared" si="185"/>
        <v>3.5999999999999997E-2</v>
      </c>
      <c r="BV104" s="128">
        <f t="shared" si="60"/>
        <v>85.586571538068895</v>
      </c>
      <c r="BW104" s="128">
        <f t="shared" si="243"/>
        <v>118845.54858664208</v>
      </c>
      <c r="BY104" s="130">
        <f t="shared" si="244"/>
        <v>3.1E-2</v>
      </c>
      <c r="BZ104" s="127">
        <f t="shared" si="235"/>
        <v>1158</v>
      </c>
      <c r="CA104" s="128">
        <f t="shared" si="236"/>
        <v>115696.20000000001</v>
      </c>
      <c r="CB104" s="128">
        <f t="shared" si="154"/>
        <v>115800</v>
      </c>
      <c r="CC104" s="128">
        <f t="shared" si="131"/>
        <v>115800</v>
      </c>
      <c r="CD104" s="130">
        <f t="shared" si="186"/>
        <v>4.5999999999999999E-2</v>
      </c>
      <c r="CE104" s="128">
        <f t="shared" si="187"/>
        <v>116243.90000000001</v>
      </c>
      <c r="CF104" s="128" t="str">
        <f t="shared" si="188"/>
        <v>nie</v>
      </c>
      <c r="CG104" s="128">
        <f t="shared" si="189"/>
        <v>2316</v>
      </c>
      <c r="CH104" s="128">
        <f t="shared" si="160"/>
        <v>114283.599</v>
      </c>
      <c r="CI104" s="128">
        <f t="shared" si="190"/>
        <v>0</v>
      </c>
      <c r="CJ104" s="130">
        <f t="shared" si="68"/>
        <v>3.5999999999999997E-2</v>
      </c>
      <c r="CK104" s="128">
        <f t="shared" si="191"/>
        <v>4480.8775444375506</v>
      </c>
      <c r="CL104" s="128">
        <f t="shared" si="192"/>
        <v>118764.47654443755</v>
      </c>
      <c r="CN104" s="127">
        <f t="shared" si="237"/>
        <v>1000</v>
      </c>
      <c r="CO104" s="128">
        <f t="shared" si="238"/>
        <v>100000</v>
      </c>
      <c r="CP104" s="128">
        <f t="shared" si="134"/>
        <v>100000</v>
      </c>
      <c r="CQ104" s="128">
        <f t="shared" si="239"/>
        <v>128542.10394532533</v>
      </c>
      <c r="CR104" s="130">
        <f t="shared" si="193"/>
        <v>5.1000000000000004E-2</v>
      </c>
      <c r="CS104" s="128">
        <f t="shared" si="194"/>
        <v>129088.40788709298</v>
      </c>
      <c r="CT104" s="128" t="str">
        <f t="shared" si="195"/>
        <v>nie</v>
      </c>
      <c r="CU104" s="128">
        <f t="shared" si="196"/>
        <v>3000</v>
      </c>
      <c r="CV104" s="128">
        <f t="shared" si="197"/>
        <v>121131.61038854532</v>
      </c>
      <c r="CW104" s="128">
        <f t="shared" si="76"/>
        <v>0</v>
      </c>
      <c r="CX104" s="130">
        <f t="shared" si="198"/>
        <v>3.5999999999999997E-2</v>
      </c>
      <c r="CY104" s="128">
        <f t="shared" si="199"/>
        <v>0</v>
      </c>
      <c r="CZ104" s="128">
        <f t="shared" si="200"/>
        <v>121131.61038854532</v>
      </c>
      <c r="DA104" s="20"/>
      <c r="DB104" s="127">
        <f t="shared" si="144"/>
        <v>1000</v>
      </c>
      <c r="DC104" s="128">
        <f t="shared" si="145"/>
        <v>100000</v>
      </c>
      <c r="DD104" s="128">
        <f t="shared" si="136"/>
        <v>100000</v>
      </c>
      <c r="DE104" s="128">
        <f t="shared" si="240"/>
        <v>128115.05376610497</v>
      </c>
      <c r="DF104" s="130">
        <f t="shared" si="201"/>
        <v>5.1000000000000004E-2</v>
      </c>
      <c r="DG104" s="128">
        <f t="shared" si="202"/>
        <v>128659.54274461094</v>
      </c>
      <c r="DH104" s="128" t="str">
        <f t="shared" si="203"/>
        <v>nie</v>
      </c>
      <c r="DI104" s="128">
        <f t="shared" si="204"/>
        <v>2000</v>
      </c>
      <c r="DJ104" s="128">
        <f t="shared" si="205"/>
        <v>121594.22962313486</v>
      </c>
      <c r="DK104" s="128">
        <f t="shared" si="85"/>
        <v>0</v>
      </c>
      <c r="DL104" s="130">
        <f t="shared" si="206"/>
        <v>3.5999999999999997E-2</v>
      </c>
      <c r="DM104" s="128">
        <f t="shared" si="207"/>
        <v>0</v>
      </c>
      <c r="DN104" s="128">
        <f t="shared" si="208"/>
        <v>121594.22962313486</v>
      </c>
      <c r="DP104" s="127">
        <f t="shared" si="146"/>
        <v>1000</v>
      </c>
      <c r="DQ104" s="128">
        <f t="shared" si="147"/>
        <v>100000</v>
      </c>
      <c r="DR104" s="128">
        <f t="shared" si="138"/>
        <v>100000</v>
      </c>
      <c r="DS104" s="128">
        <f t="shared" si="241"/>
        <v>131316.58832117764</v>
      </c>
      <c r="DT104" s="130">
        <f t="shared" si="209"/>
        <v>5.6000000000000001E-2</v>
      </c>
      <c r="DU104" s="128">
        <f t="shared" si="210"/>
        <v>131929.39906667644</v>
      </c>
      <c r="DV104" s="128" t="str">
        <f t="shared" si="211"/>
        <v>nie</v>
      </c>
      <c r="DW104" s="128">
        <f t="shared" si="212"/>
        <v>3000</v>
      </c>
      <c r="DX104" s="128">
        <f t="shared" si="93"/>
        <v>123432.81324400792</v>
      </c>
      <c r="DY104" s="128">
        <f t="shared" si="94"/>
        <v>0</v>
      </c>
      <c r="DZ104" s="130">
        <f t="shared" si="213"/>
        <v>3.5999999999999997E-2</v>
      </c>
      <c r="EA104" s="128">
        <f t="shared" si="214"/>
        <v>0</v>
      </c>
      <c r="EB104" s="128">
        <f t="shared" si="215"/>
        <v>123432.81324400792</v>
      </c>
    </row>
    <row r="105" spans="1:132">
      <c r="A105" s="212">
        <f>ROUNDUP(B116/12,0)</f>
        <v>6</v>
      </c>
      <c r="B105" s="188">
        <f t="shared" si="216"/>
        <v>61</v>
      </c>
      <c r="C105" s="128">
        <f t="shared" si="217"/>
        <v>122442.93613897751</v>
      </c>
      <c r="D105" s="128">
        <f t="shared" si="218"/>
        <v>117630.30326641438</v>
      </c>
      <c r="E105" s="128">
        <f t="shared" si="219"/>
        <v>118845.54858664208</v>
      </c>
      <c r="F105" s="128">
        <f t="shared" si="220"/>
        <v>118764.47654443755</v>
      </c>
      <c r="G105" s="128">
        <f t="shared" si="221"/>
        <v>121131.61038854532</v>
      </c>
      <c r="H105" s="128">
        <f t="shared" si="222"/>
        <v>121594.22962313486</v>
      </c>
      <c r="I105" s="128">
        <f t="shared" si="223"/>
        <v>123432.81324400792</v>
      </c>
      <c r="J105" s="128">
        <f t="shared" si="224"/>
        <v>115957.10958401965</v>
      </c>
      <c r="K105" s="128">
        <f t="shared" si="225"/>
        <v>116792.1913671089</v>
      </c>
      <c r="M105" s="36"/>
      <c r="N105" s="32">
        <f t="shared" si="226"/>
        <v>61</v>
      </c>
      <c r="O105" s="25">
        <f t="shared" si="109"/>
        <v>0.22442936138977521</v>
      </c>
      <c r="P105" s="25">
        <f t="shared" si="110"/>
        <v>0.17630303266414393</v>
      </c>
      <c r="Q105" s="25">
        <f t="shared" si="111"/>
        <v>0.18845548586642069</v>
      </c>
      <c r="R105" s="25">
        <f t="shared" si="161"/>
        <v>0.18764476544437558</v>
      </c>
      <c r="S105" s="25">
        <f t="shared" si="162"/>
        <v>0.21131610388545319</v>
      </c>
      <c r="T105" s="25">
        <f t="shared" si="163"/>
        <v>0.21594229623134864</v>
      </c>
      <c r="U105" s="25">
        <f t="shared" si="164"/>
        <v>0.23432813244007922</v>
      </c>
      <c r="V105" s="25">
        <f t="shared" si="165"/>
        <v>0.15957109584019658</v>
      </c>
      <c r="W105" s="25">
        <f t="shared" si="166"/>
        <v>0.167921913671089</v>
      </c>
      <c r="X105" s="36"/>
      <c r="Y105" s="36"/>
      <c r="AA105" s="124">
        <f t="shared" si="113"/>
        <v>62</v>
      </c>
      <c r="AB105" s="128">
        <f t="shared" si="167"/>
        <v>117093.12711080273</v>
      </c>
      <c r="AC105" s="124">
        <f t="shared" si="114"/>
        <v>62</v>
      </c>
      <c r="AD105" s="130">
        <f t="shared" si="227"/>
        <v>3.7499999999999999E-2</v>
      </c>
      <c r="AE105" s="127">
        <f t="shared" si="228"/>
        <v>1187</v>
      </c>
      <c r="AF105" s="128">
        <f t="shared" si="229"/>
        <v>118585</v>
      </c>
      <c r="AG105" s="128">
        <f t="shared" si="140"/>
        <v>118700</v>
      </c>
      <c r="AH105" s="128">
        <f t="shared" si="118"/>
        <v>118700</v>
      </c>
      <c r="AI105" s="130">
        <f t="shared" si="168"/>
        <v>3.7499999999999999E-2</v>
      </c>
      <c r="AJ105" s="128">
        <f t="shared" si="169"/>
        <v>119070.9375</v>
      </c>
      <c r="AK105" s="128" t="str">
        <f t="shared" si="170"/>
        <v>nie</v>
      </c>
      <c r="AL105" s="128">
        <f t="shared" si="171"/>
        <v>593.5</v>
      </c>
      <c r="AM105" s="128">
        <f t="shared" si="150"/>
        <v>118519.72437500001</v>
      </c>
      <c r="AN105" s="128">
        <f t="shared" si="172"/>
        <v>300.45937500000002</v>
      </c>
      <c r="AO105" s="130">
        <f t="shared" si="173"/>
        <v>3.5999999999999997E-2</v>
      </c>
      <c r="AP105" s="128">
        <f t="shared" si="174"/>
        <v>655.75579136522902</v>
      </c>
      <c r="AQ105" s="128">
        <f t="shared" si="156"/>
        <v>118875.02079136524</v>
      </c>
      <c r="AS105" s="124">
        <f t="shared" si="119"/>
        <v>62</v>
      </c>
      <c r="AT105" s="130">
        <f t="shared" si="120"/>
        <v>3.7499999999999999E-2</v>
      </c>
      <c r="AU105" s="127">
        <f t="shared" si="230"/>
        <v>1142</v>
      </c>
      <c r="AV105" s="128">
        <f t="shared" si="231"/>
        <v>114092.8</v>
      </c>
      <c r="AW105" s="128">
        <f t="shared" si="151"/>
        <v>114200</v>
      </c>
      <c r="AX105" s="128">
        <f t="shared" si="123"/>
        <v>114200</v>
      </c>
      <c r="AY105" s="130">
        <f t="shared" si="175"/>
        <v>3.9E-2</v>
      </c>
      <c r="AZ105" s="128">
        <f t="shared" si="176"/>
        <v>114571.15</v>
      </c>
      <c r="BA105" s="128" t="str">
        <f t="shared" si="177"/>
        <v>nie</v>
      </c>
      <c r="BB105" s="128">
        <f t="shared" si="178"/>
        <v>799.4</v>
      </c>
      <c r="BC105" s="128">
        <f t="shared" si="158"/>
        <v>113853.11750000001</v>
      </c>
      <c r="BD105" s="128">
        <f t="shared" si="179"/>
        <v>300.6314999999953</v>
      </c>
      <c r="BE105" s="130">
        <f t="shared" si="51"/>
        <v>3.5999999999999997E-2</v>
      </c>
      <c r="BF105" s="128">
        <f t="shared" si="180"/>
        <v>4388.3578623717585</v>
      </c>
      <c r="BG105" s="128">
        <f t="shared" si="159"/>
        <v>117940.84386237177</v>
      </c>
      <c r="BI105" s="124">
        <f t="shared" si="124"/>
        <v>62</v>
      </c>
      <c r="BJ105" s="130">
        <f t="shared" si="242"/>
        <v>3.9100000000000003E-2</v>
      </c>
      <c r="BK105" s="127">
        <f t="shared" si="232"/>
        <v>1112</v>
      </c>
      <c r="BL105" s="128">
        <f t="shared" si="233"/>
        <v>111088.8</v>
      </c>
      <c r="BM105" s="128">
        <f t="shared" si="142"/>
        <v>111200</v>
      </c>
      <c r="BN105" s="128">
        <f t="shared" si="234"/>
        <v>121200.88320000001</v>
      </c>
      <c r="BO105" s="130">
        <f t="shared" si="181"/>
        <v>4.3999999999999997E-2</v>
      </c>
      <c r="BP105" s="128">
        <f t="shared" si="182"/>
        <v>122089.68967680002</v>
      </c>
      <c r="BQ105" s="128" t="str">
        <f t="shared" si="183"/>
        <v>nie</v>
      </c>
      <c r="BR105" s="128">
        <f t="shared" si="184"/>
        <v>1112</v>
      </c>
      <c r="BS105" s="128">
        <f t="shared" si="153"/>
        <v>119119.92863820802</v>
      </c>
      <c r="BT105" s="128">
        <f t="shared" si="128"/>
        <v>0</v>
      </c>
      <c r="BU105" s="130">
        <f t="shared" si="185"/>
        <v>3.5999999999999997E-2</v>
      </c>
      <c r="BV105" s="128">
        <f t="shared" si="60"/>
        <v>85.79454690690639</v>
      </c>
      <c r="BW105" s="128">
        <f t="shared" si="243"/>
        <v>119205.72318511493</v>
      </c>
      <c r="BY105" s="130">
        <f t="shared" si="244"/>
        <v>3.1E-2</v>
      </c>
      <c r="BZ105" s="127">
        <f t="shared" si="235"/>
        <v>1158</v>
      </c>
      <c r="CA105" s="128">
        <f t="shared" si="236"/>
        <v>115696.20000000001</v>
      </c>
      <c r="CB105" s="128">
        <f t="shared" si="154"/>
        <v>115800</v>
      </c>
      <c r="CC105" s="128">
        <f t="shared" si="131"/>
        <v>115800</v>
      </c>
      <c r="CD105" s="130">
        <f t="shared" si="186"/>
        <v>4.5999999999999999E-2</v>
      </c>
      <c r="CE105" s="128">
        <f t="shared" si="187"/>
        <v>116687.8</v>
      </c>
      <c r="CF105" s="128" t="str">
        <f t="shared" si="188"/>
        <v>nie</v>
      </c>
      <c r="CG105" s="128">
        <f t="shared" si="189"/>
        <v>2316</v>
      </c>
      <c r="CH105" s="128">
        <f t="shared" si="160"/>
        <v>114643.158</v>
      </c>
      <c r="CI105" s="128">
        <f t="shared" si="190"/>
        <v>0</v>
      </c>
      <c r="CJ105" s="130">
        <f t="shared" si="68"/>
        <v>3.5999999999999997E-2</v>
      </c>
      <c r="CK105" s="128">
        <f t="shared" si="191"/>
        <v>4491.7660768705337</v>
      </c>
      <c r="CL105" s="128">
        <f t="shared" si="192"/>
        <v>119134.92407687053</v>
      </c>
      <c r="CN105" s="127">
        <f t="shared" si="237"/>
        <v>1000</v>
      </c>
      <c r="CO105" s="128">
        <f t="shared" si="238"/>
        <v>100000</v>
      </c>
      <c r="CP105" s="128">
        <f t="shared" si="134"/>
        <v>100000</v>
      </c>
      <c r="CQ105" s="128">
        <f t="shared" si="239"/>
        <v>128542.10394532533</v>
      </c>
      <c r="CR105" s="130">
        <f t="shared" si="193"/>
        <v>5.1000000000000004E-2</v>
      </c>
      <c r="CS105" s="128">
        <f t="shared" si="194"/>
        <v>129634.71182886059</v>
      </c>
      <c r="CT105" s="128" t="str">
        <f t="shared" si="195"/>
        <v>nie</v>
      </c>
      <c r="CU105" s="128">
        <f t="shared" si="196"/>
        <v>3000</v>
      </c>
      <c r="CV105" s="128">
        <f t="shared" si="197"/>
        <v>121574.11658137708</v>
      </c>
      <c r="CW105" s="128">
        <f t="shared" si="76"/>
        <v>0</v>
      </c>
      <c r="CX105" s="130">
        <f t="shared" si="198"/>
        <v>3.5999999999999997E-2</v>
      </c>
      <c r="CY105" s="128">
        <f t="shared" si="199"/>
        <v>0</v>
      </c>
      <c r="CZ105" s="128">
        <f t="shared" si="200"/>
        <v>121574.11658137708</v>
      </c>
      <c r="DA105" s="20"/>
      <c r="DB105" s="127">
        <f t="shared" si="144"/>
        <v>1000</v>
      </c>
      <c r="DC105" s="128">
        <f t="shared" si="145"/>
        <v>100000</v>
      </c>
      <c r="DD105" s="128">
        <f t="shared" si="136"/>
        <v>100000</v>
      </c>
      <c r="DE105" s="128">
        <f t="shared" si="240"/>
        <v>128115.05376610497</v>
      </c>
      <c r="DF105" s="130">
        <f t="shared" si="201"/>
        <v>5.1000000000000004E-2</v>
      </c>
      <c r="DG105" s="128">
        <f t="shared" si="202"/>
        <v>129204.03172311686</v>
      </c>
      <c r="DH105" s="128" t="str">
        <f t="shared" si="203"/>
        <v>nie</v>
      </c>
      <c r="DI105" s="128">
        <f t="shared" si="204"/>
        <v>2000</v>
      </c>
      <c r="DJ105" s="128">
        <f t="shared" si="205"/>
        <v>122035.26569572465</v>
      </c>
      <c r="DK105" s="128">
        <f t="shared" si="85"/>
        <v>0</v>
      </c>
      <c r="DL105" s="130">
        <f t="shared" si="206"/>
        <v>3.5999999999999997E-2</v>
      </c>
      <c r="DM105" s="128">
        <f t="shared" si="207"/>
        <v>0</v>
      </c>
      <c r="DN105" s="128">
        <f t="shared" si="208"/>
        <v>122035.26569572465</v>
      </c>
      <c r="DP105" s="127">
        <f t="shared" si="146"/>
        <v>1000</v>
      </c>
      <c r="DQ105" s="128">
        <f t="shared" si="147"/>
        <v>100000</v>
      </c>
      <c r="DR105" s="128">
        <f t="shared" si="138"/>
        <v>100000</v>
      </c>
      <c r="DS105" s="128">
        <f t="shared" si="241"/>
        <v>131316.58832117764</v>
      </c>
      <c r="DT105" s="130">
        <f t="shared" si="209"/>
        <v>5.6000000000000001E-2</v>
      </c>
      <c r="DU105" s="128">
        <f t="shared" si="210"/>
        <v>132542.20981217531</v>
      </c>
      <c r="DV105" s="128" t="str">
        <f t="shared" si="211"/>
        <v>nie</v>
      </c>
      <c r="DW105" s="128">
        <f t="shared" si="212"/>
        <v>3000</v>
      </c>
      <c r="DX105" s="128">
        <f t="shared" si="93"/>
        <v>123929.189947862</v>
      </c>
      <c r="DY105" s="128">
        <f t="shared" si="94"/>
        <v>0</v>
      </c>
      <c r="DZ105" s="130">
        <f t="shared" si="213"/>
        <v>3.5999999999999997E-2</v>
      </c>
      <c r="EA105" s="128">
        <f t="shared" si="214"/>
        <v>0</v>
      </c>
      <c r="EB105" s="128">
        <f t="shared" si="215"/>
        <v>123929.189947862</v>
      </c>
    </row>
    <row r="106" spans="1:132">
      <c r="A106" s="212"/>
      <c r="B106" s="188">
        <f t="shared" si="216"/>
        <v>62</v>
      </c>
      <c r="C106" s="128">
        <f t="shared" si="217"/>
        <v>118875.02079136524</v>
      </c>
      <c r="D106" s="128">
        <f t="shared" si="218"/>
        <v>117940.84386237177</v>
      </c>
      <c r="E106" s="128">
        <f t="shared" si="219"/>
        <v>119205.72318511493</v>
      </c>
      <c r="F106" s="128">
        <f t="shared" si="220"/>
        <v>119134.92407687053</v>
      </c>
      <c r="G106" s="128">
        <f t="shared" si="221"/>
        <v>121574.11658137708</v>
      </c>
      <c r="H106" s="128">
        <f t="shared" si="222"/>
        <v>122035.26569572465</v>
      </c>
      <c r="I106" s="128">
        <f t="shared" si="223"/>
        <v>123929.189947862</v>
      </c>
      <c r="J106" s="128">
        <f t="shared" si="224"/>
        <v>116238.88536030881</v>
      </c>
      <c r="K106" s="128">
        <f t="shared" si="225"/>
        <v>117093.12711080273</v>
      </c>
      <c r="M106" s="36"/>
      <c r="N106" s="32">
        <f t="shared" si="226"/>
        <v>62</v>
      </c>
      <c r="O106" s="25">
        <f t="shared" si="109"/>
        <v>0.18875020791365249</v>
      </c>
      <c r="P106" s="25">
        <f t="shared" si="110"/>
        <v>0.17940843862371758</v>
      </c>
      <c r="Q106" s="25">
        <f t="shared" si="111"/>
        <v>0.19205723185114931</v>
      </c>
      <c r="R106" s="25">
        <f t="shared" si="161"/>
        <v>0.19134924076870541</v>
      </c>
      <c r="S106" s="25">
        <f t="shared" si="162"/>
        <v>0.21574116581377067</v>
      </c>
      <c r="T106" s="25">
        <f t="shared" si="163"/>
        <v>0.22035265695724648</v>
      </c>
      <c r="U106" s="25">
        <f t="shared" si="164"/>
        <v>0.23929189947861995</v>
      </c>
      <c r="V106" s="25">
        <f t="shared" si="165"/>
        <v>0.16238885360308797</v>
      </c>
      <c r="W106" s="25">
        <f t="shared" si="166"/>
        <v>0.17093127110802731</v>
      </c>
      <c r="X106" s="36"/>
      <c r="Y106" s="36"/>
      <c r="AA106" s="124">
        <f t="shared" si="113"/>
        <v>63</v>
      </c>
      <c r="AB106" s="128">
        <f t="shared" si="167"/>
        <v>117394.06285449653</v>
      </c>
      <c r="AC106" s="124">
        <f t="shared" si="114"/>
        <v>63</v>
      </c>
      <c r="AD106" s="130">
        <f t="shared" si="227"/>
        <v>3.7499999999999999E-2</v>
      </c>
      <c r="AE106" s="127">
        <f t="shared" si="228"/>
        <v>1187</v>
      </c>
      <c r="AF106" s="128">
        <f t="shared" si="229"/>
        <v>118585</v>
      </c>
      <c r="AG106" s="128">
        <f t="shared" si="140"/>
        <v>118700</v>
      </c>
      <c r="AH106" s="128">
        <f t="shared" si="118"/>
        <v>118700</v>
      </c>
      <c r="AI106" s="130">
        <f t="shared" si="168"/>
        <v>3.7499999999999999E-2</v>
      </c>
      <c r="AJ106" s="128">
        <f t="shared" si="169"/>
        <v>119070.9375</v>
      </c>
      <c r="AK106" s="128" t="str">
        <f t="shared" si="170"/>
        <v>nie</v>
      </c>
      <c r="AL106" s="128">
        <f t="shared" si="171"/>
        <v>593.5</v>
      </c>
      <c r="AM106" s="128">
        <f t="shared" si="150"/>
        <v>118519.72437500001</v>
      </c>
      <c r="AN106" s="128">
        <f t="shared" si="172"/>
        <v>300.45937500000002</v>
      </c>
      <c r="AO106" s="130">
        <f t="shared" si="173"/>
        <v>3.5999999999999997E-2</v>
      </c>
      <c r="AP106" s="128">
        <f t="shared" si="174"/>
        <v>957.8086529382465</v>
      </c>
      <c r="AQ106" s="128">
        <f t="shared" si="156"/>
        <v>119177.07365293826</v>
      </c>
      <c r="AS106" s="124">
        <f t="shared" si="119"/>
        <v>63</v>
      </c>
      <c r="AT106" s="130">
        <f t="shared" si="120"/>
        <v>3.7499999999999999E-2</v>
      </c>
      <c r="AU106" s="127">
        <f t="shared" si="230"/>
        <v>1142</v>
      </c>
      <c r="AV106" s="128">
        <f t="shared" si="231"/>
        <v>114092.8</v>
      </c>
      <c r="AW106" s="128">
        <f t="shared" si="151"/>
        <v>114200</v>
      </c>
      <c r="AX106" s="128">
        <f t="shared" si="123"/>
        <v>114200</v>
      </c>
      <c r="AY106" s="130">
        <f t="shared" si="175"/>
        <v>3.9E-2</v>
      </c>
      <c r="AZ106" s="128">
        <f t="shared" si="176"/>
        <v>114571.15</v>
      </c>
      <c r="BA106" s="128" t="str">
        <f t="shared" si="177"/>
        <v>nie</v>
      </c>
      <c r="BB106" s="128">
        <f t="shared" si="178"/>
        <v>799.4</v>
      </c>
      <c r="BC106" s="128">
        <f t="shared" si="158"/>
        <v>113853.11750000001</v>
      </c>
      <c r="BD106" s="128">
        <f t="shared" si="179"/>
        <v>300.6314999999953</v>
      </c>
      <c r="BE106" s="130">
        <f t="shared" si="51"/>
        <v>3.5999999999999997E-2</v>
      </c>
      <c r="BF106" s="128">
        <f t="shared" si="180"/>
        <v>4699.6530719773164</v>
      </c>
      <c r="BG106" s="128">
        <f t="shared" si="159"/>
        <v>118252.13907197733</v>
      </c>
      <c r="BI106" s="124">
        <f t="shared" si="124"/>
        <v>63</v>
      </c>
      <c r="BJ106" s="130">
        <f t="shared" si="242"/>
        <v>3.9100000000000003E-2</v>
      </c>
      <c r="BK106" s="127">
        <f t="shared" si="232"/>
        <v>1112</v>
      </c>
      <c r="BL106" s="128">
        <f t="shared" si="233"/>
        <v>111088.8</v>
      </c>
      <c r="BM106" s="128">
        <f t="shared" si="142"/>
        <v>111200</v>
      </c>
      <c r="BN106" s="128">
        <f t="shared" si="234"/>
        <v>121200.88320000001</v>
      </c>
      <c r="BO106" s="130">
        <f t="shared" si="181"/>
        <v>4.3999999999999997E-2</v>
      </c>
      <c r="BP106" s="128">
        <f t="shared" si="182"/>
        <v>122534.0929152</v>
      </c>
      <c r="BQ106" s="128" t="str">
        <f t="shared" si="183"/>
        <v>nie</v>
      </c>
      <c r="BR106" s="128">
        <f t="shared" si="184"/>
        <v>1112</v>
      </c>
      <c r="BS106" s="128">
        <f t="shared" si="153"/>
        <v>119479.89526131201</v>
      </c>
      <c r="BT106" s="128">
        <f t="shared" si="128"/>
        <v>0</v>
      </c>
      <c r="BU106" s="130">
        <f t="shared" si="185"/>
        <v>3.5999999999999997E-2</v>
      </c>
      <c r="BV106" s="128">
        <f t="shared" si="60"/>
        <v>86.003027655890165</v>
      </c>
      <c r="BW106" s="128">
        <f t="shared" si="243"/>
        <v>119565.8982889679</v>
      </c>
      <c r="BY106" s="130">
        <f t="shared" si="244"/>
        <v>3.1E-2</v>
      </c>
      <c r="BZ106" s="127">
        <f t="shared" si="235"/>
        <v>1158</v>
      </c>
      <c r="CA106" s="128">
        <f t="shared" si="236"/>
        <v>115696.20000000001</v>
      </c>
      <c r="CB106" s="128">
        <f t="shared" si="154"/>
        <v>115800</v>
      </c>
      <c r="CC106" s="128">
        <f t="shared" si="131"/>
        <v>115800</v>
      </c>
      <c r="CD106" s="130">
        <f t="shared" si="186"/>
        <v>4.5999999999999999E-2</v>
      </c>
      <c r="CE106" s="128">
        <f t="shared" si="187"/>
        <v>117131.70000000001</v>
      </c>
      <c r="CF106" s="128" t="str">
        <f t="shared" si="188"/>
        <v>nie</v>
      </c>
      <c r="CG106" s="128">
        <f t="shared" si="189"/>
        <v>2316</v>
      </c>
      <c r="CH106" s="128">
        <f t="shared" si="160"/>
        <v>115002.717</v>
      </c>
      <c r="CI106" s="128">
        <f t="shared" si="190"/>
        <v>0</v>
      </c>
      <c r="CJ106" s="130">
        <f t="shared" si="68"/>
        <v>3.5999999999999997E-2</v>
      </c>
      <c r="CK106" s="128">
        <f t="shared" si="191"/>
        <v>4502.6810684373286</v>
      </c>
      <c r="CL106" s="128">
        <f t="shared" si="192"/>
        <v>119505.39806843734</v>
      </c>
      <c r="CN106" s="127">
        <f t="shared" si="237"/>
        <v>1000</v>
      </c>
      <c r="CO106" s="128">
        <f t="shared" si="238"/>
        <v>100000</v>
      </c>
      <c r="CP106" s="128">
        <f t="shared" si="134"/>
        <v>100000</v>
      </c>
      <c r="CQ106" s="128">
        <f t="shared" si="239"/>
        <v>128542.10394532533</v>
      </c>
      <c r="CR106" s="130">
        <f t="shared" si="193"/>
        <v>5.1000000000000004E-2</v>
      </c>
      <c r="CS106" s="128">
        <f t="shared" si="194"/>
        <v>130181.01577062823</v>
      </c>
      <c r="CT106" s="128" t="str">
        <f t="shared" si="195"/>
        <v>nie</v>
      </c>
      <c r="CU106" s="128">
        <f t="shared" si="196"/>
        <v>3000</v>
      </c>
      <c r="CV106" s="128">
        <f t="shared" si="197"/>
        <v>122016.62277420887</v>
      </c>
      <c r="CW106" s="128">
        <f t="shared" si="76"/>
        <v>0</v>
      </c>
      <c r="CX106" s="130">
        <f t="shared" si="198"/>
        <v>3.5999999999999997E-2</v>
      </c>
      <c r="CY106" s="128">
        <f t="shared" si="199"/>
        <v>0</v>
      </c>
      <c r="CZ106" s="128">
        <f t="shared" si="200"/>
        <v>122016.62277420887</v>
      </c>
      <c r="DA106" s="20"/>
      <c r="DB106" s="127">
        <f t="shared" si="144"/>
        <v>1000</v>
      </c>
      <c r="DC106" s="128">
        <f t="shared" si="145"/>
        <v>100000</v>
      </c>
      <c r="DD106" s="128">
        <f t="shared" si="136"/>
        <v>100000</v>
      </c>
      <c r="DE106" s="128">
        <f t="shared" si="240"/>
        <v>128115.05376610497</v>
      </c>
      <c r="DF106" s="130">
        <f t="shared" si="201"/>
        <v>5.1000000000000004E-2</v>
      </c>
      <c r="DG106" s="128">
        <f t="shared" si="202"/>
        <v>129748.52070162282</v>
      </c>
      <c r="DH106" s="128" t="str">
        <f t="shared" si="203"/>
        <v>nie</v>
      </c>
      <c r="DI106" s="128">
        <f t="shared" si="204"/>
        <v>2000</v>
      </c>
      <c r="DJ106" s="128">
        <f t="shared" si="205"/>
        <v>122476.30176831449</v>
      </c>
      <c r="DK106" s="128">
        <f t="shared" si="85"/>
        <v>0</v>
      </c>
      <c r="DL106" s="130">
        <f t="shared" si="206"/>
        <v>3.5999999999999997E-2</v>
      </c>
      <c r="DM106" s="128">
        <f t="shared" si="207"/>
        <v>0</v>
      </c>
      <c r="DN106" s="128">
        <f t="shared" si="208"/>
        <v>122476.30176831449</v>
      </c>
      <c r="DP106" s="127">
        <f t="shared" si="146"/>
        <v>1000</v>
      </c>
      <c r="DQ106" s="128">
        <f t="shared" si="147"/>
        <v>100000</v>
      </c>
      <c r="DR106" s="128">
        <f t="shared" si="138"/>
        <v>100000</v>
      </c>
      <c r="DS106" s="128">
        <f t="shared" si="241"/>
        <v>131316.58832117764</v>
      </c>
      <c r="DT106" s="130">
        <f t="shared" si="209"/>
        <v>5.6000000000000001E-2</v>
      </c>
      <c r="DU106" s="128">
        <f t="shared" si="210"/>
        <v>133155.02055767411</v>
      </c>
      <c r="DV106" s="128" t="str">
        <f t="shared" si="211"/>
        <v>nie</v>
      </c>
      <c r="DW106" s="128">
        <f t="shared" si="212"/>
        <v>3000</v>
      </c>
      <c r="DX106" s="128">
        <f t="shared" si="93"/>
        <v>124425.56665171603</v>
      </c>
      <c r="DY106" s="128">
        <f t="shared" si="94"/>
        <v>0</v>
      </c>
      <c r="DZ106" s="130">
        <f t="shared" si="213"/>
        <v>3.5999999999999997E-2</v>
      </c>
      <c r="EA106" s="128">
        <f t="shared" si="214"/>
        <v>0</v>
      </c>
      <c r="EB106" s="128">
        <f t="shared" si="215"/>
        <v>124425.56665171603</v>
      </c>
    </row>
    <row r="107" spans="1:132">
      <c r="A107" s="212"/>
      <c r="B107" s="188">
        <f t="shared" si="216"/>
        <v>63</v>
      </c>
      <c r="C107" s="128">
        <f t="shared" si="217"/>
        <v>119177.07365293826</v>
      </c>
      <c r="D107" s="128">
        <f t="shared" si="218"/>
        <v>118252.13907197733</v>
      </c>
      <c r="E107" s="128">
        <f t="shared" si="219"/>
        <v>119565.8982889679</v>
      </c>
      <c r="F107" s="128">
        <f t="shared" si="220"/>
        <v>119505.39806843734</v>
      </c>
      <c r="G107" s="128">
        <f t="shared" si="221"/>
        <v>122016.62277420887</v>
      </c>
      <c r="H107" s="128">
        <f t="shared" si="222"/>
        <v>122476.30176831449</v>
      </c>
      <c r="I107" s="128">
        <f t="shared" si="223"/>
        <v>124425.56665171603</v>
      </c>
      <c r="J107" s="128">
        <f t="shared" si="224"/>
        <v>116521.34585173435</v>
      </c>
      <c r="K107" s="128">
        <f t="shared" si="225"/>
        <v>117394.06285449653</v>
      </c>
      <c r="M107" s="36"/>
      <c r="N107" s="32">
        <f t="shared" si="226"/>
        <v>63</v>
      </c>
      <c r="O107" s="25">
        <f t="shared" si="109"/>
        <v>0.19177073652938259</v>
      </c>
      <c r="P107" s="25">
        <f t="shared" si="110"/>
        <v>0.18252139071977336</v>
      </c>
      <c r="Q107" s="25">
        <f t="shared" si="111"/>
        <v>0.19565898288967909</v>
      </c>
      <c r="R107" s="25">
        <f t="shared" si="161"/>
        <v>0.19505398068437341</v>
      </c>
      <c r="S107" s="25">
        <f t="shared" si="162"/>
        <v>0.2201662277420886</v>
      </c>
      <c r="T107" s="25">
        <f t="shared" si="163"/>
        <v>0.22476301768314477</v>
      </c>
      <c r="U107" s="25">
        <f t="shared" si="164"/>
        <v>0.24425566651716024</v>
      </c>
      <c r="V107" s="25">
        <f t="shared" si="165"/>
        <v>0.16521345851734348</v>
      </c>
      <c r="W107" s="25">
        <f t="shared" si="166"/>
        <v>0.17394062854496539</v>
      </c>
      <c r="X107" s="36"/>
      <c r="Y107" s="36"/>
      <c r="AA107" s="124">
        <f t="shared" si="113"/>
        <v>64</v>
      </c>
      <c r="AB107" s="128">
        <f t="shared" si="167"/>
        <v>117694.99859819036</v>
      </c>
      <c r="AC107" s="124">
        <f t="shared" si="114"/>
        <v>64</v>
      </c>
      <c r="AD107" s="130">
        <f t="shared" si="227"/>
        <v>3.7499999999999999E-2</v>
      </c>
      <c r="AE107" s="127">
        <f t="shared" si="228"/>
        <v>1187</v>
      </c>
      <c r="AF107" s="128">
        <f t="shared" si="229"/>
        <v>118585</v>
      </c>
      <c r="AG107" s="128">
        <f t="shared" si="140"/>
        <v>118700</v>
      </c>
      <c r="AH107" s="128">
        <f t="shared" si="118"/>
        <v>118700</v>
      </c>
      <c r="AI107" s="130">
        <f t="shared" si="168"/>
        <v>3.7499999999999999E-2</v>
      </c>
      <c r="AJ107" s="128">
        <f t="shared" si="169"/>
        <v>119070.9375</v>
      </c>
      <c r="AK107" s="128" t="str">
        <f t="shared" si="170"/>
        <v>nie</v>
      </c>
      <c r="AL107" s="128">
        <f t="shared" si="171"/>
        <v>593.5</v>
      </c>
      <c r="AM107" s="128">
        <f t="shared" si="150"/>
        <v>118519.72437500001</v>
      </c>
      <c r="AN107" s="128">
        <f t="shared" si="172"/>
        <v>300.45937500000002</v>
      </c>
      <c r="AO107" s="130">
        <f t="shared" si="173"/>
        <v>3.5999999999999997E-2</v>
      </c>
      <c r="AP107" s="128">
        <f t="shared" si="174"/>
        <v>1260.5955029648862</v>
      </c>
      <c r="AQ107" s="128">
        <f t="shared" si="156"/>
        <v>119479.86050296489</v>
      </c>
      <c r="AS107" s="124">
        <f t="shared" si="119"/>
        <v>64</v>
      </c>
      <c r="AT107" s="130">
        <f t="shared" si="120"/>
        <v>3.7499999999999999E-2</v>
      </c>
      <c r="AU107" s="127">
        <f t="shared" si="230"/>
        <v>1142</v>
      </c>
      <c r="AV107" s="128">
        <f t="shared" si="231"/>
        <v>114092.8</v>
      </c>
      <c r="AW107" s="128">
        <f t="shared" si="151"/>
        <v>114200</v>
      </c>
      <c r="AX107" s="128">
        <f t="shared" si="123"/>
        <v>114200</v>
      </c>
      <c r="AY107" s="130">
        <f t="shared" si="175"/>
        <v>3.9E-2</v>
      </c>
      <c r="AZ107" s="128">
        <f t="shared" si="176"/>
        <v>114571.15</v>
      </c>
      <c r="BA107" s="128" t="str">
        <f t="shared" si="177"/>
        <v>nie</v>
      </c>
      <c r="BB107" s="128">
        <f t="shared" si="178"/>
        <v>799.4</v>
      </c>
      <c r="BC107" s="128">
        <f t="shared" si="158"/>
        <v>113853.11750000001</v>
      </c>
      <c r="BD107" s="128">
        <f t="shared" si="179"/>
        <v>300.6314999999953</v>
      </c>
      <c r="BE107" s="130">
        <f t="shared" si="51"/>
        <v>3.5999999999999997E-2</v>
      </c>
      <c r="BF107" s="128">
        <f t="shared" si="180"/>
        <v>5011.7047289422162</v>
      </c>
      <c r="BG107" s="128">
        <f t="shared" si="159"/>
        <v>118564.19072894222</v>
      </c>
      <c r="BI107" s="124">
        <f t="shared" si="124"/>
        <v>64</v>
      </c>
      <c r="BJ107" s="130">
        <f t="shared" si="242"/>
        <v>3.9100000000000003E-2</v>
      </c>
      <c r="BK107" s="127">
        <f t="shared" si="232"/>
        <v>1112</v>
      </c>
      <c r="BL107" s="128">
        <f t="shared" si="233"/>
        <v>111088.8</v>
      </c>
      <c r="BM107" s="128">
        <f t="shared" si="142"/>
        <v>111200</v>
      </c>
      <c r="BN107" s="128">
        <f t="shared" si="234"/>
        <v>121200.88320000001</v>
      </c>
      <c r="BO107" s="130">
        <f t="shared" si="181"/>
        <v>4.3999999999999997E-2</v>
      </c>
      <c r="BP107" s="128">
        <f t="shared" si="182"/>
        <v>122978.4961536</v>
      </c>
      <c r="BQ107" s="128" t="str">
        <f t="shared" si="183"/>
        <v>nie</v>
      </c>
      <c r="BR107" s="128">
        <f t="shared" si="184"/>
        <v>1112</v>
      </c>
      <c r="BS107" s="128">
        <f t="shared" si="153"/>
        <v>119839.86188441601</v>
      </c>
      <c r="BT107" s="128">
        <f t="shared" si="128"/>
        <v>0</v>
      </c>
      <c r="BU107" s="130">
        <f t="shared" si="185"/>
        <v>3.5999999999999997E-2</v>
      </c>
      <c r="BV107" s="128">
        <f t="shared" si="60"/>
        <v>86.212015013093975</v>
      </c>
      <c r="BW107" s="128">
        <f t="shared" si="243"/>
        <v>119926.0738994291</v>
      </c>
      <c r="BY107" s="130">
        <f t="shared" si="244"/>
        <v>3.1E-2</v>
      </c>
      <c r="BZ107" s="127">
        <f t="shared" si="235"/>
        <v>1158</v>
      </c>
      <c r="CA107" s="128">
        <f t="shared" si="236"/>
        <v>115696.20000000001</v>
      </c>
      <c r="CB107" s="128">
        <f t="shared" si="154"/>
        <v>115800</v>
      </c>
      <c r="CC107" s="128">
        <f t="shared" si="131"/>
        <v>115800</v>
      </c>
      <c r="CD107" s="130">
        <f t="shared" si="186"/>
        <v>4.5999999999999999E-2</v>
      </c>
      <c r="CE107" s="128">
        <f t="shared" si="187"/>
        <v>117575.6</v>
      </c>
      <c r="CF107" s="128" t="str">
        <f t="shared" si="188"/>
        <v>nie</v>
      </c>
      <c r="CG107" s="128">
        <f t="shared" si="189"/>
        <v>2316</v>
      </c>
      <c r="CH107" s="128">
        <f t="shared" si="160"/>
        <v>115362.276</v>
      </c>
      <c r="CI107" s="128">
        <f t="shared" si="190"/>
        <v>0</v>
      </c>
      <c r="CJ107" s="130">
        <f t="shared" si="68"/>
        <v>3.5999999999999997E-2</v>
      </c>
      <c r="CK107" s="128">
        <f t="shared" si="191"/>
        <v>4513.622583433631</v>
      </c>
      <c r="CL107" s="128">
        <f t="shared" si="192"/>
        <v>119875.89858343363</v>
      </c>
      <c r="CN107" s="127">
        <f t="shared" si="237"/>
        <v>1000</v>
      </c>
      <c r="CO107" s="128">
        <f t="shared" si="238"/>
        <v>100000</v>
      </c>
      <c r="CP107" s="128">
        <f t="shared" si="134"/>
        <v>100000</v>
      </c>
      <c r="CQ107" s="128">
        <f t="shared" si="239"/>
        <v>128542.10394532533</v>
      </c>
      <c r="CR107" s="130">
        <f t="shared" si="193"/>
        <v>5.1000000000000004E-2</v>
      </c>
      <c r="CS107" s="128">
        <f t="shared" si="194"/>
        <v>130727.31971239585</v>
      </c>
      <c r="CT107" s="128" t="str">
        <f t="shared" si="195"/>
        <v>nie</v>
      </c>
      <c r="CU107" s="128">
        <f t="shared" si="196"/>
        <v>3000</v>
      </c>
      <c r="CV107" s="128">
        <f t="shared" si="197"/>
        <v>122459.12896704064</v>
      </c>
      <c r="CW107" s="128">
        <f t="shared" si="76"/>
        <v>0</v>
      </c>
      <c r="CX107" s="130">
        <f t="shared" si="198"/>
        <v>3.5999999999999997E-2</v>
      </c>
      <c r="CY107" s="128">
        <f t="shared" si="199"/>
        <v>0</v>
      </c>
      <c r="CZ107" s="128">
        <f t="shared" si="200"/>
        <v>122459.12896704064</v>
      </c>
      <c r="DA107" s="20"/>
      <c r="DB107" s="127">
        <f t="shared" si="144"/>
        <v>1000</v>
      </c>
      <c r="DC107" s="128">
        <f t="shared" si="145"/>
        <v>100000</v>
      </c>
      <c r="DD107" s="128">
        <f t="shared" si="136"/>
        <v>100000</v>
      </c>
      <c r="DE107" s="128">
        <f t="shared" si="240"/>
        <v>128115.05376610497</v>
      </c>
      <c r="DF107" s="130">
        <f t="shared" si="201"/>
        <v>5.1000000000000004E-2</v>
      </c>
      <c r="DG107" s="128">
        <f t="shared" si="202"/>
        <v>130293.00968012874</v>
      </c>
      <c r="DH107" s="128" t="str">
        <f t="shared" si="203"/>
        <v>nie</v>
      </c>
      <c r="DI107" s="128">
        <f t="shared" si="204"/>
        <v>2000</v>
      </c>
      <c r="DJ107" s="128">
        <f t="shared" si="205"/>
        <v>122917.33784090428</v>
      </c>
      <c r="DK107" s="128">
        <f t="shared" si="85"/>
        <v>0</v>
      </c>
      <c r="DL107" s="130">
        <f t="shared" si="206"/>
        <v>3.5999999999999997E-2</v>
      </c>
      <c r="DM107" s="128">
        <f t="shared" si="207"/>
        <v>0</v>
      </c>
      <c r="DN107" s="128">
        <f t="shared" si="208"/>
        <v>122917.33784090428</v>
      </c>
      <c r="DP107" s="127">
        <f t="shared" si="146"/>
        <v>1000</v>
      </c>
      <c r="DQ107" s="128">
        <f t="shared" si="147"/>
        <v>100000</v>
      </c>
      <c r="DR107" s="128">
        <f t="shared" si="138"/>
        <v>100000</v>
      </c>
      <c r="DS107" s="128">
        <f t="shared" si="241"/>
        <v>131316.58832117764</v>
      </c>
      <c r="DT107" s="130">
        <f t="shared" si="209"/>
        <v>5.6000000000000001E-2</v>
      </c>
      <c r="DU107" s="128">
        <f t="shared" si="210"/>
        <v>133767.83130317295</v>
      </c>
      <c r="DV107" s="128" t="str">
        <f t="shared" si="211"/>
        <v>nie</v>
      </c>
      <c r="DW107" s="128">
        <f t="shared" si="212"/>
        <v>3000</v>
      </c>
      <c r="DX107" s="128">
        <f t="shared" si="93"/>
        <v>124921.94335557008</v>
      </c>
      <c r="DY107" s="128">
        <f t="shared" si="94"/>
        <v>0</v>
      </c>
      <c r="DZ107" s="130">
        <f t="shared" si="213"/>
        <v>3.5999999999999997E-2</v>
      </c>
      <c r="EA107" s="128">
        <f t="shared" si="214"/>
        <v>0</v>
      </c>
      <c r="EB107" s="128">
        <f t="shared" si="215"/>
        <v>124921.94335557008</v>
      </c>
    </row>
    <row r="108" spans="1:132">
      <c r="A108" s="212"/>
      <c r="B108" s="188">
        <f t="shared" si="216"/>
        <v>64</v>
      </c>
      <c r="C108" s="128">
        <f t="shared" si="217"/>
        <v>119479.86050296489</v>
      </c>
      <c r="D108" s="128">
        <f t="shared" si="218"/>
        <v>118564.19072894222</v>
      </c>
      <c r="E108" s="128">
        <f t="shared" si="219"/>
        <v>119926.0738994291</v>
      </c>
      <c r="F108" s="128">
        <f t="shared" si="220"/>
        <v>119875.89858343363</v>
      </c>
      <c r="G108" s="128">
        <f t="shared" si="221"/>
        <v>122459.12896704064</v>
      </c>
      <c r="H108" s="128">
        <f t="shared" si="222"/>
        <v>122917.33784090428</v>
      </c>
      <c r="I108" s="128">
        <f t="shared" si="223"/>
        <v>124921.94335557008</v>
      </c>
      <c r="J108" s="128">
        <f t="shared" si="224"/>
        <v>116804.49272215406</v>
      </c>
      <c r="K108" s="128">
        <f t="shared" si="225"/>
        <v>117694.99859819036</v>
      </c>
      <c r="M108" s="36"/>
      <c r="N108" s="32">
        <f t="shared" si="226"/>
        <v>64</v>
      </c>
      <c r="O108" s="25">
        <f t="shared" si="109"/>
        <v>0.19479860502964885</v>
      </c>
      <c r="P108" s="25">
        <f t="shared" si="110"/>
        <v>0.1856419072894222</v>
      </c>
      <c r="Q108" s="25">
        <f t="shared" si="111"/>
        <v>0.19926073899429109</v>
      </c>
      <c r="R108" s="25">
        <f t="shared" ref="R108:R139" si="245">F108/zakup_domyslny_wartosc-1</f>
        <v>0.19875898583433638</v>
      </c>
      <c r="S108" s="25">
        <f t="shared" ref="S108:S139" si="246">G108/zakup_domyslny_wartosc-1</f>
        <v>0.22459128967040631</v>
      </c>
      <c r="T108" s="25">
        <f t="shared" ref="T108:T139" si="247">H108/zakup_domyslny_wartosc-1</f>
        <v>0.22917337840904284</v>
      </c>
      <c r="U108" s="25">
        <f t="shared" ref="U108:U139" si="248">I108/zakup_domyslny_wartosc-1</f>
        <v>0.24921943355570075</v>
      </c>
      <c r="V108" s="25">
        <f t="shared" ref="V108:V139" si="249">J108/zakup_domyslny_wartosc-1</f>
        <v>0.16804492722154052</v>
      </c>
      <c r="W108" s="25">
        <f t="shared" ref="W108:W139" si="250">K108/zakup_domyslny_wartosc-1</f>
        <v>0.1769499859819037</v>
      </c>
      <c r="X108" s="36"/>
      <c r="Y108" s="36"/>
      <c r="AA108" s="124">
        <f t="shared" si="113"/>
        <v>65</v>
      </c>
      <c r="AB108" s="128">
        <f t="shared" ref="AB108:AB139" si="251">zakup_domyslny_wartosc*IFERROR((INDEX(scenariusz_I_inflacja_skumulowana,MATCH(ROUNDDOWN(AA108/12,0),scenariusz_I_rok,0))+1),1)
*(1+MOD(AA108,12)*INDEX(scenariusz_I_inflacja,MATCH(ROUNDUP(AA108/12,0),scenariusz_I_rok,0))/12)</f>
        <v>117995.93434188419</v>
      </c>
      <c r="AC108" s="124">
        <f t="shared" si="114"/>
        <v>65</v>
      </c>
      <c r="AD108" s="130">
        <f t="shared" si="227"/>
        <v>3.7499999999999999E-2</v>
      </c>
      <c r="AE108" s="127">
        <f t="shared" si="228"/>
        <v>1187</v>
      </c>
      <c r="AF108" s="128">
        <f t="shared" si="229"/>
        <v>118585</v>
      </c>
      <c r="AG108" s="128">
        <f t="shared" si="140"/>
        <v>118700</v>
      </c>
      <c r="AH108" s="128">
        <f t="shared" si="118"/>
        <v>118700</v>
      </c>
      <c r="AI108" s="130">
        <f t="shared" ref="AI108:AI139" si="252">IF(AND(MOD($AA108,zapadalnosc_ROR)&lt;=zmiana_oprocentowania_co_ile_mc_ROR,MOD($AA108,zapadalnosc_ROR)&lt;&gt;0),proc_I_okres_ROR,(marza_ROR+AD108))</f>
        <v>3.7499999999999999E-2</v>
      </c>
      <c r="AJ108" s="128">
        <f t="shared" ref="AJ108:AJ139" si="253">AH108*(1+AI108*IF(MOD($AA108,wyplata_odsetek_ROR)&lt;&gt;0,MOD($AA108,wyplata_odsetek_ROR),wyplata_odsetek_ROR)/12)</f>
        <v>119070.9375</v>
      </c>
      <c r="AK108" s="128" t="str">
        <f t="shared" ref="AK108:AK139" si="254">IF(MOD($AA108,zapadalnosc_ROR)=0,"tak","nie")</f>
        <v>nie</v>
      </c>
      <c r="AL108" s="128">
        <f t="shared" ref="AL108:AL139" si="255">IF(MOD($AA108,zapadalnosc_ROR)=0,0,
IF(AND(MOD($AA108,zapadalnosc_ROR)&lt;zapadalnosc_ROR,MOD($AA108,zapadalnosc_ROR)&lt;=koszt_wczesniejszy_wykup_ochrona_ROR),
MIN(AJ108-AG108,AE108*koszt_wczesniejszy_wykup_ROR),AE108*koszt_wczesniejszy_wykup_ROR))</f>
        <v>593.5</v>
      </c>
      <c r="AM108" s="128">
        <f t="shared" si="150"/>
        <v>118519.72437500001</v>
      </c>
      <c r="AN108" s="128">
        <f t="shared" ref="AN108:AN139" si="256">IF(MOD($AA108,wyplata_odsetek_ROR)=0, (AJ108-AG108)*(1-podatek_Belki),0)
+IF(AK108="tak",ROUNDDOWN(AJ108/zamiana_ROR,0)*(100-zamiana_ROR),0)</f>
        <v>300.45937500000002</v>
      </c>
      <c r="AO108" s="130">
        <f t="shared" ref="AO108:AO139" si="257">INDEX(scenariusz_I_konto,MATCH(ROUNDUP($AA108/12,0),scenariusz_I_rok,0))</f>
        <v>3.5999999999999997E-2</v>
      </c>
      <c r="AP108" s="128">
        <f t="shared" ref="AP108:AP139" si="258">(AP107-IF(AK107="tak",ROUNDDOWN(AP107/100,0)*100,0))*
(1+AO108/12*(1-podatek_Belki))+AN108</f>
        <v>1564.118125037091</v>
      </c>
      <c r="AQ108" s="128">
        <f t="shared" si="156"/>
        <v>119783.3831250371</v>
      </c>
      <c r="AS108" s="124">
        <f t="shared" si="119"/>
        <v>65</v>
      </c>
      <c r="AT108" s="130">
        <f t="shared" si="120"/>
        <v>3.7499999999999999E-2</v>
      </c>
      <c r="AU108" s="127">
        <f t="shared" si="230"/>
        <v>1142</v>
      </c>
      <c r="AV108" s="128">
        <f t="shared" si="231"/>
        <v>114092.8</v>
      </c>
      <c r="AW108" s="128">
        <f t="shared" si="151"/>
        <v>114200</v>
      </c>
      <c r="AX108" s="128">
        <f t="shared" si="123"/>
        <v>114200</v>
      </c>
      <c r="AY108" s="130">
        <f t="shared" ref="AY108:AY139" si="259">IF(AND(MOD($AA108,zapadalnosc_DOR)&lt;=zmiana_oprocentowania_co_ile_mc_DOR,MOD($AA108,zapadalnosc_DOR)&lt;&gt;0),proc_I_okres_DOR,(marza_DOR+AT108))</f>
        <v>3.9E-2</v>
      </c>
      <c r="AZ108" s="128">
        <f t="shared" ref="AZ108:AZ139" si="260">AX108*(1+AY108*IF(MOD($AA108,wyplata_odsetek_DOR)&lt;&gt;0,MOD($AA108,wyplata_odsetek_DOR),wyplata_odsetek_DOR)/12)</f>
        <v>114571.15</v>
      </c>
      <c r="BA108" s="128" t="str">
        <f t="shared" ref="BA108:BA139" si="261">IF(MOD($AA108,zapadalnosc_DOR)=0,"tak","nie")</f>
        <v>nie</v>
      </c>
      <c r="BB108" s="128">
        <f t="shared" ref="BB108:BB139" si="262">IF(MOD($AA108,zapadalnosc_DOR)=0,0,
IF(AND(MOD($AA108,zapadalnosc_DOR)&lt;zapadalnosc_DOR,MOD($AA108,zapadalnosc_DOR)&lt;=koszt_wczesniejszy_wykup_ochrona_DOR),
MIN(AZ108-AW108,AU108*koszt_wczesniejszy_wykup_DOR),AU108*koszt_wczesniejszy_wykup_DOR))</f>
        <v>799.4</v>
      </c>
      <c r="BC108" s="128">
        <f t="shared" si="158"/>
        <v>113853.11750000001</v>
      </c>
      <c r="BD108" s="128">
        <f t="shared" ref="BD108:BD139" si="263">IF(MOD($AA108,wyplata_odsetek_DOR)=0, (AZ108-AW108)*(1-podatek_Belki),0)
+IF(BA108="tak",ROUNDDOWN(AZ108/zamiana_DOR,0)*(100-zamiana_DOR),0)</f>
        <v>300.6314999999953</v>
      </c>
      <c r="BE108" s="130">
        <f t="shared" ref="BE108:BE171" si="264">INDEX(scenariusz_I_konto,MATCH(ROUNDUP($AA108/12,0),scenariusz_I_rok,0))</f>
        <v>3.5999999999999997E-2</v>
      </c>
      <c r="BF108" s="128">
        <f t="shared" ref="BF108:BF139" si="265">(BF107-IF(BA107="tak",ROUNDDOWN(BF107/100,0)*100,0))*
(1+BE108/12*(1-podatek_Belki))+BD108</f>
        <v>5324.5146714335406</v>
      </c>
      <c r="BG108" s="128">
        <f t="shared" si="159"/>
        <v>118877.00067143355</v>
      </c>
      <c r="BI108" s="124">
        <f t="shared" si="124"/>
        <v>65</v>
      </c>
      <c r="BJ108" s="130">
        <f t="shared" si="242"/>
        <v>3.9100000000000003E-2</v>
      </c>
      <c r="BK108" s="127">
        <f t="shared" si="232"/>
        <v>1112</v>
      </c>
      <c r="BL108" s="128">
        <f t="shared" si="233"/>
        <v>111088.8</v>
      </c>
      <c r="BM108" s="128">
        <f t="shared" si="142"/>
        <v>111200</v>
      </c>
      <c r="BN108" s="128">
        <f t="shared" si="234"/>
        <v>121200.88320000001</v>
      </c>
      <c r="BO108" s="130">
        <f t="shared" ref="BO108:BO139" si="266">IF(AND(MOD($AA108,zapadalnosc_TOS)&lt;=12,MOD($AA108,zapadalnosc_TOS)&lt;&gt;0),proc_I_okres_TOS,(marza_TOS+proc_I_okres_TOS))</f>
        <v>4.3999999999999997E-2</v>
      </c>
      <c r="BP108" s="128">
        <f t="shared" ref="BP108:BP139" si="267">BN108*(1+BO108*IF(MOD($AA108,12)&lt;&gt;0,MOD($AA108,12),12)/12)</f>
        <v>123422.89939200001</v>
      </c>
      <c r="BQ108" s="128" t="str">
        <f t="shared" ref="BQ108:BQ139" si="268">IF(MOD($AA108,zapadalnosc_TOS)=0,"tak","nie")</f>
        <v>nie</v>
      </c>
      <c r="BR108" s="128">
        <f t="shared" ref="BR108:BR139" si="269">IF(MOD($AA108,zapadalnosc_TOS)=0,0,
IF(AND(MOD($AA108,zapadalnosc_TOS)&lt;zapadalnosc_TOS,MOD($AA108,zapadalnosc_TOS)&lt;=koszt_wczesniejszy_wykup_ochrona_TOS),
MIN(BP108-BM108,BK108*koszt_wczesniejszy_wykup_TOS),BK108*koszt_wczesniejszy_wykup_TOS))</f>
        <v>1112</v>
      </c>
      <c r="BS108" s="128">
        <f t="shared" si="153"/>
        <v>120199.82850752001</v>
      </c>
      <c r="BT108" s="128">
        <f t="shared" si="128"/>
        <v>0</v>
      </c>
      <c r="BU108" s="130">
        <f t="shared" ref="BU108:BU139" si="270">INDEX(scenariusz_I_konto,MATCH(ROUNDUP($AA108/12,0),scenariusz_I_rok,0))</f>
        <v>3.5999999999999997E-2</v>
      </c>
      <c r="BV108" s="128">
        <f t="shared" ref="BV108:BV171" si="271">BV107*(1+BU108/12*(1-podatek_Belki))+BT108</f>
        <v>86.421510209575786</v>
      </c>
      <c r="BW108" s="128">
        <f t="shared" si="243"/>
        <v>120286.25001772959</v>
      </c>
      <c r="BY108" s="130">
        <f t="shared" si="244"/>
        <v>3.1E-2</v>
      </c>
      <c r="BZ108" s="127">
        <f t="shared" si="235"/>
        <v>1158</v>
      </c>
      <c r="CA108" s="128">
        <f t="shared" si="236"/>
        <v>115696.20000000001</v>
      </c>
      <c r="CB108" s="128">
        <f t="shared" si="154"/>
        <v>115800</v>
      </c>
      <c r="CC108" s="128">
        <f t="shared" si="131"/>
        <v>115800</v>
      </c>
      <c r="CD108" s="130">
        <f t="shared" ref="CD108:CD139" si="272">IF(AND(MOD($AA108,zapadalnosc_COI)&lt;=zmiana_oprocentowania_co_ile_mc_COI,MOD($AA108,zapadalnosc_COI)&lt;&gt;0),proc_I_okres_COI,(marza_COI+BY108))</f>
        <v>4.5999999999999999E-2</v>
      </c>
      <c r="CE108" s="128">
        <f t="shared" ref="CE108:CE139" si="273">CC108*(1+CD108*IF(MOD($AA108,wyplata_odsetek_COI)&lt;&gt;0,MOD($AA108,wyplata_odsetek_COI),wyplata_odsetek_COI)/12)</f>
        <v>118019.49999999999</v>
      </c>
      <c r="CF108" s="128" t="str">
        <f t="shared" ref="CF108:CF139" si="274">IF(MOD($AA108,zapadalnosc_COI)=0,"tak","nie")</f>
        <v>nie</v>
      </c>
      <c r="CG108" s="128">
        <f t="shared" ref="CG108:CG139" si="275">IF(MOD($AA108,zapadalnosc_COI)=0,0,
IF(AND(MOD($AA108,zapadalnosc_COI)&lt;zapadalnosc_COI,MOD($AA108,zapadalnosc_COI)&lt;=koszt_wczesniejszy_wykup_ochrona_COI),
MIN(CE108-CB108,BZ108*koszt_wczesniejszy_wykup_COI),BZ108*koszt_wczesniejszy_wykup_COI))</f>
        <v>2316</v>
      </c>
      <c r="CH108" s="128">
        <f t="shared" si="160"/>
        <v>115721.83499999999</v>
      </c>
      <c r="CI108" s="128">
        <f t="shared" ref="CI108:CI139" si="276" xml:space="preserve"> IF(CF108="tak",
CH108-ROUNDDOWN(CH108/zamiana_COI,0)*zamiana_COI,
IF(MOD($AA108,wyplata_odsetek_COI)=0, (CE108-CB108)*(1-podatek_Belki),0))</f>
        <v>0</v>
      </c>
      <c r="CJ108" s="130">
        <f t="shared" ref="CJ108:CJ171" si="277">INDEX(scenariusz_I_konto,MATCH(ROUNDUP($AA108/12,0),scenariusz_I_rok,0))</f>
        <v>3.5999999999999997E-2</v>
      </c>
      <c r="CK108" s="128">
        <f t="shared" ref="CK108:CK139" si="278">(CK107-IF(CF107="tak",ROUNDDOWN(CK107/100,0)*100,0))*
(1+CJ108/12*(1-podatek_Belki))+CI108</f>
        <v>4524.5906863113742</v>
      </c>
      <c r="CL108" s="128">
        <f t="shared" ref="CL108:CL139" si="279">(CK107-IF(MOD($AA107,zapadalnosc_COI)=0,ROUNDDOWN(CK107/100,0)*100,0))*(1+CJ108/12*(1-podatek_Belki))+CH108</f>
        <v>120246.42568631137</v>
      </c>
      <c r="CN108" s="127">
        <f t="shared" si="237"/>
        <v>1000</v>
      </c>
      <c r="CO108" s="128">
        <f t="shared" si="238"/>
        <v>100000</v>
      </c>
      <c r="CP108" s="128">
        <f t="shared" si="134"/>
        <v>100000</v>
      </c>
      <c r="CQ108" s="128">
        <f t="shared" si="239"/>
        <v>128542.10394532533</v>
      </c>
      <c r="CR108" s="130">
        <f t="shared" ref="CR108:CR139" si="280">IF(AND(MOD($AA108,zapadalnosc_EDO)&lt;=12,MOD($AA108,zapadalnosc_EDO)&lt;&gt;0),proc_I_okres_EDO,(marza_EDO+$BY108))</f>
        <v>5.1000000000000004E-2</v>
      </c>
      <c r="CS108" s="128">
        <f t="shared" ref="CS108:CS139" si="281">CQ108*(1+CR108*IF(MOD($AA108,12)&lt;&gt;0,MOD($AA108,12),12)/12)</f>
        <v>131273.6236541635</v>
      </c>
      <c r="CT108" s="128" t="str">
        <f t="shared" ref="CT108:CT139" si="282">IF(MOD($AA108,zapadalnosc_EDO)=0,"tak","nie")</f>
        <v>nie</v>
      </c>
      <c r="CU108" s="128">
        <f t="shared" ref="CU108:CU139" si="283">IF(AND(MOD($AA108,zapadalnosc_EDO)&lt;zapadalnosc_EDO,MOD($AA108,zapadalnosc_EDO)&lt;&gt;0),MIN(CS108-CP108,CN108*koszt_wczesniejszy_wykup_EDO),0)</f>
        <v>3000</v>
      </c>
      <c r="CV108" s="128">
        <f t="shared" ref="CV108:CV139" si="284">CS108-CU108
-(CS108-CP108-CU108)*podatek_Belki</f>
        <v>122901.63515987244</v>
      </c>
      <c r="CW108" s="128">
        <f t="shared" ref="CW108:CW162" si="285">IF(AND(CT108="tak",CO109&lt;&gt;""),
 CV108-CO109,
0)</f>
        <v>0</v>
      </c>
      <c r="CX108" s="130">
        <f t="shared" ref="CX108:CX139" si="286">INDEX(scenariusz_I_konto,MATCH(ROUNDUP($AA108/12,0),scenariusz_I_rok,0))</f>
        <v>3.5999999999999997E-2</v>
      </c>
      <c r="CY108" s="128">
        <f t="shared" ref="CY108:CY139" si="287">CY107*(1+CX108/12*(1-podatek_Belki))+CW108</f>
        <v>0</v>
      </c>
      <c r="CZ108" s="128">
        <f t="shared" ref="CZ108:CZ139" si="288">CY107*(1+CX108/12*(1-podatek_Belki))+CV108</f>
        <v>122901.63515987244</v>
      </c>
      <c r="DA108" s="20"/>
      <c r="DB108" s="127">
        <f t="shared" si="144"/>
        <v>1000</v>
      </c>
      <c r="DC108" s="128">
        <f t="shared" si="145"/>
        <v>100000</v>
      </c>
      <c r="DD108" s="128">
        <f t="shared" si="136"/>
        <v>100000</v>
      </c>
      <c r="DE108" s="128">
        <f t="shared" si="240"/>
        <v>128115.05376610497</v>
      </c>
      <c r="DF108" s="130">
        <f t="shared" ref="DF108:DF139" si="289">IF(AND(MOD($AA108,zapadalnosc_ROS)&lt;=12,MOD($AA108,zapadalnosc_ROS)&lt;&gt;0),proc_I_okres_ROS,(marza_ROS+$BY108))</f>
        <v>5.1000000000000004E-2</v>
      </c>
      <c r="DG108" s="128">
        <f t="shared" ref="DG108:DG139" si="290">DE108*(1+DF108*IF(MOD($AA108,12)&lt;&gt;0,MOD($AA108,12),12)/12)</f>
        <v>130837.49865863471</v>
      </c>
      <c r="DH108" s="128" t="str">
        <f t="shared" ref="DH108:DH139" si="291">IF(MOD($AA108,zapadalnosc_ROS)=0,"tak","nie")</f>
        <v>nie</v>
      </c>
      <c r="DI108" s="128">
        <f t="shared" ref="DI108:DI139" si="292">IF(AND(MOD($AA108,zapadalnosc_ROS)&lt;zapadalnosc_ROS,MOD($AA108,zapadalnosc_ROS)&lt;&gt;0),MIN(DG108-DD108,DB108*koszt_wczesniejszy_wykup_ROS),0)</f>
        <v>2000</v>
      </c>
      <c r="DJ108" s="128">
        <f t="shared" ref="DJ108:DJ115" si="293">DG108-DI108
-(DG108-DD108-DI108)*podatek_Belki</f>
        <v>123358.37391349411</v>
      </c>
      <c r="DK108" s="128">
        <f t="shared" ref="DK108:DK162" si="294">IF(AND(DH108="tak",DC109&lt;&gt;""),
 DJ108-DC109,
0)</f>
        <v>0</v>
      </c>
      <c r="DL108" s="130">
        <f t="shared" ref="DL108:DL139" si="295">INDEX(scenariusz_I_konto,MATCH(ROUNDUP($AA108/12,0),scenariusz_I_rok,0))</f>
        <v>3.5999999999999997E-2</v>
      </c>
      <c r="DM108" s="128">
        <f t="shared" ref="DM108:DM139" si="296">DM107*(1+DL108/12*(1-podatek_Belki))+DK108</f>
        <v>0</v>
      </c>
      <c r="DN108" s="128">
        <f t="shared" ref="DN108:DN139" si="297">DM107*(1+DL108/12*(1-podatek_Belki))+DJ108</f>
        <v>123358.37391349411</v>
      </c>
      <c r="DP108" s="127">
        <f t="shared" si="146"/>
        <v>1000</v>
      </c>
      <c r="DQ108" s="128">
        <f t="shared" si="147"/>
        <v>100000</v>
      </c>
      <c r="DR108" s="128">
        <f t="shared" si="138"/>
        <v>100000</v>
      </c>
      <c r="DS108" s="128">
        <f t="shared" si="241"/>
        <v>131316.58832117764</v>
      </c>
      <c r="DT108" s="130">
        <f t="shared" ref="DT108:DT139" si="298">IF(AND(MOD($AA108,zapadalnosc_ROD)&lt;=12,MOD($AA108,zapadalnosc_ROD)&lt;&gt;0),proc_I_okres_ROD,(marza_ROD+$BY108))</f>
        <v>5.6000000000000001E-2</v>
      </c>
      <c r="DU108" s="128">
        <f t="shared" ref="DU108:DU139" si="299">DS108*(1+DT108*IF(MOD($AA108,12)&lt;&gt;0,MOD($AA108,12),12)/12)</f>
        <v>134380.64204867178</v>
      </c>
      <c r="DV108" s="128" t="str">
        <f t="shared" ref="DV108:DV139" si="300">IF(MOD($AA108,zapadalnosc_ROD)=0,"tak","nie")</f>
        <v>nie</v>
      </c>
      <c r="DW108" s="128">
        <f t="shared" ref="DW108:DW139" si="301">IF(AND(MOD($AA108,zapadalnosc_ROD)&lt;zapadalnosc_ROD,MOD($AA108,zapadalnosc_ROD)&lt;&gt;0),MIN(DU108-DR108,DP108*koszt_wczesniejszy_wykup_ROD),0)</f>
        <v>3000</v>
      </c>
      <c r="DX108" s="128">
        <f t="shared" ref="DX108:DX171" si="302">DU108-DW108
-(DU108-DR108-DW108)*podatek_Belki</f>
        <v>125418.32005942415</v>
      </c>
      <c r="DY108" s="128">
        <f t="shared" ref="DY108:DY162" si="303">IF(AND(DV108="tak",DQ109&lt;&gt;""),
 DX108-DQ109,
0)</f>
        <v>0</v>
      </c>
      <c r="DZ108" s="130">
        <f t="shared" ref="DZ108:DZ139" si="304">INDEX(scenariusz_I_konto,MATCH(ROUNDUP($AA108/12,0),scenariusz_I_rok,0))</f>
        <v>3.5999999999999997E-2</v>
      </c>
      <c r="EA108" s="128">
        <f t="shared" ref="EA108:EA139" si="305">EA107*(1+DZ108/12*(1-podatek_Belki))+DY108</f>
        <v>0</v>
      </c>
      <c r="EB108" s="128">
        <f t="shared" ref="EB108:EB139" si="306">EA107*(1+DZ108/12*(1-podatek_Belki))+DX108</f>
        <v>125418.32005942415</v>
      </c>
    </row>
    <row r="109" spans="1:132">
      <c r="A109" s="212"/>
      <c r="B109" s="188">
        <f t="shared" ref="B109:B140" si="307">AA108</f>
        <v>65</v>
      </c>
      <c r="C109" s="128">
        <f t="shared" ref="C109:C140" si="308">AQ108</f>
        <v>119783.3831250371</v>
      </c>
      <c r="D109" s="128">
        <f t="shared" ref="D109:D140" si="309">BG108</f>
        <v>118877.00067143355</v>
      </c>
      <c r="E109" s="128">
        <f t="shared" ref="E109:E140" si="310">BW108</f>
        <v>120286.25001772959</v>
      </c>
      <c r="F109" s="128">
        <f t="shared" ref="F109:F140" si="311">CL108</f>
        <v>120246.42568631137</v>
      </c>
      <c r="G109" s="128">
        <f t="shared" ref="G109:G140" si="312">CZ108</f>
        <v>122901.63515987244</v>
      </c>
      <c r="H109" s="128">
        <f t="shared" ref="H109:H140" si="313">DN108</f>
        <v>123358.37391349411</v>
      </c>
      <c r="I109" s="128">
        <f t="shared" ref="I109:I140" si="314">EB108</f>
        <v>125418.32005942415</v>
      </c>
      <c r="J109" s="128">
        <f t="shared" ref="J109:J140" si="315">FV(INDEX(scenariusz_I_konto,MATCH(ROUNDUP(B109/12,0),scenariusz_I_rok,0))/12*(1-podatek_Belki),1,0,-J108,1)</f>
        <v>117088.32763946889</v>
      </c>
      <c r="K109" s="128">
        <f t="shared" ref="K109:K140" si="316">AB108</f>
        <v>117995.93434188419</v>
      </c>
      <c r="M109" s="36"/>
      <c r="N109" s="32">
        <f t="shared" ref="N109:N140" si="317">B109</f>
        <v>65</v>
      </c>
      <c r="O109" s="25">
        <f t="shared" ref="O109:O172" si="318">C109/zakup_domyslny_wartosc-1</f>
        <v>0.19783383125037091</v>
      </c>
      <c r="P109" s="25">
        <f t="shared" ref="P109:P172" si="319">D109/zakup_domyslny_wartosc-1</f>
        <v>0.18877000671433541</v>
      </c>
      <c r="Q109" s="25">
        <f t="shared" ref="Q109:Q172" si="320">E109/zakup_domyslny_wartosc-1</f>
        <v>0.2028625001772959</v>
      </c>
      <c r="R109" s="25">
        <f t="shared" si="245"/>
        <v>0.20246425686311365</v>
      </c>
      <c r="S109" s="25">
        <f t="shared" si="246"/>
        <v>0.22901635159872447</v>
      </c>
      <c r="T109" s="25">
        <f t="shared" si="247"/>
        <v>0.23358373913494113</v>
      </c>
      <c r="U109" s="25">
        <f t="shared" si="248"/>
        <v>0.25418320059424149</v>
      </c>
      <c r="V109" s="25">
        <f t="shared" si="249"/>
        <v>0.17088327639468881</v>
      </c>
      <c r="W109" s="25">
        <f t="shared" si="250"/>
        <v>0.17995934341884179</v>
      </c>
      <c r="X109" s="36"/>
      <c r="Y109" s="36"/>
      <c r="AA109" s="124">
        <f t="shared" ref="AA109:AA172" si="321">AA108+1</f>
        <v>66</v>
      </c>
      <c r="AB109" s="128">
        <f t="shared" si="251"/>
        <v>118296.870085578</v>
      </c>
      <c r="AC109" s="124">
        <f t="shared" ref="AC109:AC172" si="322">AC108+1</f>
        <v>66</v>
      </c>
      <c r="AD109" s="130">
        <f t="shared" ref="AD109:AD140" si="323">MAX(INDEX(scenariusz_I_stopa_NBP,MATCH(ROUNDUP(AC109/12,0),scenariusz_I_rok,0)),0)</f>
        <v>3.7499999999999999E-2</v>
      </c>
      <c r="AE109" s="127">
        <f t="shared" ref="AE109:AE140" si="324">IF(AK108="tak",
ROUNDDOWN(AM108/zamiana_ROR,0)+ROUNDDOWN(AP108/100,0),
AE108)</f>
        <v>1187</v>
      </c>
      <c r="AF109" s="128">
        <f t="shared" ref="AF109:AF140" si="325">IF(AK108="tak",
ROUNDDOWN(AM108/zamiana_ROR,0)*zamiana_ROR+ROUNDDOWN(AP108/100,0)*100,
AF108)</f>
        <v>118585</v>
      </c>
      <c r="AG109" s="128">
        <f t="shared" si="140"/>
        <v>118700</v>
      </c>
      <c r="AH109" s="128">
        <f t="shared" ref="AH109:AH116" si="326">AG109</f>
        <v>118700</v>
      </c>
      <c r="AI109" s="130">
        <f t="shared" si="252"/>
        <v>3.7499999999999999E-2</v>
      </c>
      <c r="AJ109" s="128">
        <f t="shared" si="253"/>
        <v>119070.9375</v>
      </c>
      <c r="AK109" s="128" t="str">
        <f t="shared" si="254"/>
        <v>nie</v>
      </c>
      <c r="AL109" s="128">
        <f t="shared" si="255"/>
        <v>593.5</v>
      </c>
      <c r="AM109" s="128">
        <f t="shared" si="150"/>
        <v>118519.72437500001</v>
      </c>
      <c r="AN109" s="128">
        <f t="shared" si="256"/>
        <v>300.45937500000002</v>
      </c>
      <c r="AO109" s="130">
        <f t="shared" si="257"/>
        <v>3.5999999999999997E-2</v>
      </c>
      <c r="AP109" s="128">
        <f t="shared" si="258"/>
        <v>1868.3783070809309</v>
      </c>
      <c r="AQ109" s="128">
        <f t="shared" si="156"/>
        <v>120087.64330708093</v>
      </c>
      <c r="AS109" s="124">
        <f t="shared" ref="AS109:AS172" si="327">AS108+1</f>
        <v>66</v>
      </c>
      <c r="AT109" s="130">
        <f t="shared" ref="AT109:AT172" si="328">MAX(INDEX(scenariusz_I_stopa_NBP,MATCH(ROUNDUP(AS109/12,0),scenariusz_I_rok,0)),0)</f>
        <v>3.7499999999999999E-2</v>
      </c>
      <c r="AU109" s="127">
        <f t="shared" ref="AU109:AU140" si="329">IF(BA108="tak",
ROUNDDOWN(BC108/zamiana_DOR,0)+ROUNDDOWN(BF108/100,0),
AU108)</f>
        <v>1142</v>
      </c>
      <c r="AV109" s="128">
        <f t="shared" ref="AV109:AV140" si="330">IF(BA108="tak",
ROUNDDOWN(BC108/zamiana_DOR,0)*zamiana_DOR+ROUNDDOWN(BF108/100,0)*100,
AV108)</f>
        <v>114092.8</v>
      </c>
      <c r="AW109" s="128">
        <f t="shared" si="151"/>
        <v>114200</v>
      </c>
      <c r="AX109" s="128">
        <f t="shared" ref="AX109:AX116" si="331">AW109</f>
        <v>114200</v>
      </c>
      <c r="AY109" s="130">
        <f t="shared" si="259"/>
        <v>3.9E-2</v>
      </c>
      <c r="AZ109" s="128">
        <f t="shared" si="260"/>
        <v>114571.15</v>
      </c>
      <c r="BA109" s="128" t="str">
        <f t="shared" si="261"/>
        <v>nie</v>
      </c>
      <c r="BB109" s="128">
        <f t="shared" si="262"/>
        <v>799.4</v>
      </c>
      <c r="BC109" s="128">
        <f t="shared" si="158"/>
        <v>113853.11750000001</v>
      </c>
      <c r="BD109" s="128">
        <f t="shared" si="263"/>
        <v>300.6314999999953</v>
      </c>
      <c r="BE109" s="130">
        <f t="shared" si="264"/>
        <v>3.5999999999999997E-2</v>
      </c>
      <c r="BF109" s="128">
        <f t="shared" si="265"/>
        <v>5638.0847420851187</v>
      </c>
      <c r="BG109" s="128">
        <f t="shared" si="159"/>
        <v>119190.57074208512</v>
      </c>
      <c r="BI109" s="124">
        <f t="shared" ref="BI109:BI172" si="332">BI108+1</f>
        <v>66</v>
      </c>
      <c r="BJ109" s="130">
        <f t="shared" si="242"/>
        <v>3.9100000000000003E-2</v>
      </c>
      <c r="BK109" s="127">
        <f t="shared" ref="BK109:BK140" si="333">IF(BQ108="tak",
ROUNDDOWN(BS108/zamiana_TOS,0),
BK108)</f>
        <v>1112</v>
      </c>
      <c r="BL109" s="128">
        <f t="shared" ref="BL109:BL140" si="334">IF(BQ108="tak",
BK109*zamiana_TOS,
BL108)</f>
        <v>111088.8</v>
      </c>
      <c r="BM109" s="128">
        <f t="shared" si="142"/>
        <v>111200</v>
      </c>
      <c r="BN109" s="128">
        <f t="shared" ref="BN109:BN140" si="335">IF(BQ108="tak",
 BM109,
IF(MOD($AA109,kapitalizacja_odsetek_mc_ROS)&lt;&gt;1,BN108,BP108))</f>
        <v>121200.88320000001</v>
      </c>
      <c r="BO109" s="130">
        <f t="shared" si="266"/>
        <v>4.3999999999999997E-2</v>
      </c>
      <c r="BP109" s="128">
        <f t="shared" si="267"/>
        <v>123867.30263040001</v>
      </c>
      <c r="BQ109" s="128" t="str">
        <f t="shared" si="268"/>
        <v>nie</v>
      </c>
      <c r="BR109" s="128">
        <f t="shared" si="269"/>
        <v>1112</v>
      </c>
      <c r="BS109" s="128">
        <f t="shared" si="153"/>
        <v>120559.79513062401</v>
      </c>
      <c r="BT109" s="128">
        <f t="shared" ref="BT109:BT115" si="336">IF(AND(BQ109="tak",BL110&lt;&gt;""),
 BS109-BL110,
0)</f>
        <v>0</v>
      </c>
      <c r="BU109" s="130">
        <f t="shared" si="270"/>
        <v>3.5999999999999997E-2</v>
      </c>
      <c r="BV109" s="128">
        <f t="shared" si="271"/>
        <v>86.631514479385046</v>
      </c>
      <c r="BW109" s="128">
        <f t="shared" si="243"/>
        <v>120646.42664510341</v>
      </c>
      <c r="BY109" s="130">
        <f t="shared" si="244"/>
        <v>3.1E-2</v>
      </c>
      <c r="BZ109" s="127">
        <f t="shared" ref="BZ109:BZ140" si="337">IF(CF108="tak",
ROUNDDOWN(CH108/zamiana_COI,0)+ROUNDDOWN(CK108/100,0),
BZ108)</f>
        <v>1158</v>
      </c>
      <c r="CA109" s="128">
        <f t="shared" ref="CA109:CA140" si="338">IF(CF108="tak",
ROUNDDOWN(CH108/zamiana_COI,0)*zamiana_COI+ROUNDDOWN(CK108/100,0)*100,
CA108)</f>
        <v>115696.20000000001</v>
      </c>
      <c r="CB109" s="128">
        <f t="shared" si="154"/>
        <v>115800</v>
      </c>
      <c r="CC109" s="128">
        <f t="shared" ref="CC109:CC116" si="339">CB109</f>
        <v>115800</v>
      </c>
      <c r="CD109" s="130">
        <f t="shared" si="272"/>
        <v>4.5999999999999999E-2</v>
      </c>
      <c r="CE109" s="128">
        <f t="shared" si="273"/>
        <v>118463.4</v>
      </c>
      <c r="CF109" s="128" t="str">
        <f t="shared" si="274"/>
        <v>nie</v>
      </c>
      <c r="CG109" s="128">
        <f t="shared" si="275"/>
        <v>2316</v>
      </c>
      <c r="CH109" s="128">
        <f t="shared" si="160"/>
        <v>116081.394</v>
      </c>
      <c r="CI109" s="128">
        <f t="shared" si="276"/>
        <v>0</v>
      </c>
      <c r="CJ109" s="130">
        <f t="shared" si="277"/>
        <v>3.5999999999999997E-2</v>
      </c>
      <c r="CK109" s="128">
        <f t="shared" si="278"/>
        <v>4535.5854416791108</v>
      </c>
      <c r="CL109" s="128">
        <f t="shared" si="279"/>
        <v>120616.97944167911</v>
      </c>
      <c r="CN109" s="127">
        <f t="shared" ref="CN109:CN140" si="340">IF(CT108="tak",
ROUNDDOWN(CV108/zamiana_EDO,0),
CN108)</f>
        <v>1000</v>
      </c>
      <c r="CO109" s="128">
        <f t="shared" ref="CO109:CO140" si="341">IF(CT108="tak",
CN109*zamiana_EDO,
CO108)</f>
        <v>100000</v>
      </c>
      <c r="CP109" s="128">
        <f t="shared" ref="CP109:CP172" si="342">IF(CT108="tak",
CN109*100,
CP108)</f>
        <v>100000</v>
      </c>
      <c r="CQ109" s="128">
        <f t="shared" ref="CQ109:CQ140" si="343">IF(CT108="tak",
 CP109,
IF(MOD($AA109,kapitalizacja_odsetek_mc_EDO)&lt;&gt;1,CQ108,CS108))</f>
        <v>128542.10394532533</v>
      </c>
      <c r="CR109" s="130">
        <f t="shared" si="280"/>
        <v>5.1000000000000004E-2</v>
      </c>
      <c r="CS109" s="128">
        <f t="shared" si="281"/>
        <v>131819.92759593113</v>
      </c>
      <c r="CT109" s="128" t="str">
        <f t="shared" si="282"/>
        <v>nie</v>
      </c>
      <c r="CU109" s="128">
        <f t="shared" si="283"/>
        <v>3000</v>
      </c>
      <c r="CV109" s="128">
        <f t="shared" si="284"/>
        <v>123344.14135270422</v>
      </c>
      <c r="CW109" s="128">
        <f t="shared" si="285"/>
        <v>0</v>
      </c>
      <c r="CX109" s="130">
        <f t="shared" si="286"/>
        <v>3.5999999999999997E-2</v>
      </c>
      <c r="CY109" s="128">
        <f t="shared" si="287"/>
        <v>0</v>
      </c>
      <c r="CZ109" s="128">
        <f t="shared" si="288"/>
        <v>123344.14135270422</v>
      </c>
      <c r="DA109" s="20"/>
      <c r="DB109" s="127">
        <f t="shared" si="144"/>
        <v>1000</v>
      </c>
      <c r="DC109" s="128">
        <f t="shared" si="145"/>
        <v>100000</v>
      </c>
      <c r="DD109" s="128">
        <f t="shared" ref="DD109:DD172" si="344">IF(DH108="tak",
DB109*100,
DD108)</f>
        <v>100000</v>
      </c>
      <c r="DE109" s="128">
        <f t="shared" ref="DE109:DE140" si="345">IF(DH108="tak",
 DD109,
IF(MOD($AA109,kapitalizacja_odsetek_mc_ROS)&lt;&gt;1,DE108,DG108))</f>
        <v>128115.05376610497</v>
      </c>
      <c r="DF109" s="130">
        <f t="shared" si="289"/>
        <v>5.1000000000000004E-2</v>
      </c>
      <c r="DG109" s="128">
        <f t="shared" si="290"/>
        <v>131381.98763714067</v>
      </c>
      <c r="DH109" s="128" t="str">
        <f t="shared" si="291"/>
        <v>nie</v>
      </c>
      <c r="DI109" s="128">
        <f t="shared" si="292"/>
        <v>2000</v>
      </c>
      <c r="DJ109" s="128">
        <f t="shared" si="293"/>
        <v>123799.40998608395</v>
      </c>
      <c r="DK109" s="128">
        <f t="shared" si="294"/>
        <v>0</v>
      </c>
      <c r="DL109" s="130">
        <f t="shared" si="295"/>
        <v>3.5999999999999997E-2</v>
      </c>
      <c r="DM109" s="128">
        <f t="shared" si="296"/>
        <v>0</v>
      </c>
      <c r="DN109" s="128">
        <f t="shared" si="297"/>
        <v>123799.40998608395</v>
      </c>
      <c r="DP109" s="127">
        <f t="shared" si="146"/>
        <v>1000</v>
      </c>
      <c r="DQ109" s="128">
        <f t="shared" si="147"/>
        <v>100000</v>
      </c>
      <c r="DR109" s="128">
        <f t="shared" ref="DR109:DR172" si="346">IF(DV108="tak",
DP109*100,
DR108)</f>
        <v>100000</v>
      </c>
      <c r="DS109" s="128">
        <f t="shared" ref="DS109:DS140" si="347">IF(DV108="tak",
 DR109,
IF(MOD($AA109,kapitalizacja_odsetek_mc_ROD)&lt;&gt;1,DS108,DU108))</f>
        <v>131316.58832117764</v>
      </c>
      <c r="DT109" s="130">
        <f t="shared" si="298"/>
        <v>5.6000000000000001E-2</v>
      </c>
      <c r="DU109" s="128">
        <f t="shared" si="299"/>
        <v>134993.45279417062</v>
      </c>
      <c r="DV109" s="128" t="str">
        <f t="shared" si="300"/>
        <v>nie</v>
      </c>
      <c r="DW109" s="128">
        <f t="shared" si="301"/>
        <v>3000</v>
      </c>
      <c r="DX109" s="128">
        <f t="shared" si="302"/>
        <v>125914.6967632782</v>
      </c>
      <c r="DY109" s="128">
        <f t="shared" si="303"/>
        <v>0</v>
      </c>
      <c r="DZ109" s="130">
        <f t="shared" si="304"/>
        <v>3.5999999999999997E-2</v>
      </c>
      <c r="EA109" s="128">
        <f t="shared" si="305"/>
        <v>0</v>
      </c>
      <c r="EB109" s="128">
        <f t="shared" si="306"/>
        <v>125914.6967632782</v>
      </c>
    </row>
    <row r="110" spans="1:132">
      <c r="A110" s="212"/>
      <c r="B110" s="188">
        <f t="shared" si="307"/>
        <v>66</v>
      </c>
      <c r="C110" s="128">
        <f t="shared" si="308"/>
        <v>120087.64330708093</v>
      </c>
      <c r="D110" s="128">
        <f t="shared" si="309"/>
        <v>119190.57074208512</v>
      </c>
      <c r="E110" s="128">
        <f t="shared" si="310"/>
        <v>120646.42664510341</v>
      </c>
      <c r="F110" s="128">
        <f t="shared" si="311"/>
        <v>120616.97944167911</v>
      </c>
      <c r="G110" s="128">
        <f t="shared" si="312"/>
        <v>123344.14135270422</v>
      </c>
      <c r="H110" s="128">
        <f t="shared" si="313"/>
        <v>123799.40998608395</v>
      </c>
      <c r="I110" s="128">
        <f t="shared" si="314"/>
        <v>125914.6967632782</v>
      </c>
      <c r="J110" s="128">
        <f t="shared" si="315"/>
        <v>117372.85227563279</v>
      </c>
      <c r="K110" s="128">
        <f t="shared" si="316"/>
        <v>118296.870085578</v>
      </c>
      <c r="M110" s="36"/>
      <c r="N110" s="32">
        <f t="shared" si="317"/>
        <v>66</v>
      </c>
      <c r="O110" s="25">
        <f t="shared" si="318"/>
        <v>0.20087643307080927</v>
      </c>
      <c r="P110" s="25">
        <f t="shared" si="319"/>
        <v>0.19190570742085122</v>
      </c>
      <c r="Q110" s="25">
        <f t="shared" si="320"/>
        <v>0.20646426645103411</v>
      </c>
      <c r="R110" s="25">
        <f t="shared" si="245"/>
        <v>0.20616979441679106</v>
      </c>
      <c r="S110" s="25">
        <f t="shared" si="246"/>
        <v>0.23344141352704217</v>
      </c>
      <c r="T110" s="25">
        <f t="shared" si="247"/>
        <v>0.23799409986083941</v>
      </c>
      <c r="U110" s="25">
        <f t="shared" si="248"/>
        <v>0.259146967632782</v>
      </c>
      <c r="V110" s="25">
        <f t="shared" si="249"/>
        <v>0.17372852275632789</v>
      </c>
      <c r="W110" s="25">
        <f t="shared" si="250"/>
        <v>0.1829687008557801</v>
      </c>
      <c r="X110" s="36"/>
      <c r="Y110" s="36"/>
      <c r="AA110" s="124">
        <f t="shared" si="321"/>
        <v>67</v>
      </c>
      <c r="AB110" s="128">
        <f t="shared" si="251"/>
        <v>118597.80582927182</v>
      </c>
      <c r="AC110" s="124">
        <f t="shared" si="322"/>
        <v>67</v>
      </c>
      <c r="AD110" s="130">
        <f t="shared" si="323"/>
        <v>3.7499999999999999E-2</v>
      </c>
      <c r="AE110" s="127">
        <f t="shared" si="324"/>
        <v>1187</v>
      </c>
      <c r="AF110" s="128">
        <f t="shared" si="325"/>
        <v>118585</v>
      </c>
      <c r="AG110" s="128">
        <f t="shared" ref="AG110:AG173" si="348">IF(AK109="tak",
AE110*100,
AG109)</f>
        <v>118700</v>
      </c>
      <c r="AH110" s="128">
        <f t="shared" si="326"/>
        <v>118700</v>
      </c>
      <c r="AI110" s="130">
        <f t="shared" si="252"/>
        <v>3.7499999999999999E-2</v>
      </c>
      <c r="AJ110" s="128">
        <f t="shared" si="253"/>
        <v>119070.9375</v>
      </c>
      <c r="AK110" s="128" t="str">
        <f t="shared" si="254"/>
        <v>nie</v>
      </c>
      <c r="AL110" s="128">
        <f t="shared" si="255"/>
        <v>593.5</v>
      </c>
      <c r="AM110" s="128">
        <f t="shared" si="150"/>
        <v>118519.72437500001</v>
      </c>
      <c r="AN110" s="128">
        <f t="shared" si="256"/>
        <v>300.45937500000002</v>
      </c>
      <c r="AO110" s="130">
        <f t="shared" si="257"/>
        <v>3.5999999999999997E-2</v>
      </c>
      <c r="AP110" s="128">
        <f t="shared" si="258"/>
        <v>2173.3778413671375</v>
      </c>
      <c r="AQ110" s="128">
        <f t="shared" si="156"/>
        <v>120392.64284136714</v>
      </c>
      <c r="AS110" s="124">
        <f t="shared" si="327"/>
        <v>67</v>
      </c>
      <c r="AT110" s="130">
        <f t="shared" si="328"/>
        <v>3.7499999999999999E-2</v>
      </c>
      <c r="AU110" s="127">
        <f t="shared" si="329"/>
        <v>1142</v>
      </c>
      <c r="AV110" s="128">
        <f t="shared" si="330"/>
        <v>114092.8</v>
      </c>
      <c r="AW110" s="128">
        <f t="shared" si="151"/>
        <v>114200</v>
      </c>
      <c r="AX110" s="128">
        <f t="shared" si="331"/>
        <v>114200</v>
      </c>
      <c r="AY110" s="130">
        <f t="shared" si="259"/>
        <v>3.9E-2</v>
      </c>
      <c r="AZ110" s="128">
        <f t="shared" si="260"/>
        <v>114571.15</v>
      </c>
      <c r="BA110" s="128" t="str">
        <f t="shared" si="261"/>
        <v>nie</v>
      </c>
      <c r="BB110" s="128">
        <f t="shared" si="262"/>
        <v>799.4</v>
      </c>
      <c r="BC110" s="128">
        <f t="shared" si="158"/>
        <v>113853.11750000001</v>
      </c>
      <c r="BD110" s="128">
        <f t="shared" si="263"/>
        <v>300.6314999999953</v>
      </c>
      <c r="BE110" s="130">
        <f t="shared" si="264"/>
        <v>3.5999999999999997E-2</v>
      </c>
      <c r="BF110" s="128">
        <f t="shared" si="265"/>
        <v>5952.4167880083805</v>
      </c>
      <c r="BG110" s="128">
        <f t="shared" si="159"/>
        <v>119504.90278800839</v>
      </c>
      <c r="BI110" s="124">
        <f t="shared" si="332"/>
        <v>67</v>
      </c>
      <c r="BJ110" s="130">
        <f t="shared" si="242"/>
        <v>3.9100000000000003E-2</v>
      </c>
      <c r="BK110" s="127">
        <f>IF(BQ109="tak",
ROUNDDOWN(BS109/zamiana_TOS,0),
BK109)</f>
        <v>1112</v>
      </c>
      <c r="BL110" s="128">
        <f t="shared" si="334"/>
        <v>111088.8</v>
      </c>
      <c r="BM110" s="128">
        <f t="shared" ref="BM110:BM173" si="349">IF(BQ109="tak",
BK110*100,
BM109)</f>
        <v>111200</v>
      </c>
      <c r="BN110" s="128">
        <f t="shared" si="335"/>
        <v>121200.88320000001</v>
      </c>
      <c r="BO110" s="130">
        <f t="shared" si="266"/>
        <v>4.3999999999999997E-2</v>
      </c>
      <c r="BP110" s="128">
        <f t="shared" si="267"/>
        <v>124311.70586880003</v>
      </c>
      <c r="BQ110" s="128" t="str">
        <f t="shared" si="268"/>
        <v>nie</v>
      </c>
      <c r="BR110" s="128">
        <f t="shared" si="269"/>
        <v>1112</v>
      </c>
      <c r="BS110" s="128">
        <f t="shared" si="153"/>
        <v>120919.76175372802</v>
      </c>
      <c r="BT110" s="128">
        <f t="shared" si="336"/>
        <v>0</v>
      </c>
      <c r="BU110" s="130">
        <f t="shared" si="270"/>
        <v>3.5999999999999997E-2</v>
      </c>
      <c r="BV110" s="128">
        <f t="shared" si="271"/>
        <v>86.842029059569953</v>
      </c>
      <c r="BW110" s="128">
        <f t="shared" si="243"/>
        <v>121006.60378278758</v>
      </c>
      <c r="BY110" s="130">
        <f t="shared" si="244"/>
        <v>3.1E-2</v>
      </c>
      <c r="BZ110" s="127">
        <f t="shared" si="337"/>
        <v>1158</v>
      </c>
      <c r="CA110" s="128">
        <f t="shared" si="338"/>
        <v>115696.20000000001</v>
      </c>
      <c r="CB110" s="128">
        <f t="shared" si="154"/>
        <v>115800</v>
      </c>
      <c r="CC110" s="128">
        <f t="shared" si="339"/>
        <v>115800</v>
      </c>
      <c r="CD110" s="130">
        <f t="shared" si="272"/>
        <v>4.5999999999999999E-2</v>
      </c>
      <c r="CE110" s="128">
        <f t="shared" si="273"/>
        <v>118907.29999999999</v>
      </c>
      <c r="CF110" s="128" t="str">
        <f t="shared" si="274"/>
        <v>nie</v>
      </c>
      <c r="CG110" s="128">
        <f t="shared" si="275"/>
        <v>2316</v>
      </c>
      <c r="CH110" s="128">
        <f t="shared" si="160"/>
        <v>116440.95299999999</v>
      </c>
      <c r="CI110" s="128">
        <f t="shared" si="276"/>
        <v>0</v>
      </c>
      <c r="CJ110" s="130">
        <f t="shared" si="277"/>
        <v>3.5999999999999997E-2</v>
      </c>
      <c r="CK110" s="128">
        <f t="shared" si="278"/>
        <v>4546.6069143023906</v>
      </c>
      <c r="CL110" s="128">
        <f t="shared" si="279"/>
        <v>120987.55991430239</v>
      </c>
      <c r="CN110" s="127">
        <f t="shared" si="340"/>
        <v>1000</v>
      </c>
      <c r="CO110" s="128">
        <f t="shared" si="341"/>
        <v>100000</v>
      </c>
      <c r="CP110" s="128">
        <f t="shared" si="342"/>
        <v>100000</v>
      </c>
      <c r="CQ110" s="128">
        <f t="shared" si="343"/>
        <v>128542.10394532533</v>
      </c>
      <c r="CR110" s="130">
        <f t="shared" si="280"/>
        <v>5.1000000000000004E-2</v>
      </c>
      <c r="CS110" s="128">
        <f t="shared" si="281"/>
        <v>132366.23153769877</v>
      </c>
      <c r="CT110" s="128" t="str">
        <f t="shared" si="282"/>
        <v>nie</v>
      </c>
      <c r="CU110" s="128">
        <f t="shared" si="283"/>
        <v>3000</v>
      </c>
      <c r="CV110" s="128">
        <f t="shared" si="284"/>
        <v>123786.64754553601</v>
      </c>
      <c r="CW110" s="128">
        <f t="shared" si="285"/>
        <v>0</v>
      </c>
      <c r="CX110" s="130">
        <f t="shared" si="286"/>
        <v>3.5999999999999997E-2</v>
      </c>
      <c r="CY110" s="128">
        <f t="shared" si="287"/>
        <v>0</v>
      </c>
      <c r="CZ110" s="128">
        <f t="shared" si="288"/>
        <v>123786.64754553601</v>
      </c>
      <c r="DA110" s="20"/>
      <c r="DB110" s="127">
        <f t="shared" ref="DB110:DB173" si="350">IF(DH109="tak",
ROUNDDOWN(DJ109/100,0),
DB109)</f>
        <v>1000</v>
      </c>
      <c r="DC110" s="128">
        <f t="shared" ref="DC110:DC173" si="351">IF(DH109="tak",
DB110*100,
DC109)</f>
        <v>100000</v>
      </c>
      <c r="DD110" s="128">
        <f t="shared" si="344"/>
        <v>100000</v>
      </c>
      <c r="DE110" s="128">
        <f t="shared" si="345"/>
        <v>128115.05376610497</v>
      </c>
      <c r="DF110" s="130">
        <f t="shared" si="289"/>
        <v>5.1000000000000004E-2</v>
      </c>
      <c r="DG110" s="128">
        <f t="shared" si="290"/>
        <v>131926.47661564659</v>
      </c>
      <c r="DH110" s="128" t="str">
        <f t="shared" si="291"/>
        <v>nie</v>
      </c>
      <c r="DI110" s="128">
        <f t="shared" si="292"/>
        <v>2000</v>
      </c>
      <c r="DJ110" s="128">
        <f t="shared" si="293"/>
        <v>124240.44605867374</v>
      </c>
      <c r="DK110" s="128">
        <f t="shared" si="294"/>
        <v>0</v>
      </c>
      <c r="DL110" s="130">
        <f t="shared" si="295"/>
        <v>3.5999999999999997E-2</v>
      </c>
      <c r="DM110" s="128">
        <f t="shared" si="296"/>
        <v>0</v>
      </c>
      <c r="DN110" s="128">
        <f t="shared" si="297"/>
        <v>124240.44605867374</v>
      </c>
      <c r="DP110" s="127">
        <f t="shared" ref="DP110:DP173" si="352">IF(DV109="tak",
ROUNDDOWN(DX109/100,0),
DP109)</f>
        <v>1000</v>
      </c>
      <c r="DQ110" s="128">
        <f t="shared" ref="DQ110:DQ173" si="353">IF(DV109="tak",
DP110*100,
DQ109)</f>
        <v>100000</v>
      </c>
      <c r="DR110" s="128">
        <f t="shared" si="346"/>
        <v>100000</v>
      </c>
      <c r="DS110" s="128">
        <f t="shared" si="347"/>
        <v>131316.58832117764</v>
      </c>
      <c r="DT110" s="130">
        <f t="shared" si="298"/>
        <v>5.6000000000000001E-2</v>
      </c>
      <c r="DU110" s="128">
        <f t="shared" si="299"/>
        <v>135606.26353966942</v>
      </c>
      <c r="DV110" s="128" t="str">
        <f t="shared" si="300"/>
        <v>nie</v>
      </c>
      <c r="DW110" s="128">
        <f t="shared" si="301"/>
        <v>3000</v>
      </c>
      <c r="DX110" s="128">
        <f t="shared" si="302"/>
        <v>126411.07346713223</v>
      </c>
      <c r="DY110" s="128">
        <f t="shared" si="303"/>
        <v>0</v>
      </c>
      <c r="DZ110" s="130">
        <f t="shared" si="304"/>
        <v>3.5999999999999997E-2</v>
      </c>
      <c r="EA110" s="128">
        <f t="shared" si="305"/>
        <v>0</v>
      </c>
      <c r="EB110" s="128">
        <f t="shared" si="306"/>
        <v>126411.07346713223</v>
      </c>
    </row>
    <row r="111" spans="1:132">
      <c r="A111" s="212"/>
      <c r="B111" s="188">
        <f t="shared" si="307"/>
        <v>67</v>
      </c>
      <c r="C111" s="128">
        <f t="shared" si="308"/>
        <v>120392.64284136714</v>
      </c>
      <c r="D111" s="128">
        <f t="shared" si="309"/>
        <v>119504.90278800839</v>
      </c>
      <c r="E111" s="128">
        <f t="shared" si="310"/>
        <v>121006.60378278758</v>
      </c>
      <c r="F111" s="128">
        <f t="shared" si="311"/>
        <v>120987.55991430239</v>
      </c>
      <c r="G111" s="128">
        <f t="shared" si="312"/>
        <v>123786.64754553601</v>
      </c>
      <c r="H111" s="128">
        <f t="shared" si="313"/>
        <v>124240.44605867374</v>
      </c>
      <c r="I111" s="128">
        <f t="shared" si="314"/>
        <v>126411.07346713223</v>
      </c>
      <c r="J111" s="128">
        <f t="shared" si="315"/>
        <v>117658.06830666256</v>
      </c>
      <c r="K111" s="128">
        <f t="shared" si="316"/>
        <v>118597.80582927182</v>
      </c>
      <c r="M111" s="36"/>
      <c r="N111" s="32">
        <f t="shared" si="317"/>
        <v>67</v>
      </c>
      <c r="O111" s="25">
        <f t="shared" si="318"/>
        <v>0.20392642841367148</v>
      </c>
      <c r="P111" s="25">
        <f t="shared" si="319"/>
        <v>0.19504902788008383</v>
      </c>
      <c r="Q111" s="25">
        <f t="shared" si="320"/>
        <v>0.21006603782787581</v>
      </c>
      <c r="R111" s="25">
        <f t="shared" si="245"/>
        <v>0.20987559914302389</v>
      </c>
      <c r="S111" s="25">
        <f t="shared" si="246"/>
        <v>0.2378664754553601</v>
      </c>
      <c r="T111" s="25">
        <f t="shared" si="247"/>
        <v>0.24240446058673748</v>
      </c>
      <c r="U111" s="25">
        <f t="shared" si="248"/>
        <v>0.26411073467132229</v>
      </c>
      <c r="V111" s="25">
        <f t="shared" si="249"/>
        <v>0.17658068306662567</v>
      </c>
      <c r="W111" s="25">
        <f t="shared" si="250"/>
        <v>0.18597805829271818</v>
      </c>
      <c r="X111" s="36"/>
      <c r="Y111" s="36"/>
      <c r="AA111" s="124">
        <f t="shared" si="321"/>
        <v>68</v>
      </c>
      <c r="AB111" s="128">
        <f t="shared" si="251"/>
        <v>118898.74157296563</v>
      </c>
      <c r="AC111" s="124">
        <f t="shared" si="322"/>
        <v>68</v>
      </c>
      <c r="AD111" s="130">
        <f t="shared" si="323"/>
        <v>3.7499999999999999E-2</v>
      </c>
      <c r="AE111" s="127">
        <f t="shared" si="324"/>
        <v>1187</v>
      </c>
      <c r="AF111" s="128">
        <f t="shared" si="325"/>
        <v>118585</v>
      </c>
      <c r="AG111" s="128">
        <f t="shared" si="348"/>
        <v>118700</v>
      </c>
      <c r="AH111" s="128">
        <f t="shared" si="326"/>
        <v>118700</v>
      </c>
      <c r="AI111" s="130">
        <f t="shared" si="252"/>
        <v>3.7499999999999999E-2</v>
      </c>
      <c r="AJ111" s="128">
        <f t="shared" si="253"/>
        <v>119070.9375</v>
      </c>
      <c r="AK111" s="128" t="str">
        <f t="shared" si="254"/>
        <v>nie</v>
      </c>
      <c r="AL111" s="128">
        <f t="shared" si="255"/>
        <v>593.5</v>
      </c>
      <c r="AM111" s="128">
        <f t="shared" si="150"/>
        <v>118519.72437500001</v>
      </c>
      <c r="AN111" s="128">
        <f t="shared" si="256"/>
        <v>300.45937500000002</v>
      </c>
      <c r="AO111" s="130">
        <f t="shared" si="257"/>
        <v>3.5999999999999997E-2</v>
      </c>
      <c r="AP111" s="128">
        <f t="shared" si="258"/>
        <v>2479.1185245216593</v>
      </c>
      <c r="AQ111" s="128">
        <f t="shared" si="156"/>
        <v>120698.38352452166</v>
      </c>
      <c r="AS111" s="124">
        <f t="shared" si="327"/>
        <v>68</v>
      </c>
      <c r="AT111" s="130">
        <f t="shared" si="328"/>
        <v>3.7499999999999999E-2</v>
      </c>
      <c r="AU111" s="127">
        <f t="shared" si="329"/>
        <v>1142</v>
      </c>
      <c r="AV111" s="128">
        <f t="shared" si="330"/>
        <v>114092.8</v>
      </c>
      <c r="AW111" s="128">
        <f t="shared" si="151"/>
        <v>114200</v>
      </c>
      <c r="AX111" s="128">
        <f t="shared" si="331"/>
        <v>114200</v>
      </c>
      <c r="AY111" s="130">
        <f t="shared" si="259"/>
        <v>3.9E-2</v>
      </c>
      <c r="AZ111" s="128">
        <f t="shared" si="260"/>
        <v>114571.15</v>
      </c>
      <c r="BA111" s="128" t="str">
        <f t="shared" si="261"/>
        <v>nie</v>
      </c>
      <c r="BB111" s="128">
        <f t="shared" si="262"/>
        <v>799.4</v>
      </c>
      <c r="BC111" s="128">
        <f t="shared" si="158"/>
        <v>113853.11750000001</v>
      </c>
      <c r="BD111" s="128">
        <f t="shared" si="263"/>
        <v>300.6314999999953</v>
      </c>
      <c r="BE111" s="130">
        <f t="shared" si="264"/>
        <v>3.5999999999999997E-2</v>
      </c>
      <c r="BF111" s="128">
        <f t="shared" si="265"/>
        <v>6267.5126608032351</v>
      </c>
      <c r="BG111" s="128">
        <f t="shared" si="159"/>
        <v>119819.99866080325</v>
      </c>
      <c r="BI111" s="124">
        <f t="shared" si="332"/>
        <v>68</v>
      </c>
      <c r="BJ111" s="130">
        <f t="shared" si="242"/>
        <v>3.9100000000000003E-2</v>
      </c>
      <c r="BK111" s="127">
        <f t="shared" si="333"/>
        <v>1112</v>
      </c>
      <c r="BL111" s="128">
        <f t="shared" si="334"/>
        <v>111088.8</v>
      </c>
      <c r="BM111" s="128">
        <f t="shared" si="349"/>
        <v>111200</v>
      </c>
      <c r="BN111" s="128">
        <f t="shared" si="335"/>
        <v>121200.88320000001</v>
      </c>
      <c r="BO111" s="130">
        <f t="shared" si="266"/>
        <v>4.3999999999999997E-2</v>
      </c>
      <c r="BP111" s="128">
        <f t="shared" si="267"/>
        <v>124756.10910720003</v>
      </c>
      <c r="BQ111" s="128" t="str">
        <f t="shared" si="268"/>
        <v>nie</v>
      </c>
      <c r="BR111" s="128">
        <f t="shared" si="269"/>
        <v>1112</v>
      </c>
      <c r="BS111" s="128">
        <f t="shared" si="153"/>
        <v>121279.72837683202</v>
      </c>
      <c r="BT111" s="128">
        <f t="shared" si="336"/>
        <v>0</v>
      </c>
      <c r="BU111" s="130">
        <f t="shared" si="270"/>
        <v>3.5999999999999997E-2</v>
      </c>
      <c r="BV111" s="128">
        <f t="shared" si="271"/>
        <v>87.053055190184708</v>
      </c>
      <c r="BW111" s="128">
        <f t="shared" si="243"/>
        <v>121366.78143202221</v>
      </c>
      <c r="BY111" s="130">
        <f t="shared" si="244"/>
        <v>3.1E-2</v>
      </c>
      <c r="BZ111" s="127">
        <f t="shared" si="337"/>
        <v>1158</v>
      </c>
      <c r="CA111" s="128">
        <f t="shared" si="338"/>
        <v>115696.20000000001</v>
      </c>
      <c r="CB111" s="128">
        <f t="shared" si="154"/>
        <v>115800</v>
      </c>
      <c r="CC111" s="128">
        <f t="shared" si="339"/>
        <v>115800</v>
      </c>
      <c r="CD111" s="130">
        <f t="shared" si="272"/>
        <v>4.5999999999999999E-2</v>
      </c>
      <c r="CE111" s="128">
        <f t="shared" si="273"/>
        <v>119351.2</v>
      </c>
      <c r="CF111" s="128" t="str">
        <f t="shared" si="274"/>
        <v>nie</v>
      </c>
      <c r="CG111" s="128">
        <f t="shared" si="275"/>
        <v>2316</v>
      </c>
      <c r="CH111" s="128">
        <f t="shared" si="160"/>
        <v>116800.512</v>
      </c>
      <c r="CI111" s="128">
        <f t="shared" si="276"/>
        <v>0</v>
      </c>
      <c r="CJ111" s="130">
        <f t="shared" si="277"/>
        <v>3.5999999999999997E-2</v>
      </c>
      <c r="CK111" s="128">
        <f t="shared" si="278"/>
        <v>4557.655169104145</v>
      </c>
      <c r="CL111" s="128">
        <f t="shared" si="279"/>
        <v>121358.16716910414</v>
      </c>
      <c r="CN111" s="127">
        <f t="shared" si="340"/>
        <v>1000</v>
      </c>
      <c r="CO111" s="128">
        <f t="shared" si="341"/>
        <v>100000</v>
      </c>
      <c r="CP111" s="128">
        <f t="shared" si="342"/>
        <v>100000</v>
      </c>
      <c r="CQ111" s="128">
        <f t="shared" si="343"/>
        <v>128542.10394532533</v>
      </c>
      <c r="CR111" s="130">
        <f t="shared" si="280"/>
        <v>5.1000000000000004E-2</v>
      </c>
      <c r="CS111" s="128">
        <f t="shared" si="281"/>
        <v>132912.5354794664</v>
      </c>
      <c r="CT111" s="128" t="str">
        <f t="shared" si="282"/>
        <v>nie</v>
      </c>
      <c r="CU111" s="128">
        <f t="shared" si="283"/>
        <v>3000</v>
      </c>
      <c r="CV111" s="128">
        <f t="shared" si="284"/>
        <v>124229.15373836778</v>
      </c>
      <c r="CW111" s="128">
        <f t="shared" si="285"/>
        <v>0</v>
      </c>
      <c r="CX111" s="130">
        <f t="shared" si="286"/>
        <v>3.5999999999999997E-2</v>
      </c>
      <c r="CY111" s="128">
        <f t="shared" si="287"/>
        <v>0</v>
      </c>
      <c r="CZ111" s="128">
        <f t="shared" si="288"/>
        <v>124229.15373836778</v>
      </c>
      <c r="DA111" s="20"/>
      <c r="DB111" s="127">
        <f t="shared" si="350"/>
        <v>1000</v>
      </c>
      <c r="DC111" s="128">
        <f t="shared" si="351"/>
        <v>100000</v>
      </c>
      <c r="DD111" s="128">
        <f t="shared" si="344"/>
        <v>100000</v>
      </c>
      <c r="DE111" s="128">
        <f t="shared" si="345"/>
        <v>128115.05376610497</v>
      </c>
      <c r="DF111" s="130">
        <f t="shared" si="289"/>
        <v>5.1000000000000004E-2</v>
      </c>
      <c r="DG111" s="128">
        <f t="shared" si="290"/>
        <v>132470.96559415254</v>
      </c>
      <c r="DH111" s="128" t="str">
        <f t="shared" si="291"/>
        <v>nie</v>
      </c>
      <c r="DI111" s="128">
        <f t="shared" si="292"/>
        <v>2000</v>
      </c>
      <c r="DJ111" s="128">
        <f t="shared" si="293"/>
        <v>124681.48213126356</v>
      </c>
      <c r="DK111" s="128">
        <f t="shared" si="294"/>
        <v>0</v>
      </c>
      <c r="DL111" s="130">
        <f t="shared" si="295"/>
        <v>3.5999999999999997E-2</v>
      </c>
      <c r="DM111" s="128">
        <f t="shared" si="296"/>
        <v>0</v>
      </c>
      <c r="DN111" s="128">
        <f t="shared" si="297"/>
        <v>124681.48213126356</v>
      </c>
      <c r="DP111" s="127">
        <f t="shared" si="352"/>
        <v>1000</v>
      </c>
      <c r="DQ111" s="128">
        <f t="shared" si="353"/>
        <v>100000</v>
      </c>
      <c r="DR111" s="128">
        <f t="shared" si="346"/>
        <v>100000</v>
      </c>
      <c r="DS111" s="128">
        <f t="shared" si="347"/>
        <v>131316.58832117764</v>
      </c>
      <c r="DT111" s="130">
        <f t="shared" si="298"/>
        <v>5.6000000000000001E-2</v>
      </c>
      <c r="DU111" s="128">
        <f t="shared" si="299"/>
        <v>136219.07428516829</v>
      </c>
      <c r="DV111" s="128" t="str">
        <f t="shared" si="300"/>
        <v>nie</v>
      </c>
      <c r="DW111" s="128">
        <f t="shared" si="301"/>
        <v>3000</v>
      </c>
      <c r="DX111" s="128">
        <f t="shared" si="302"/>
        <v>126907.45017098631</v>
      </c>
      <c r="DY111" s="128">
        <f t="shared" si="303"/>
        <v>0</v>
      </c>
      <c r="DZ111" s="130">
        <f t="shared" si="304"/>
        <v>3.5999999999999997E-2</v>
      </c>
      <c r="EA111" s="128">
        <f t="shared" si="305"/>
        <v>0</v>
      </c>
      <c r="EB111" s="128">
        <f t="shared" si="306"/>
        <v>126907.45017098631</v>
      </c>
    </row>
    <row r="112" spans="1:132">
      <c r="A112" s="212"/>
      <c r="B112" s="188">
        <f t="shared" si="307"/>
        <v>68</v>
      </c>
      <c r="C112" s="128">
        <f t="shared" si="308"/>
        <v>120698.38352452166</v>
      </c>
      <c r="D112" s="128">
        <f t="shared" si="309"/>
        <v>119819.99866080325</v>
      </c>
      <c r="E112" s="128">
        <f t="shared" si="310"/>
        <v>121366.78143202221</v>
      </c>
      <c r="F112" s="128">
        <f t="shared" si="311"/>
        <v>121358.16716910414</v>
      </c>
      <c r="G112" s="128">
        <f t="shared" si="312"/>
        <v>124229.15373836778</v>
      </c>
      <c r="H112" s="128">
        <f t="shared" si="313"/>
        <v>124681.48213126356</v>
      </c>
      <c r="I112" s="128">
        <f t="shared" si="314"/>
        <v>126907.45017098631</v>
      </c>
      <c r="J112" s="128">
        <f t="shared" si="315"/>
        <v>117943.97741264774</v>
      </c>
      <c r="K112" s="128">
        <f t="shared" si="316"/>
        <v>118898.74157296563</v>
      </c>
      <c r="M112" s="36"/>
      <c r="N112" s="32">
        <f t="shared" si="317"/>
        <v>68</v>
      </c>
      <c r="O112" s="25">
        <f t="shared" si="318"/>
        <v>0.20698383524521669</v>
      </c>
      <c r="P112" s="25">
        <f t="shared" si="319"/>
        <v>0.1981999866080324</v>
      </c>
      <c r="Q112" s="25">
        <f t="shared" si="320"/>
        <v>0.21366781432022219</v>
      </c>
      <c r="R112" s="25">
        <f t="shared" si="245"/>
        <v>0.21358167169104147</v>
      </c>
      <c r="S112" s="25">
        <f t="shared" si="246"/>
        <v>0.24229153738367781</v>
      </c>
      <c r="T112" s="25">
        <f t="shared" si="247"/>
        <v>0.24681482131263555</v>
      </c>
      <c r="U112" s="25">
        <f t="shared" si="248"/>
        <v>0.26907450170986302</v>
      </c>
      <c r="V112" s="25">
        <f t="shared" si="249"/>
        <v>0.17943977412647749</v>
      </c>
      <c r="W112" s="25">
        <f t="shared" si="250"/>
        <v>0.18898741572965627</v>
      </c>
      <c r="X112" s="36"/>
      <c r="Y112" s="36"/>
      <c r="AA112" s="124">
        <f t="shared" si="321"/>
        <v>69</v>
      </c>
      <c r="AB112" s="128">
        <f t="shared" si="251"/>
        <v>119199.67731665946</v>
      </c>
      <c r="AC112" s="124">
        <f t="shared" si="322"/>
        <v>69</v>
      </c>
      <c r="AD112" s="130">
        <f t="shared" si="323"/>
        <v>3.7499999999999999E-2</v>
      </c>
      <c r="AE112" s="127">
        <f t="shared" si="324"/>
        <v>1187</v>
      </c>
      <c r="AF112" s="128">
        <f t="shared" si="325"/>
        <v>118585</v>
      </c>
      <c r="AG112" s="128">
        <f t="shared" si="348"/>
        <v>118700</v>
      </c>
      <c r="AH112" s="128">
        <f t="shared" si="326"/>
        <v>118700</v>
      </c>
      <c r="AI112" s="130">
        <f t="shared" si="252"/>
        <v>3.7499999999999999E-2</v>
      </c>
      <c r="AJ112" s="128">
        <f t="shared" si="253"/>
        <v>119070.9375</v>
      </c>
      <c r="AK112" s="128" t="str">
        <f t="shared" si="254"/>
        <v>nie</v>
      </c>
      <c r="AL112" s="128">
        <f t="shared" si="255"/>
        <v>593.5</v>
      </c>
      <c r="AM112" s="128">
        <f t="shared" si="150"/>
        <v>118519.72437500001</v>
      </c>
      <c r="AN112" s="128">
        <f t="shared" si="256"/>
        <v>300.45937500000002</v>
      </c>
      <c r="AO112" s="130">
        <f t="shared" si="257"/>
        <v>3.5999999999999997E-2</v>
      </c>
      <c r="AP112" s="128">
        <f t="shared" si="258"/>
        <v>2785.6021575362465</v>
      </c>
      <c r="AQ112" s="128">
        <f t="shared" si="156"/>
        <v>121004.86715753625</v>
      </c>
      <c r="AS112" s="124">
        <f t="shared" si="327"/>
        <v>69</v>
      </c>
      <c r="AT112" s="130">
        <f t="shared" si="328"/>
        <v>3.7499999999999999E-2</v>
      </c>
      <c r="AU112" s="127">
        <f t="shared" si="329"/>
        <v>1142</v>
      </c>
      <c r="AV112" s="128">
        <f t="shared" si="330"/>
        <v>114092.8</v>
      </c>
      <c r="AW112" s="128">
        <f t="shared" si="151"/>
        <v>114200</v>
      </c>
      <c r="AX112" s="128">
        <f t="shared" si="331"/>
        <v>114200</v>
      </c>
      <c r="AY112" s="130">
        <f t="shared" si="259"/>
        <v>3.9E-2</v>
      </c>
      <c r="AZ112" s="128">
        <f t="shared" si="260"/>
        <v>114571.15</v>
      </c>
      <c r="BA112" s="128" t="str">
        <f t="shared" si="261"/>
        <v>nie</v>
      </c>
      <c r="BB112" s="128">
        <f t="shared" si="262"/>
        <v>799.4</v>
      </c>
      <c r="BC112" s="128">
        <f t="shared" si="158"/>
        <v>113853.11750000001</v>
      </c>
      <c r="BD112" s="128">
        <f t="shared" si="263"/>
        <v>300.6314999999953</v>
      </c>
      <c r="BE112" s="130">
        <f t="shared" si="264"/>
        <v>3.5999999999999997E-2</v>
      </c>
      <c r="BF112" s="128">
        <f t="shared" si="265"/>
        <v>6583.3742165689819</v>
      </c>
      <c r="BG112" s="128">
        <f t="shared" si="159"/>
        <v>120135.860216569</v>
      </c>
      <c r="BI112" s="124">
        <f t="shared" si="332"/>
        <v>69</v>
      </c>
      <c r="BJ112" s="130">
        <f t="shared" si="242"/>
        <v>3.9100000000000003E-2</v>
      </c>
      <c r="BK112" s="127">
        <f t="shared" si="333"/>
        <v>1112</v>
      </c>
      <c r="BL112" s="128">
        <f t="shared" si="334"/>
        <v>111088.8</v>
      </c>
      <c r="BM112" s="128">
        <f t="shared" si="349"/>
        <v>111200</v>
      </c>
      <c r="BN112" s="128">
        <f t="shared" si="335"/>
        <v>121200.88320000001</v>
      </c>
      <c r="BO112" s="130">
        <f t="shared" si="266"/>
        <v>4.3999999999999997E-2</v>
      </c>
      <c r="BP112" s="128">
        <f t="shared" si="267"/>
        <v>125200.5123456</v>
      </c>
      <c r="BQ112" s="128" t="str">
        <f t="shared" si="268"/>
        <v>nie</v>
      </c>
      <c r="BR112" s="128">
        <f t="shared" si="269"/>
        <v>1112</v>
      </c>
      <c r="BS112" s="128">
        <f t="shared" si="153"/>
        <v>121639.69499993599</v>
      </c>
      <c r="BT112" s="128">
        <f t="shared" si="336"/>
        <v>0</v>
      </c>
      <c r="BU112" s="130">
        <f t="shared" si="270"/>
        <v>3.5999999999999997E-2</v>
      </c>
      <c r="BV112" s="128">
        <f t="shared" si="271"/>
        <v>87.264594114296855</v>
      </c>
      <c r="BW112" s="128">
        <f t="shared" si="243"/>
        <v>121726.95959405029</v>
      </c>
      <c r="BY112" s="130">
        <f t="shared" si="244"/>
        <v>3.1E-2</v>
      </c>
      <c r="BZ112" s="127">
        <f t="shared" si="337"/>
        <v>1158</v>
      </c>
      <c r="CA112" s="128">
        <f t="shared" si="338"/>
        <v>115696.20000000001</v>
      </c>
      <c r="CB112" s="128">
        <f t="shared" si="154"/>
        <v>115800</v>
      </c>
      <c r="CC112" s="128">
        <f t="shared" si="339"/>
        <v>115800</v>
      </c>
      <c r="CD112" s="130">
        <f t="shared" si="272"/>
        <v>4.5999999999999999E-2</v>
      </c>
      <c r="CE112" s="128">
        <f t="shared" si="273"/>
        <v>119795.09999999999</v>
      </c>
      <c r="CF112" s="128" t="str">
        <f t="shared" si="274"/>
        <v>nie</v>
      </c>
      <c r="CG112" s="128">
        <f t="shared" si="275"/>
        <v>2316</v>
      </c>
      <c r="CH112" s="128">
        <f t="shared" si="160"/>
        <v>117160.071</v>
      </c>
      <c r="CI112" s="128">
        <f t="shared" si="276"/>
        <v>0</v>
      </c>
      <c r="CJ112" s="130">
        <f t="shared" si="277"/>
        <v>3.5999999999999997E-2</v>
      </c>
      <c r="CK112" s="128">
        <f t="shared" si="278"/>
        <v>4568.7302711650682</v>
      </c>
      <c r="CL112" s="128">
        <f t="shared" si="279"/>
        <v>121728.80127116507</v>
      </c>
      <c r="CN112" s="127">
        <f t="shared" si="340"/>
        <v>1000</v>
      </c>
      <c r="CO112" s="128">
        <f t="shared" si="341"/>
        <v>100000</v>
      </c>
      <c r="CP112" s="128">
        <f t="shared" si="342"/>
        <v>100000</v>
      </c>
      <c r="CQ112" s="128">
        <f t="shared" si="343"/>
        <v>128542.10394532533</v>
      </c>
      <c r="CR112" s="130">
        <f t="shared" si="280"/>
        <v>5.1000000000000004E-2</v>
      </c>
      <c r="CS112" s="128">
        <f t="shared" si="281"/>
        <v>133458.83942123401</v>
      </c>
      <c r="CT112" s="128" t="str">
        <f t="shared" si="282"/>
        <v>nie</v>
      </c>
      <c r="CU112" s="128">
        <f t="shared" si="283"/>
        <v>3000</v>
      </c>
      <c r="CV112" s="128">
        <f t="shared" si="284"/>
        <v>124671.65993119954</v>
      </c>
      <c r="CW112" s="128">
        <f t="shared" si="285"/>
        <v>0</v>
      </c>
      <c r="CX112" s="130">
        <f t="shared" si="286"/>
        <v>3.5999999999999997E-2</v>
      </c>
      <c r="CY112" s="128">
        <f t="shared" si="287"/>
        <v>0</v>
      </c>
      <c r="CZ112" s="128">
        <f t="shared" si="288"/>
        <v>124671.65993119954</v>
      </c>
      <c r="DA112" s="20"/>
      <c r="DB112" s="127">
        <f t="shared" si="350"/>
        <v>1000</v>
      </c>
      <c r="DC112" s="128">
        <f t="shared" si="351"/>
        <v>100000</v>
      </c>
      <c r="DD112" s="128">
        <f t="shared" si="344"/>
        <v>100000</v>
      </c>
      <c r="DE112" s="128">
        <f t="shared" si="345"/>
        <v>128115.05376610497</v>
      </c>
      <c r="DF112" s="130">
        <f t="shared" si="289"/>
        <v>5.1000000000000004E-2</v>
      </c>
      <c r="DG112" s="128">
        <f t="shared" si="290"/>
        <v>133015.45457265849</v>
      </c>
      <c r="DH112" s="128" t="str">
        <f t="shared" si="291"/>
        <v>nie</v>
      </c>
      <c r="DI112" s="128">
        <f t="shared" si="292"/>
        <v>2000</v>
      </c>
      <c r="DJ112" s="128">
        <f t="shared" si="293"/>
        <v>125122.51820385338</v>
      </c>
      <c r="DK112" s="128">
        <f t="shared" si="294"/>
        <v>0</v>
      </c>
      <c r="DL112" s="130">
        <f t="shared" si="295"/>
        <v>3.5999999999999997E-2</v>
      </c>
      <c r="DM112" s="128">
        <f t="shared" si="296"/>
        <v>0</v>
      </c>
      <c r="DN112" s="128">
        <f t="shared" si="297"/>
        <v>125122.51820385338</v>
      </c>
      <c r="DP112" s="127">
        <f t="shared" si="352"/>
        <v>1000</v>
      </c>
      <c r="DQ112" s="128">
        <f t="shared" si="353"/>
        <v>100000</v>
      </c>
      <c r="DR112" s="128">
        <f t="shared" si="346"/>
        <v>100000</v>
      </c>
      <c r="DS112" s="128">
        <f t="shared" si="347"/>
        <v>131316.58832117764</v>
      </c>
      <c r="DT112" s="130">
        <f t="shared" si="298"/>
        <v>5.6000000000000001E-2</v>
      </c>
      <c r="DU112" s="128">
        <f t="shared" si="299"/>
        <v>136831.88503066709</v>
      </c>
      <c r="DV112" s="128" t="str">
        <f t="shared" si="300"/>
        <v>nie</v>
      </c>
      <c r="DW112" s="128">
        <f t="shared" si="301"/>
        <v>3000</v>
      </c>
      <c r="DX112" s="128">
        <f t="shared" si="302"/>
        <v>127403.82687484035</v>
      </c>
      <c r="DY112" s="128">
        <f t="shared" si="303"/>
        <v>0</v>
      </c>
      <c r="DZ112" s="130">
        <f t="shared" si="304"/>
        <v>3.5999999999999997E-2</v>
      </c>
      <c r="EA112" s="128">
        <f t="shared" si="305"/>
        <v>0</v>
      </c>
      <c r="EB112" s="128">
        <f t="shared" si="306"/>
        <v>127403.82687484035</v>
      </c>
    </row>
    <row r="113" spans="1:132">
      <c r="A113" s="212"/>
      <c r="B113" s="188">
        <f t="shared" si="307"/>
        <v>69</v>
      </c>
      <c r="C113" s="128">
        <f t="shared" si="308"/>
        <v>121004.86715753625</v>
      </c>
      <c r="D113" s="128">
        <f t="shared" si="309"/>
        <v>120135.860216569</v>
      </c>
      <c r="E113" s="128">
        <f t="shared" si="310"/>
        <v>121726.95959405029</v>
      </c>
      <c r="F113" s="128">
        <f t="shared" si="311"/>
        <v>121728.80127116507</v>
      </c>
      <c r="G113" s="128">
        <f t="shared" si="312"/>
        <v>124671.65993119954</v>
      </c>
      <c r="H113" s="128">
        <f t="shared" si="313"/>
        <v>125122.51820385338</v>
      </c>
      <c r="I113" s="128">
        <f t="shared" si="314"/>
        <v>127403.82687484035</v>
      </c>
      <c r="J113" s="128">
        <f t="shared" si="315"/>
        <v>118230.58127776047</v>
      </c>
      <c r="K113" s="128">
        <f t="shared" si="316"/>
        <v>119199.67731665946</v>
      </c>
      <c r="M113" s="36"/>
      <c r="N113" s="32">
        <f t="shared" si="317"/>
        <v>69</v>
      </c>
      <c r="O113" s="25">
        <f t="shared" si="318"/>
        <v>0.21004867157536244</v>
      </c>
      <c r="P113" s="25">
        <f t="shared" si="319"/>
        <v>0.2013586021656899</v>
      </c>
      <c r="Q113" s="25">
        <f t="shared" si="320"/>
        <v>0.21726959594050288</v>
      </c>
      <c r="R113" s="25">
        <f t="shared" si="245"/>
        <v>0.21728801271165077</v>
      </c>
      <c r="S113" s="25">
        <f t="shared" si="246"/>
        <v>0.2467165993119953</v>
      </c>
      <c r="T113" s="25">
        <f t="shared" si="247"/>
        <v>0.25122518203853383</v>
      </c>
      <c r="U113" s="25">
        <f t="shared" si="248"/>
        <v>0.27403826874840354</v>
      </c>
      <c r="V113" s="25">
        <f t="shared" si="249"/>
        <v>0.18230581277760471</v>
      </c>
      <c r="W113" s="25">
        <f t="shared" si="250"/>
        <v>0.19199677316659458</v>
      </c>
      <c r="X113" s="36"/>
      <c r="Y113" s="36"/>
      <c r="AA113" s="124">
        <f t="shared" si="321"/>
        <v>70</v>
      </c>
      <c r="AB113" s="128">
        <f t="shared" si="251"/>
        <v>119500.61306035329</v>
      </c>
      <c r="AC113" s="124">
        <f t="shared" si="322"/>
        <v>70</v>
      </c>
      <c r="AD113" s="130">
        <f t="shared" si="323"/>
        <v>3.7499999999999999E-2</v>
      </c>
      <c r="AE113" s="127">
        <f t="shared" si="324"/>
        <v>1187</v>
      </c>
      <c r="AF113" s="128">
        <f t="shared" si="325"/>
        <v>118585</v>
      </c>
      <c r="AG113" s="128">
        <f t="shared" si="348"/>
        <v>118700</v>
      </c>
      <c r="AH113" s="128">
        <f t="shared" si="326"/>
        <v>118700</v>
      </c>
      <c r="AI113" s="130">
        <f t="shared" si="252"/>
        <v>3.7499999999999999E-2</v>
      </c>
      <c r="AJ113" s="128">
        <f t="shared" si="253"/>
        <v>119070.9375</v>
      </c>
      <c r="AK113" s="128" t="str">
        <f t="shared" si="254"/>
        <v>nie</v>
      </c>
      <c r="AL113" s="128">
        <f t="shared" si="255"/>
        <v>593.5</v>
      </c>
      <c r="AM113" s="128">
        <f t="shared" si="150"/>
        <v>118519.72437500001</v>
      </c>
      <c r="AN113" s="128">
        <f t="shared" si="256"/>
        <v>300.45937500000002</v>
      </c>
      <c r="AO113" s="130">
        <f t="shared" si="257"/>
        <v>3.5999999999999997E-2</v>
      </c>
      <c r="AP113" s="128">
        <f t="shared" si="258"/>
        <v>3092.8305457790593</v>
      </c>
      <c r="AQ113" s="128">
        <f t="shared" si="156"/>
        <v>121312.09554577907</v>
      </c>
      <c r="AS113" s="124">
        <f t="shared" si="327"/>
        <v>70</v>
      </c>
      <c r="AT113" s="130">
        <f t="shared" si="328"/>
        <v>3.7499999999999999E-2</v>
      </c>
      <c r="AU113" s="127">
        <f t="shared" si="329"/>
        <v>1142</v>
      </c>
      <c r="AV113" s="128">
        <f t="shared" si="330"/>
        <v>114092.8</v>
      </c>
      <c r="AW113" s="128">
        <f t="shared" si="151"/>
        <v>114200</v>
      </c>
      <c r="AX113" s="128">
        <f t="shared" si="331"/>
        <v>114200</v>
      </c>
      <c r="AY113" s="130">
        <f t="shared" si="259"/>
        <v>3.9E-2</v>
      </c>
      <c r="AZ113" s="128">
        <f t="shared" si="260"/>
        <v>114571.15</v>
      </c>
      <c r="BA113" s="128" t="str">
        <f t="shared" si="261"/>
        <v>nie</v>
      </c>
      <c r="BB113" s="128">
        <f t="shared" si="262"/>
        <v>799.4</v>
      </c>
      <c r="BC113" s="128">
        <f t="shared" si="158"/>
        <v>113853.11750000001</v>
      </c>
      <c r="BD113" s="128">
        <f t="shared" si="263"/>
        <v>300.6314999999953</v>
      </c>
      <c r="BE113" s="130">
        <f t="shared" si="264"/>
        <v>3.5999999999999997E-2</v>
      </c>
      <c r="BF113" s="128">
        <f t="shared" si="265"/>
        <v>6900.003315915239</v>
      </c>
      <c r="BG113" s="128">
        <f t="shared" si="159"/>
        <v>120452.48931591526</v>
      </c>
      <c r="BI113" s="124">
        <f t="shared" si="332"/>
        <v>70</v>
      </c>
      <c r="BJ113" s="130">
        <f t="shared" si="242"/>
        <v>3.9100000000000003E-2</v>
      </c>
      <c r="BK113" s="127">
        <f t="shared" si="333"/>
        <v>1112</v>
      </c>
      <c r="BL113" s="128">
        <f t="shared" si="334"/>
        <v>111088.8</v>
      </c>
      <c r="BM113" s="128">
        <f t="shared" si="349"/>
        <v>111200</v>
      </c>
      <c r="BN113" s="128">
        <f t="shared" si="335"/>
        <v>121200.88320000001</v>
      </c>
      <c r="BO113" s="130">
        <f t="shared" si="266"/>
        <v>4.3999999999999997E-2</v>
      </c>
      <c r="BP113" s="128">
        <f t="shared" si="267"/>
        <v>125644.915584</v>
      </c>
      <c r="BQ113" s="128" t="str">
        <f t="shared" si="268"/>
        <v>nie</v>
      </c>
      <c r="BR113" s="128">
        <f t="shared" si="269"/>
        <v>1112</v>
      </c>
      <c r="BS113" s="128">
        <f t="shared" si="153"/>
        <v>121999.66162304</v>
      </c>
      <c r="BT113" s="128">
        <f t="shared" si="336"/>
        <v>0</v>
      </c>
      <c r="BU113" s="130">
        <f t="shared" si="270"/>
        <v>3.5999999999999997E-2</v>
      </c>
      <c r="BV113" s="128">
        <f t="shared" si="271"/>
        <v>87.476647077994585</v>
      </c>
      <c r="BW113" s="128">
        <f t="shared" si="243"/>
        <v>122087.138270118</v>
      </c>
      <c r="BY113" s="130">
        <f t="shared" si="244"/>
        <v>3.1E-2</v>
      </c>
      <c r="BZ113" s="127">
        <f t="shared" si="337"/>
        <v>1158</v>
      </c>
      <c r="CA113" s="128">
        <f t="shared" si="338"/>
        <v>115696.20000000001</v>
      </c>
      <c r="CB113" s="128">
        <f t="shared" si="154"/>
        <v>115800</v>
      </c>
      <c r="CC113" s="128">
        <f t="shared" si="339"/>
        <v>115800</v>
      </c>
      <c r="CD113" s="130">
        <f t="shared" si="272"/>
        <v>4.5999999999999999E-2</v>
      </c>
      <c r="CE113" s="128">
        <f t="shared" si="273"/>
        <v>120239</v>
      </c>
      <c r="CF113" s="128" t="str">
        <f t="shared" si="274"/>
        <v>nie</v>
      </c>
      <c r="CG113" s="128">
        <f t="shared" si="275"/>
        <v>2316</v>
      </c>
      <c r="CH113" s="128">
        <f t="shared" si="160"/>
        <v>117519.63</v>
      </c>
      <c r="CI113" s="128">
        <f t="shared" si="276"/>
        <v>0</v>
      </c>
      <c r="CJ113" s="130">
        <f t="shared" si="277"/>
        <v>3.5999999999999997E-2</v>
      </c>
      <c r="CK113" s="128">
        <f t="shared" si="278"/>
        <v>4579.8322857239991</v>
      </c>
      <c r="CL113" s="128">
        <f t="shared" si="279"/>
        <v>122099.462285724</v>
      </c>
      <c r="CN113" s="127">
        <f t="shared" si="340"/>
        <v>1000</v>
      </c>
      <c r="CO113" s="128">
        <f t="shared" si="341"/>
        <v>100000</v>
      </c>
      <c r="CP113" s="128">
        <f t="shared" si="342"/>
        <v>100000</v>
      </c>
      <c r="CQ113" s="128">
        <f t="shared" si="343"/>
        <v>128542.10394532533</v>
      </c>
      <c r="CR113" s="130">
        <f t="shared" si="280"/>
        <v>5.1000000000000004E-2</v>
      </c>
      <c r="CS113" s="128">
        <f t="shared" si="281"/>
        <v>134005.14336300167</v>
      </c>
      <c r="CT113" s="128" t="str">
        <f t="shared" si="282"/>
        <v>nie</v>
      </c>
      <c r="CU113" s="128">
        <f t="shared" si="283"/>
        <v>3000</v>
      </c>
      <c r="CV113" s="128">
        <f t="shared" si="284"/>
        <v>125114.16612403136</v>
      </c>
      <c r="CW113" s="128">
        <f t="shared" si="285"/>
        <v>0</v>
      </c>
      <c r="CX113" s="130">
        <f t="shared" si="286"/>
        <v>3.5999999999999997E-2</v>
      </c>
      <c r="CY113" s="128">
        <f t="shared" si="287"/>
        <v>0</v>
      </c>
      <c r="CZ113" s="128">
        <f t="shared" si="288"/>
        <v>125114.16612403136</v>
      </c>
      <c r="DA113" s="20"/>
      <c r="DB113" s="127">
        <f t="shared" si="350"/>
        <v>1000</v>
      </c>
      <c r="DC113" s="128">
        <f t="shared" si="351"/>
        <v>100000</v>
      </c>
      <c r="DD113" s="128">
        <f t="shared" si="344"/>
        <v>100000</v>
      </c>
      <c r="DE113" s="128">
        <f t="shared" si="345"/>
        <v>128115.05376610497</v>
      </c>
      <c r="DF113" s="130">
        <f t="shared" si="289"/>
        <v>5.1000000000000004E-2</v>
      </c>
      <c r="DG113" s="128">
        <f t="shared" si="290"/>
        <v>133559.94355116444</v>
      </c>
      <c r="DH113" s="128" t="str">
        <f t="shared" si="291"/>
        <v>nie</v>
      </c>
      <c r="DI113" s="128">
        <f t="shared" si="292"/>
        <v>2000</v>
      </c>
      <c r="DJ113" s="128">
        <f t="shared" si="293"/>
        <v>125563.5542764432</v>
      </c>
      <c r="DK113" s="128">
        <f t="shared" si="294"/>
        <v>0</v>
      </c>
      <c r="DL113" s="130">
        <f t="shared" si="295"/>
        <v>3.5999999999999997E-2</v>
      </c>
      <c r="DM113" s="128">
        <f t="shared" si="296"/>
        <v>0</v>
      </c>
      <c r="DN113" s="128">
        <f t="shared" si="297"/>
        <v>125563.5542764432</v>
      </c>
      <c r="DP113" s="127">
        <f t="shared" si="352"/>
        <v>1000</v>
      </c>
      <c r="DQ113" s="128">
        <f t="shared" si="353"/>
        <v>100000</v>
      </c>
      <c r="DR113" s="128">
        <f t="shared" si="346"/>
        <v>100000</v>
      </c>
      <c r="DS113" s="128">
        <f t="shared" si="347"/>
        <v>131316.58832117764</v>
      </c>
      <c r="DT113" s="130">
        <f t="shared" si="298"/>
        <v>5.6000000000000001E-2</v>
      </c>
      <c r="DU113" s="128">
        <f t="shared" si="299"/>
        <v>137444.69577616593</v>
      </c>
      <c r="DV113" s="128" t="str">
        <f t="shared" si="300"/>
        <v>nie</v>
      </c>
      <c r="DW113" s="128">
        <f t="shared" si="301"/>
        <v>3000</v>
      </c>
      <c r="DX113" s="128">
        <f t="shared" si="302"/>
        <v>127900.2035786944</v>
      </c>
      <c r="DY113" s="128">
        <f t="shared" si="303"/>
        <v>0</v>
      </c>
      <c r="DZ113" s="130">
        <f t="shared" si="304"/>
        <v>3.5999999999999997E-2</v>
      </c>
      <c r="EA113" s="128">
        <f t="shared" si="305"/>
        <v>0</v>
      </c>
      <c r="EB113" s="128">
        <f t="shared" si="306"/>
        <v>127900.2035786944</v>
      </c>
    </row>
    <row r="114" spans="1:132">
      <c r="A114" s="212"/>
      <c r="B114" s="188">
        <f t="shared" si="307"/>
        <v>70</v>
      </c>
      <c r="C114" s="128">
        <f t="shared" si="308"/>
        <v>121312.09554577907</v>
      </c>
      <c r="D114" s="128">
        <f t="shared" si="309"/>
        <v>120452.48931591526</v>
      </c>
      <c r="E114" s="128">
        <f t="shared" si="310"/>
        <v>122087.138270118</v>
      </c>
      <c r="F114" s="128">
        <f t="shared" si="311"/>
        <v>122099.462285724</v>
      </c>
      <c r="G114" s="128">
        <f t="shared" si="312"/>
        <v>125114.16612403136</v>
      </c>
      <c r="H114" s="128">
        <f t="shared" si="313"/>
        <v>125563.5542764432</v>
      </c>
      <c r="I114" s="128">
        <f t="shared" si="314"/>
        <v>127900.2035786944</v>
      </c>
      <c r="J114" s="128">
        <f t="shared" si="315"/>
        <v>118517.88159026542</v>
      </c>
      <c r="K114" s="128">
        <f t="shared" si="316"/>
        <v>119500.61306035329</v>
      </c>
      <c r="M114" s="36"/>
      <c r="N114" s="32">
        <f t="shared" si="317"/>
        <v>70</v>
      </c>
      <c r="O114" s="25">
        <f t="shared" si="318"/>
        <v>0.21312095545779064</v>
      </c>
      <c r="P114" s="25">
        <f t="shared" si="319"/>
        <v>0.20452489315915257</v>
      </c>
      <c r="Q114" s="25">
        <f t="shared" si="320"/>
        <v>0.2208713827011799</v>
      </c>
      <c r="R114" s="25">
        <f t="shared" si="245"/>
        <v>0.22099462285723992</v>
      </c>
      <c r="S114" s="25">
        <f t="shared" si="246"/>
        <v>0.25114166124031345</v>
      </c>
      <c r="T114" s="25">
        <f t="shared" si="247"/>
        <v>0.25563554276443212</v>
      </c>
      <c r="U114" s="25">
        <f t="shared" si="248"/>
        <v>0.27900203578694405</v>
      </c>
      <c r="V114" s="25">
        <f t="shared" si="249"/>
        <v>0.18517881590265417</v>
      </c>
      <c r="W114" s="25">
        <f t="shared" si="250"/>
        <v>0.19500613060353289</v>
      </c>
      <c r="X114" s="36"/>
      <c r="Y114" s="36"/>
      <c r="AA114" s="124">
        <f t="shared" si="321"/>
        <v>71</v>
      </c>
      <c r="AB114" s="128">
        <f t="shared" si="251"/>
        <v>119801.54880404712</v>
      </c>
      <c r="AC114" s="124">
        <f t="shared" si="322"/>
        <v>71</v>
      </c>
      <c r="AD114" s="130">
        <f t="shared" si="323"/>
        <v>3.7499999999999999E-2</v>
      </c>
      <c r="AE114" s="127">
        <f t="shared" si="324"/>
        <v>1187</v>
      </c>
      <c r="AF114" s="128">
        <f t="shared" si="325"/>
        <v>118585</v>
      </c>
      <c r="AG114" s="128">
        <f t="shared" si="348"/>
        <v>118700</v>
      </c>
      <c r="AH114" s="128">
        <f t="shared" si="326"/>
        <v>118700</v>
      </c>
      <c r="AI114" s="130">
        <f t="shared" si="252"/>
        <v>3.7499999999999999E-2</v>
      </c>
      <c r="AJ114" s="128">
        <f t="shared" si="253"/>
        <v>119070.9375</v>
      </c>
      <c r="AK114" s="128" t="str">
        <f t="shared" si="254"/>
        <v>nie</v>
      </c>
      <c r="AL114" s="128">
        <f t="shared" si="255"/>
        <v>593.5</v>
      </c>
      <c r="AM114" s="128">
        <f t="shared" si="150"/>
        <v>118519.72437500001</v>
      </c>
      <c r="AN114" s="128">
        <f t="shared" si="256"/>
        <v>300.45937500000002</v>
      </c>
      <c r="AO114" s="130">
        <f t="shared" si="257"/>
        <v>3.5999999999999997E-2</v>
      </c>
      <c r="AP114" s="128">
        <f t="shared" si="258"/>
        <v>3400.805499005302</v>
      </c>
      <c r="AQ114" s="128">
        <f t="shared" si="156"/>
        <v>121620.07049900531</v>
      </c>
      <c r="AS114" s="124">
        <f t="shared" si="327"/>
        <v>71</v>
      </c>
      <c r="AT114" s="130">
        <f t="shared" si="328"/>
        <v>3.7499999999999999E-2</v>
      </c>
      <c r="AU114" s="127">
        <f t="shared" si="329"/>
        <v>1142</v>
      </c>
      <c r="AV114" s="128">
        <f t="shared" si="330"/>
        <v>114092.8</v>
      </c>
      <c r="AW114" s="128">
        <f t="shared" si="151"/>
        <v>114200</v>
      </c>
      <c r="AX114" s="128">
        <f t="shared" si="331"/>
        <v>114200</v>
      </c>
      <c r="AY114" s="130">
        <f t="shared" si="259"/>
        <v>3.9E-2</v>
      </c>
      <c r="AZ114" s="128">
        <f t="shared" si="260"/>
        <v>114571.15</v>
      </c>
      <c r="BA114" s="128" t="str">
        <f t="shared" si="261"/>
        <v>nie</v>
      </c>
      <c r="BB114" s="128">
        <f t="shared" si="262"/>
        <v>799.4</v>
      </c>
      <c r="BC114" s="128">
        <f t="shared" si="158"/>
        <v>113853.11750000001</v>
      </c>
      <c r="BD114" s="128">
        <f t="shared" si="263"/>
        <v>300.6314999999953</v>
      </c>
      <c r="BE114" s="130">
        <f t="shared" si="264"/>
        <v>3.5999999999999997E-2</v>
      </c>
      <c r="BF114" s="128">
        <f t="shared" si="265"/>
        <v>7217.4018239729076</v>
      </c>
      <c r="BG114" s="128">
        <f t="shared" si="159"/>
        <v>120769.88782397292</v>
      </c>
      <c r="BI114" s="124">
        <f t="shared" si="332"/>
        <v>71</v>
      </c>
      <c r="BJ114" s="130">
        <f t="shared" ref="BJ114:BJ145" si="354">MAX(INDEX(scenariusz_I_WIBOR6M,MATCH(ROUNDUP(BI114/12,0),scenariusz_I_rok,0)),0)</f>
        <v>3.9100000000000003E-2</v>
      </c>
      <c r="BK114" s="127">
        <f t="shared" si="333"/>
        <v>1112</v>
      </c>
      <c r="BL114" s="128">
        <f t="shared" si="334"/>
        <v>111088.8</v>
      </c>
      <c r="BM114" s="128">
        <f t="shared" si="349"/>
        <v>111200</v>
      </c>
      <c r="BN114" s="128">
        <f t="shared" si="335"/>
        <v>121200.88320000001</v>
      </c>
      <c r="BO114" s="130">
        <f t="shared" si="266"/>
        <v>4.3999999999999997E-2</v>
      </c>
      <c r="BP114" s="128">
        <f t="shared" si="267"/>
        <v>126089.31882240002</v>
      </c>
      <c r="BQ114" s="128" t="str">
        <f t="shared" si="268"/>
        <v>nie</v>
      </c>
      <c r="BR114" s="128">
        <f t="shared" si="269"/>
        <v>1112</v>
      </c>
      <c r="BS114" s="128">
        <f t="shared" si="153"/>
        <v>122359.62824614401</v>
      </c>
      <c r="BT114" s="128">
        <f t="shared" si="336"/>
        <v>0</v>
      </c>
      <c r="BU114" s="130">
        <f t="shared" si="270"/>
        <v>3.5999999999999997E-2</v>
      </c>
      <c r="BV114" s="128">
        <f t="shared" si="271"/>
        <v>87.689215330394106</v>
      </c>
      <c r="BW114" s="128">
        <f t="shared" si="243"/>
        <v>122447.31746147441</v>
      </c>
      <c r="BY114" s="130">
        <f t="shared" si="244"/>
        <v>3.1E-2</v>
      </c>
      <c r="BZ114" s="127">
        <f t="shared" si="337"/>
        <v>1158</v>
      </c>
      <c r="CA114" s="128">
        <f t="shared" si="338"/>
        <v>115696.20000000001</v>
      </c>
      <c r="CB114" s="128">
        <f t="shared" si="154"/>
        <v>115800</v>
      </c>
      <c r="CC114" s="128">
        <f t="shared" si="339"/>
        <v>115800</v>
      </c>
      <c r="CD114" s="130">
        <f t="shared" si="272"/>
        <v>4.5999999999999999E-2</v>
      </c>
      <c r="CE114" s="128">
        <f t="shared" si="273"/>
        <v>120682.90000000001</v>
      </c>
      <c r="CF114" s="128" t="str">
        <f t="shared" si="274"/>
        <v>nie</v>
      </c>
      <c r="CG114" s="128">
        <f t="shared" si="275"/>
        <v>2316</v>
      </c>
      <c r="CH114" s="128">
        <f t="shared" si="160"/>
        <v>117879.18900000001</v>
      </c>
      <c r="CI114" s="128">
        <f t="shared" si="276"/>
        <v>0</v>
      </c>
      <c r="CJ114" s="130">
        <f t="shared" si="277"/>
        <v>3.5999999999999997E-2</v>
      </c>
      <c r="CK114" s="128">
        <f t="shared" si="278"/>
        <v>4590.961278178308</v>
      </c>
      <c r="CL114" s="128">
        <f t="shared" si="279"/>
        <v>122470.15027817832</v>
      </c>
      <c r="CN114" s="127">
        <f t="shared" si="340"/>
        <v>1000</v>
      </c>
      <c r="CO114" s="128">
        <f t="shared" si="341"/>
        <v>100000</v>
      </c>
      <c r="CP114" s="128">
        <f t="shared" si="342"/>
        <v>100000</v>
      </c>
      <c r="CQ114" s="128">
        <f t="shared" si="343"/>
        <v>128542.10394532533</v>
      </c>
      <c r="CR114" s="130">
        <f t="shared" si="280"/>
        <v>5.1000000000000004E-2</v>
      </c>
      <c r="CS114" s="128">
        <f t="shared" si="281"/>
        <v>134551.4473047693</v>
      </c>
      <c r="CT114" s="128" t="str">
        <f t="shared" si="282"/>
        <v>nie</v>
      </c>
      <c r="CU114" s="128">
        <f t="shared" si="283"/>
        <v>3000</v>
      </c>
      <c r="CV114" s="128">
        <f t="shared" si="284"/>
        <v>125556.67231686313</v>
      </c>
      <c r="CW114" s="128">
        <f t="shared" si="285"/>
        <v>0</v>
      </c>
      <c r="CX114" s="130">
        <f t="shared" si="286"/>
        <v>3.5999999999999997E-2</v>
      </c>
      <c r="CY114" s="128">
        <f t="shared" si="287"/>
        <v>0</v>
      </c>
      <c r="CZ114" s="128">
        <f t="shared" si="288"/>
        <v>125556.67231686313</v>
      </c>
      <c r="DA114" s="20"/>
      <c r="DB114" s="127">
        <f t="shared" si="350"/>
        <v>1000</v>
      </c>
      <c r="DC114" s="128">
        <f t="shared" si="351"/>
        <v>100000</v>
      </c>
      <c r="DD114" s="128">
        <f t="shared" si="344"/>
        <v>100000</v>
      </c>
      <c r="DE114" s="128">
        <f t="shared" si="345"/>
        <v>128115.05376610497</v>
      </c>
      <c r="DF114" s="130">
        <f t="shared" si="289"/>
        <v>5.1000000000000004E-2</v>
      </c>
      <c r="DG114" s="128">
        <f t="shared" si="290"/>
        <v>134104.43252967039</v>
      </c>
      <c r="DH114" s="128" t="str">
        <f t="shared" si="291"/>
        <v>nie</v>
      </c>
      <c r="DI114" s="128">
        <f t="shared" si="292"/>
        <v>2000</v>
      </c>
      <c r="DJ114" s="128">
        <f t="shared" si="293"/>
        <v>126004.59034903301</v>
      </c>
      <c r="DK114" s="128">
        <f t="shared" si="294"/>
        <v>0</v>
      </c>
      <c r="DL114" s="130">
        <f t="shared" si="295"/>
        <v>3.5999999999999997E-2</v>
      </c>
      <c r="DM114" s="128">
        <f t="shared" si="296"/>
        <v>0</v>
      </c>
      <c r="DN114" s="128">
        <f t="shared" si="297"/>
        <v>126004.59034903301</v>
      </c>
      <c r="DP114" s="127">
        <f t="shared" si="352"/>
        <v>1000</v>
      </c>
      <c r="DQ114" s="128">
        <f t="shared" si="353"/>
        <v>100000</v>
      </c>
      <c r="DR114" s="128">
        <f t="shared" si="346"/>
        <v>100000</v>
      </c>
      <c r="DS114" s="128">
        <f t="shared" si="347"/>
        <v>131316.58832117764</v>
      </c>
      <c r="DT114" s="130">
        <f t="shared" si="298"/>
        <v>5.6000000000000001E-2</v>
      </c>
      <c r="DU114" s="128">
        <f t="shared" si="299"/>
        <v>138057.50652166473</v>
      </c>
      <c r="DV114" s="128" t="str">
        <f t="shared" si="300"/>
        <v>nie</v>
      </c>
      <c r="DW114" s="128">
        <f t="shared" si="301"/>
        <v>3000</v>
      </c>
      <c r="DX114" s="128">
        <f t="shared" si="302"/>
        <v>128396.58028254844</v>
      </c>
      <c r="DY114" s="128">
        <f t="shared" si="303"/>
        <v>0</v>
      </c>
      <c r="DZ114" s="130">
        <f t="shared" si="304"/>
        <v>3.5999999999999997E-2</v>
      </c>
      <c r="EA114" s="128">
        <f t="shared" si="305"/>
        <v>0</v>
      </c>
      <c r="EB114" s="128">
        <f t="shared" si="306"/>
        <v>128396.58028254844</v>
      </c>
    </row>
    <row r="115" spans="1:132" ht="14.25" customHeight="1">
      <c r="A115" s="212"/>
      <c r="B115" s="188">
        <f t="shared" si="307"/>
        <v>71</v>
      </c>
      <c r="C115" s="128">
        <f t="shared" si="308"/>
        <v>121620.07049900531</v>
      </c>
      <c r="D115" s="128">
        <f t="shared" si="309"/>
        <v>120769.88782397292</v>
      </c>
      <c r="E115" s="128">
        <f t="shared" si="310"/>
        <v>122447.31746147441</v>
      </c>
      <c r="F115" s="128">
        <f t="shared" si="311"/>
        <v>122470.15027817832</v>
      </c>
      <c r="G115" s="128">
        <f t="shared" si="312"/>
        <v>125556.67231686313</v>
      </c>
      <c r="H115" s="128">
        <f t="shared" si="313"/>
        <v>126004.59034903301</v>
      </c>
      <c r="I115" s="128">
        <f t="shared" si="314"/>
        <v>128396.58028254844</v>
      </c>
      <c r="J115" s="128">
        <f t="shared" si="315"/>
        <v>118805.88004252975</v>
      </c>
      <c r="K115" s="128">
        <f t="shared" si="316"/>
        <v>119801.54880404712</v>
      </c>
      <c r="M115" s="36"/>
      <c r="N115" s="32">
        <f t="shared" si="317"/>
        <v>71</v>
      </c>
      <c r="O115" s="25">
        <f t="shared" si="318"/>
        <v>0.21620070499005295</v>
      </c>
      <c r="P115" s="25">
        <f t="shared" si="319"/>
        <v>0.20769887823972932</v>
      </c>
      <c r="Q115" s="25">
        <f t="shared" si="320"/>
        <v>0.22447317461474414</v>
      </c>
      <c r="R115" s="25">
        <f t="shared" si="245"/>
        <v>0.22470150278178314</v>
      </c>
      <c r="S115" s="25">
        <f t="shared" si="246"/>
        <v>0.25556672316863138</v>
      </c>
      <c r="T115" s="25">
        <f t="shared" si="247"/>
        <v>0.26004590349033019</v>
      </c>
      <c r="U115" s="25">
        <f t="shared" si="248"/>
        <v>0.28396580282548434</v>
      </c>
      <c r="V115" s="25">
        <f t="shared" si="249"/>
        <v>0.18805880042529743</v>
      </c>
      <c r="W115" s="25">
        <f t="shared" si="250"/>
        <v>0.1980154880404712</v>
      </c>
      <c r="X115" s="36"/>
      <c r="Y115" s="36"/>
      <c r="AA115" s="124">
        <f t="shared" si="321"/>
        <v>72</v>
      </c>
      <c r="AB115" s="128">
        <f t="shared" si="251"/>
        <v>120102.48454774093</v>
      </c>
      <c r="AC115" s="124">
        <f t="shared" si="322"/>
        <v>72</v>
      </c>
      <c r="AD115" s="130">
        <f t="shared" si="323"/>
        <v>3.7499999999999999E-2</v>
      </c>
      <c r="AE115" s="127">
        <f t="shared" si="324"/>
        <v>1187</v>
      </c>
      <c r="AF115" s="128">
        <f t="shared" si="325"/>
        <v>118585</v>
      </c>
      <c r="AG115" s="128">
        <f t="shared" si="348"/>
        <v>118700</v>
      </c>
      <c r="AH115" s="128">
        <f t="shared" si="326"/>
        <v>118700</v>
      </c>
      <c r="AI115" s="130">
        <f t="shared" si="252"/>
        <v>3.7499999999999999E-2</v>
      </c>
      <c r="AJ115" s="128">
        <f t="shared" si="253"/>
        <v>119070.9375</v>
      </c>
      <c r="AK115" s="128" t="str">
        <f t="shared" si="254"/>
        <v>tak</v>
      </c>
      <c r="AL115" s="128">
        <f t="shared" si="255"/>
        <v>0</v>
      </c>
      <c r="AM115" s="128">
        <f t="shared" si="150"/>
        <v>119000.45937500001</v>
      </c>
      <c r="AN115" s="128">
        <f t="shared" si="256"/>
        <v>419.55937499999322</v>
      </c>
      <c r="AO115" s="130">
        <f t="shared" si="257"/>
        <v>3.5999999999999997E-2</v>
      </c>
      <c r="AP115" s="128">
        <f t="shared" si="258"/>
        <v>3828.6288313678779</v>
      </c>
      <c r="AQ115" s="128">
        <f t="shared" si="156"/>
        <v>122409.52883136789</v>
      </c>
      <c r="AS115" s="124">
        <f t="shared" si="327"/>
        <v>72</v>
      </c>
      <c r="AT115" s="130">
        <f t="shared" si="328"/>
        <v>3.7499999999999999E-2</v>
      </c>
      <c r="AU115" s="127">
        <f t="shared" si="329"/>
        <v>1142</v>
      </c>
      <c r="AV115" s="128">
        <f t="shared" si="330"/>
        <v>114092.8</v>
      </c>
      <c r="AW115" s="128">
        <f t="shared" si="151"/>
        <v>114200</v>
      </c>
      <c r="AX115" s="128">
        <f t="shared" si="331"/>
        <v>114200</v>
      </c>
      <c r="AY115" s="130">
        <f t="shared" si="259"/>
        <v>3.9E-2</v>
      </c>
      <c r="AZ115" s="128">
        <f t="shared" si="260"/>
        <v>114571.15</v>
      </c>
      <c r="BA115" s="128" t="str">
        <f t="shared" si="261"/>
        <v>tak</v>
      </c>
      <c r="BB115" s="128">
        <f t="shared" si="262"/>
        <v>0</v>
      </c>
      <c r="BC115" s="128">
        <f t="shared" si="158"/>
        <v>114500.63149999999</v>
      </c>
      <c r="BD115" s="128">
        <f t="shared" si="263"/>
        <v>415.23149999998878</v>
      </c>
      <c r="BE115" s="130">
        <f t="shared" si="264"/>
        <v>3.5999999999999997E-2</v>
      </c>
      <c r="BF115" s="128">
        <f t="shared" si="265"/>
        <v>7650.1716104051502</v>
      </c>
      <c r="BG115" s="128">
        <f t="shared" si="159"/>
        <v>121735.57161040515</v>
      </c>
      <c r="BI115" s="124">
        <f t="shared" si="332"/>
        <v>72</v>
      </c>
      <c r="BJ115" s="130">
        <f t="shared" si="354"/>
        <v>3.9100000000000003E-2</v>
      </c>
      <c r="BK115" s="127">
        <f t="shared" si="333"/>
        <v>1112</v>
      </c>
      <c r="BL115" s="128">
        <f t="shared" si="334"/>
        <v>111088.8</v>
      </c>
      <c r="BM115" s="128">
        <f t="shared" si="349"/>
        <v>111200</v>
      </c>
      <c r="BN115" s="128">
        <f t="shared" si="335"/>
        <v>121200.88320000001</v>
      </c>
      <c r="BO115" s="130">
        <f t="shared" si="266"/>
        <v>4.3999999999999997E-2</v>
      </c>
      <c r="BP115" s="128">
        <f t="shared" si="267"/>
        <v>126533.72206080002</v>
      </c>
      <c r="BQ115" s="128" t="str">
        <f t="shared" si="268"/>
        <v>tak</v>
      </c>
      <c r="BR115" s="128">
        <f t="shared" si="269"/>
        <v>0</v>
      </c>
      <c r="BS115" s="128">
        <f t="shared" si="153"/>
        <v>123620.31486924802</v>
      </c>
      <c r="BT115" s="128">
        <f t="shared" si="336"/>
        <v>44.014869248014293</v>
      </c>
      <c r="BU115" s="130">
        <f t="shared" si="270"/>
        <v>3.5999999999999997E-2</v>
      </c>
      <c r="BV115" s="128">
        <f t="shared" si="271"/>
        <v>131.91716937166126</v>
      </c>
      <c r="BW115" s="128">
        <f t="shared" si="243"/>
        <v>123708.21716937167</v>
      </c>
      <c r="BY115" s="130">
        <f t="shared" si="244"/>
        <v>3.1E-2</v>
      </c>
      <c r="BZ115" s="127">
        <f t="shared" si="337"/>
        <v>1158</v>
      </c>
      <c r="CA115" s="128">
        <f t="shared" si="338"/>
        <v>115696.20000000001</v>
      </c>
      <c r="CB115" s="128">
        <f t="shared" si="154"/>
        <v>115800</v>
      </c>
      <c r="CC115" s="128">
        <f t="shared" si="339"/>
        <v>115800</v>
      </c>
      <c r="CD115" s="130">
        <f t="shared" si="272"/>
        <v>4.5999999999999999E-2</v>
      </c>
      <c r="CE115" s="128">
        <f t="shared" si="273"/>
        <v>121126.8</v>
      </c>
      <c r="CF115" s="128" t="str">
        <f t="shared" si="274"/>
        <v>nie</v>
      </c>
      <c r="CG115" s="128">
        <f t="shared" si="275"/>
        <v>2316</v>
      </c>
      <c r="CH115" s="128">
        <f t="shared" si="160"/>
        <v>118238.74800000001</v>
      </c>
      <c r="CI115" s="128">
        <f t="shared" si="276"/>
        <v>4314.7080000000024</v>
      </c>
      <c r="CJ115" s="130">
        <f t="shared" si="277"/>
        <v>3.5999999999999997E-2</v>
      </c>
      <c r="CK115" s="128">
        <f t="shared" si="278"/>
        <v>8916.8253140842826</v>
      </c>
      <c r="CL115" s="128">
        <f t="shared" si="279"/>
        <v>122840.86531408429</v>
      </c>
      <c r="CN115" s="127">
        <f t="shared" si="340"/>
        <v>1000</v>
      </c>
      <c r="CO115" s="128">
        <f t="shared" si="341"/>
        <v>100000</v>
      </c>
      <c r="CP115" s="128">
        <f t="shared" si="342"/>
        <v>100000</v>
      </c>
      <c r="CQ115" s="128">
        <f t="shared" si="343"/>
        <v>128542.10394532533</v>
      </c>
      <c r="CR115" s="130">
        <f t="shared" si="280"/>
        <v>5.1000000000000004E-2</v>
      </c>
      <c r="CS115" s="128">
        <f t="shared" si="281"/>
        <v>135097.75124653691</v>
      </c>
      <c r="CT115" s="128" t="str">
        <f t="shared" si="282"/>
        <v>nie</v>
      </c>
      <c r="CU115" s="128">
        <f t="shared" si="283"/>
        <v>3000</v>
      </c>
      <c r="CV115" s="128">
        <f t="shared" si="284"/>
        <v>125999.1785096949</v>
      </c>
      <c r="CW115" s="128">
        <f t="shared" si="285"/>
        <v>0</v>
      </c>
      <c r="CX115" s="130">
        <f t="shared" si="286"/>
        <v>3.5999999999999997E-2</v>
      </c>
      <c r="CY115" s="128">
        <f t="shared" si="287"/>
        <v>0</v>
      </c>
      <c r="CZ115" s="128">
        <f t="shared" si="288"/>
        <v>125999.1785096949</v>
      </c>
      <c r="DA115" s="20"/>
      <c r="DB115" s="127">
        <f t="shared" si="350"/>
        <v>1000</v>
      </c>
      <c r="DC115" s="128">
        <f t="shared" si="351"/>
        <v>100000</v>
      </c>
      <c r="DD115" s="128">
        <f t="shared" si="344"/>
        <v>100000</v>
      </c>
      <c r="DE115" s="128">
        <f t="shared" si="345"/>
        <v>128115.05376610497</v>
      </c>
      <c r="DF115" s="130">
        <f t="shared" si="289"/>
        <v>5.1000000000000004E-2</v>
      </c>
      <c r="DG115" s="128">
        <f t="shared" si="290"/>
        <v>134648.92150817631</v>
      </c>
      <c r="DH115" s="128" t="str">
        <f t="shared" si="291"/>
        <v>tak</v>
      </c>
      <c r="DI115" s="128">
        <f t="shared" si="292"/>
        <v>0</v>
      </c>
      <c r="DJ115" s="128">
        <f t="shared" si="293"/>
        <v>128065.62642162282</v>
      </c>
      <c r="DK115" s="128">
        <f t="shared" si="294"/>
        <v>65.626421622815542</v>
      </c>
      <c r="DL115" s="130">
        <f t="shared" si="295"/>
        <v>3.5999999999999997E-2</v>
      </c>
      <c r="DM115" s="128">
        <f t="shared" si="296"/>
        <v>65.626421622815542</v>
      </c>
      <c r="DN115" s="128">
        <f t="shared" si="297"/>
        <v>128065.62642162282</v>
      </c>
      <c r="DP115" s="127">
        <f t="shared" si="352"/>
        <v>1000</v>
      </c>
      <c r="DQ115" s="128">
        <f t="shared" si="353"/>
        <v>100000</v>
      </c>
      <c r="DR115" s="128">
        <f t="shared" si="346"/>
        <v>100000</v>
      </c>
      <c r="DS115" s="128">
        <f t="shared" si="347"/>
        <v>131316.58832117764</v>
      </c>
      <c r="DT115" s="130">
        <f t="shared" si="298"/>
        <v>5.6000000000000001E-2</v>
      </c>
      <c r="DU115" s="128">
        <f t="shared" si="299"/>
        <v>138670.3172671636</v>
      </c>
      <c r="DV115" s="128" t="str">
        <f t="shared" si="300"/>
        <v>nie</v>
      </c>
      <c r="DW115" s="128">
        <f t="shared" si="301"/>
        <v>3000</v>
      </c>
      <c r="DX115" s="128">
        <f t="shared" si="302"/>
        <v>128892.95698640251</v>
      </c>
      <c r="DY115" s="128">
        <f t="shared" si="303"/>
        <v>0</v>
      </c>
      <c r="DZ115" s="130">
        <f t="shared" si="304"/>
        <v>3.5999999999999997E-2</v>
      </c>
      <c r="EA115" s="128">
        <f t="shared" si="305"/>
        <v>0</v>
      </c>
      <c r="EB115" s="128">
        <f t="shared" si="306"/>
        <v>128892.95698640251</v>
      </c>
    </row>
    <row r="116" spans="1:132">
      <c r="A116" s="212"/>
      <c r="B116" s="188">
        <f t="shared" si="307"/>
        <v>72</v>
      </c>
      <c r="C116" s="128">
        <f t="shared" si="308"/>
        <v>122409.52883136789</v>
      </c>
      <c r="D116" s="128">
        <f t="shared" si="309"/>
        <v>121735.57161040515</v>
      </c>
      <c r="E116" s="128">
        <f t="shared" si="310"/>
        <v>123708.21716937167</v>
      </c>
      <c r="F116" s="128">
        <f t="shared" si="311"/>
        <v>122840.86531408429</v>
      </c>
      <c r="G116" s="128">
        <f t="shared" si="312"/>
        <v>125999.1785096949</v>
      </c>
      <c r="H116" s="128">
        <f t="shared" si="313"/>
        <v>128065.62642162282</v>
      </c>
      <c r="I116" s="128">
        <f t="shared" si="314"/>
        <v>128892.95698640251</v>
      </c>
      <c r="J116" s="128">
        <f t="shared" si="315"/>
        <v>119094.57833103309</v>
      </c>
      <c r="K116" s="128">
        <f t="shared" si="316"/>
        <v>120102.48454774093</v>
      </c>
      <c r="M116" s="36"/>
      <c r="N116" s="32">
        <f t="shared" si="317"/>
        <v>72</v>
      </c>
      <c r="O116" s="25">
        <f t="shared" si="318"/>
        <v>0.22409528831367886</v>
      </c>
      <c r="P116" s="25">
        <f t="shared" si="319"/>
        <v>0.21735571610405158</v>
      </c>
      <c r="Q116" s="25">
        <f t="shared" si="320"/>
        <v>0.23708217169371659</v>
      </c>
      <c r="R116" s="25">
        <f t="shared" si="245"/>
        <v>0.22840865314084291</v>
      </c>
      <c r="S116" s="25">
        <f t="shared" si="246"/>
        <v>0.25999178509694909</v>
      </c>
      <c r="T116" s="25">
        <f t="shared" si="247"/>
        <v>0.28065626421622825</v>
      </c>
      <c r="U116" s="25">
        <f t="shared" si="248"/>
        <v>0.28892956986402507</v>
      </c>
      <c r="V116" s="25">
        <f t="shared" si="249"/>
        <v>0.19094578331033096</v>
      </c>
      <c r="W116" s="25">
        <f t="shared" si="250"/>
        <v>0.20102484547740929</v>
      </c>
      <c r="X116" s="36"/>
      <c r="Y116" s="36"/>
      <c r="AA116" s="124">
        <f t="shared" si="321"/>
        <v>73</v>
      </c>
      <c r="AB116" s="128">
        <f t="shared" si="251"/>
        <v>120412.74929948927</v>
      </c>
      <c r="AC116" s="124">
        <f t="shared" si="322"/>
        <v>73</v>
      </c>
      <c r="AD116" s="130">
        <f t="shared" si="323"/>
        <v>3.7499999999999999E-2</v>
      </c>
      <c r="AE116" s="127">
        <f t="shared" si="324"/>
        <v>1229</v>
      </c>
      <c r="AF116" s="128">
        <f t="shared" si="325"/>
        <v>122780.90000000001</v>
      </c>
      <c r="AG116" s="128">
        <f t="shared" si="348"/>
        <v>122900</v>
      </c>
      <c r="AH116" s="128">
        <f t="shared" si="326"/>
        <v>122900</v>
      </c>
      <c r="AI116" s="130">
        <f t="shared" si="252"/>
        <v>0.04</v>
      </c>
      <c r="AJ116" s="128">
        <f t="shared" si="253"/>
        <v>123309.66666666667</v>
      </c>
      <c r="AK116" s="128" t="str">
        <f t="shared" si="254"/>
        <v>nie</v>
      </c>
      <c r="AL116" s="128">
        <f t="shared" si="255"/>
        <v>409.66666666667152</v>
      </c>
      <c r="AM116" s="128">
        <f t="shared" si="150"/>
        <v>122900</v>
      </c>
      <c r="AN116" s="128">
        <f t="shared" si="256"/>
        <v>331.83000000000396</v>
      </c>
      <c r="AO116" s="130">
        <f t="shared" si="257"/>
        <v>3.5999999999999997E-2</v>
      </c>
      <c r="AP116" s="128">
        <f t="shared" si="258"/>
        <v>360.52839942810579</v>
      </c>
      <c r="AQ116" s="128">
        <f t="shared" si="156"/>
        <v>126737.9323994281</v>
      </c>
      <c r="AS116" s="124">
        <f t="shared" si="327"/>
        <v>73</v>
      </c>
      <c r="AT116" s="130">
        <f t="shared" si="328"/>
        <v>3.7499999999999999E-2</v>
      </c>
      <c r="AU116" s="127">
        <f t="shared" si="329"/>
        <v>1222</v>
      </c>
      <c r="AV116" s="128">
        <f t="shared" si="330"/>
        <v>122085.40000000001</v>
      </c>
      <c r="AW116" s="128">
        <f t="shared" si="151"/>
        <v>122200</v>
      </c>
      <c r="AX116" s="128">
        <f t="shared" si="331"/>
        <v>122200</v>
      </c>
      <c r="AY116" s="130">
        <f t="shared" si="259"/>
        <v>4.1500000000000002E-2</v>
      </c>
      <c r="AZ116" s="128">
        <f t="shared" si="260"/>
        <v>122622.60833333334</v>
      </c>
      <c r="BA116" s="128" t="str">
        <f t="shared" si="261"/>
        <v>nie</v>
      </c>
      <c r="BB116" s="128">
        <f t="shared" si="262"/>
        <v>422.60833333333721</v>
      </c>
      <c r="BC116" s="128">
        <f t="shared" si="158"/>
        <v>122200</v>
      </c>
      <c r="BD116" s="128">
        <f t="shared" si="263"/>
        <v>342.31275000000318</v>
      </c>
      <c r="BE116" s="130">
        <f t="shared" si="264"/>
        <v>3.5999999999999997E-2</v>
      </c>
      <c r="BF116" s="128">
        <f t="shared" si="265"/>
        <v>392.60627741843791</v>
      </c>
      <c r="BG116" s="128">
        <f t="shared" si="159"/>
        <v>129868.76152741844</v>
      </c>
      <c r="BI116" s="124">
        <f t="shared" si="332"/>
        <v>73</v>
      </c>
      <c r="BJ116" s="130">
        <f t="shared" si="354"/>
        <v>3.9100000000000003E-2</v>
      </c>
      <c r="BK116" s="127">
        <f t="shared" si="333"/>
        <v>1237</v>
      </c>
      <c r="BL116" s="128">
        <f t="shared" si="334"/>
        <v>123576.3</v>
      </c>
      <c r="BM116" s="128">
        <f t="shared" si="349"/>
        <v>123700</v>
      </c>
      <c r="BN116" s="128">
        <f t="shared" si="335"/>
        <v>123700</v>
      </c>
      <c r="BO116" s="130">
        <f t="shared" si="266"/>
        <v>4.3999999999999997E-2</v>
      </c>
      <c r="BP116" s="128">
        <f t="shared" si="267"/>
        <v>124153.56666666667</v>
      </c>
      <c r="BQ116" s="128" t="str">
        <f t="shared" si="268"/>
        <v>nie</v>
      </c>
      <c r="BR116" s="128">
        <f t="shared" si="269"/>
        <v>453.5666666666657</v>
      </c>
      <c r="BS116" s="128">
        <f t="shared" si="153"/>
        <v>123700</v>
      </c>
      <c r="BT116" s="128">
        <f>IF(AND(BQ116="tak",BL117&lt;&gt;""),
 BS116-BL117,
0)</f>
        <v>0</v>
      </c>
      <c r="BU116" s="130">
        <f t="shared" si="270"/>
        <v>3.5999999999999997E-2</v>
      </c>
      <c r="BV116" s="128">
        <f t="shared" si="271"/>
        <v>132.23772809323438</v>
      </c>
      <c r="BW116" s="128">
        <f t="shared" si="243"/>
        <v>123832.23772809324</v>
      </c>
      <c r="BY116" s="130">
        <f t="shared" si="244"/>
        <v>3.1E-2</v>
      </c>
      <c r="BZ116" s="127">
        <f t="shared" si="337"/>
        <v>1158</v>
      </c>
      <c r="CA116" s="128">
        <f t="shared" si="338"/>
        <v>115696.20000000001</v>
      </c>
      <c r="CB116" s="128">
        <f t="shared" si="154"/>
        <v>115800</v>
      </c>
      <c r="CC116" s="128">
        <f t="shared" si="339"/>
        <v>115800</v>
      </c>
      <c r="CD116" s="130">
        <f t="shared" si="272"/>
        <v>4.5999999999999999E-2</v>
      </c>
      <c r="CE116" s="128">
        <f t="shared" si="273"/>
        <v>116243.90000000001</v>
      </c>
      <c r="CF116" s="128" t="str">
        <f t="shared" si="274"/>
        <v>nie</v>
      </c>
      <c r="CG116" s="128">
        <f t="shared" si="275"/>
        <v>2316</v>
      </c>
      <c r="CH116" s="128">
        <f t="shared" si="160"/>
        <v>114283.599</v>
      </c>
      <c r="CI116" s="128">
        <f t="shared" si="276"/>
        <v>0</v>
      </c>
      <c r="CJ116" s="130">
        <f t="shared" si="277"/>
        <v>3.5999999999999997E-2</v>
      </c>
      <c r="CK116" s="128">
        <f t="shared" si="278"/>
        <v>8938.4931995975076</v>
      </c>
      <c r="CL116" s="128">
        <f t="shared" si="279"/>
        <v>123222.09219959751</v>
      </c>
      <c r="CN116" s="127">
        <f t="shared" si="340"/>
        <v>1000</v>
      </c>
      <c r="CO116" s="128">
        <f t="shared" si="341"/>
        <v>100000</v>
      </c>
      <c r="CP116" s="128">
        <f t="shared" si="342"/>
        <v>100000</v>
      </c>
      <c r="CQ116" s="128">
        <f t="shared" si="343"/>
        <v>135097.75124653691</v>
      </c>
      <c r="CR116" s="130">
        <f t="shared" si="280"/>
        <v>5.1000000000000004E-2</v>
      </c>
      <c r="CS116" s="128">
        <f t="shared" si="281"/>
        <v>135671.9166893347</v>
      </c>
      <c r="CT116" s="128" t="str">
        <f t="shared" si="282"/>
        <v>nie</v>
      </c>
      <c r="CU116" s="128">
        <f t="shared" si="283"/>
        <v>3000</v>
      </c>
      <c r="CV116" s="128">
        <f t="shared" si="284"/>
        <v>126464.2525183611</v>
      </c>
      <c r="CW116" s="128">
        <f t="shared" si="285"/>
        <v>0</v>
      </c>
      <c r="CX116" s="130">
        <f t="shared" si="286"/>
        <v>3.5999999999999997E-2</v>
      </c>
      <c r="CY116" s="128">
        <f t="shared" si="287"/>
        <v>0</v>
      </c>
      <c r="CZ116" s="128">
        <f t="shared" si="288"/>
        <v>126464.2525183611</v>
      </c>
      <c r="DA116" s="20"/>
      <c r="DB116" s="127">
        <f t="shared" si="350"/>
        <v>1280</v>
      </c>
      <c r="DC116" s="128">
        <f t="shared" si="351"/>
        <v>128000</v>
      </c>
      <c r="DD116" s="128">
        <f t="shared" si="344"/>
        <v>128000</v>
      </c>
      <c r="DE116" s="128">
        <f t="shared" si="345"/>
        <v>128000</v>
      </c>
      <c r="DF116" s="130">
        <f t="shared" si="289"/>
        <v>0.05</v>
      </c>
      <c r="DG116" s="128">
        <f t="shared" si="290"/>
        <v>128533.33333333333</v>
      </c>
      <c r="DH116" s="128" t="str">
        <f t="shared" si="291"/>
        <v>nie</v>
      </c>
      <c r="DI116" s="128">
        <f t="shared" si="292"/>
        <v>533.33333333332848</v>
      </c>
      <c r="DJ116" s="128">
        <f t="shared" ref="DJ116:DJ179" si="355">DG116-DI116
-(DG116-DD116-DI116)*podatek_Belki</f>
        <v>128000</v>
      </c>
      <c r="DK116" s="128">
        <f t="shared" si="294"/>
        <v>0</v>
      </c>
      <c r="DL116" s="130">
        <f t="shared" si="295"/>
        <v>3.5999999999999997E-2</v>
      </c>
      <c r="DM116" s="128">
        <f t="shared" si="296"/>
        <v>65.785893827358976</v>
      </c>
      <c r="DN116" s="128">
        <f t="shared" si="297"/>
        <v>128065.78589382736</v>
      </c>
      <c r="DP116" s="127">
        <f t="shared" si="352"/>
        <v>1000</v>
      </c>
      <c r="DQ116" s="128">
        <f t="shared" si="353"/>
        <v>100000</v>
      </c>
      <c r="DR116" s="128">
        <f t="shared" si="346"/>
        <v>100000</v>
      </c>
      <c r="DS116" s="128">
        <f t="shared" si="347"/>
        <v>138670.3172671636</v>
      </c>
      <c r="DT116" s="130">
        <f t="shared" si="298"/>
        <v>5.6000000000000001E-2</v>
      </c>
      <c r="DU116" s="128">
        <f t="shared" si="299"/>
        <v>139317.44541441035</v>
      </c>
      <c r="DV116" s="128" t="str">
        <f t="shared" si="300"/>
        <v>nie</v>
      </c>
      <c r="DW116" s="128">
        <f t="shared" si="301"/>
        <v>3000</v>
      </c>
      <c r="DX116" s="128">
        <f t="shared" si="302"/>
        <v>129417.13078567239</v>
      </c>
      <c r="DY116" s="128">
        <f t="shared" si="303"/>
        <v>0</v>
      </c>
      <c r="DZ116" s="130">
        <f t="shared" si="304"/>
        <v>3.5999999999999997E-2</v>
      </c>
      <c r="EA116" s="128">
        <f t="shared" si="305"/>
        <v>0</v>
      </c>
      <c r="EB116" s="128">
        <f t="shared" si="306"/>
        <v>129417.13078567239</v>
      </c>
    </row>
    <row r="117" spans="1:132">
      <c r="A117" s="212">
        <f>ROUNDUP(B128/12,0)</f>
        <v>7</v>
      </c>
      <c r="B117" s="188">
        <f t="shared" si="307"/>
        <v>73</v>
      </c>
      <c r="C117" s="128">
        <f t="shared" si="308"/>
        <v>126737.9323994281</v>
      </c>
      <c r="D117" s="128">
        <f t="shared" si="309"/>
        <v>129868.76152741844</v>
      </c>
      <c r="E117" s="128">
        <f t="shared" si="310"/>
        <v>123832.23772809324</v>
      </c>
      <c r="F117" s="128">
        <f t="shared" si="311"/>
        <v>123222.09219959751</v>
      </c>
      <c r="G117" s="128">
        <f t="shared" si="312"/>
        <v>126464.2525183611</v>
      </c>
      <c r="H117" s="128">
        <f t="shared" si="313"/>
        <v>128065.78589382736</v>
      </c>
      <c r="I117" s="128">
        <f t="shared" si="314"/>
        <v>129417.13078567239</v>
      </c>
      <c r="J117" s="128">
        <f t="shared" si="315"/>
        <v>119383.97815637749</v>
      </c>
      <c r="K117" s="128">
        <f t="shared" si="316"/>
        <v>120412.74929948927</v>
      </c>
      <c r="M117" s="36"/>
      <c r="N117" s="32">
        <f t="shared" si="317"/>
        <v>73</v>
      </c>
      <c r="O117" s="25">
        <f t="shared" si="318"/>
        <v>0.26737932399428099</v>
      </c>
      <c r="P117" s="25">
        <f t="shared" si="319"/>
        <v>0.29868761527418441</v>
      </c>
      <c r="Q117" s="25">
        <f t="shared" si="320"/>
        <v>0.23832237728093242</v>
      </c>
      <c r="R117" s="25">
        <f t="shared" si="245"/>
        <v>0.23222092199597499</v>
      </c>
      <c r="S117" s="25">
        <f t="shared" si="246"/>
        <v>0.26464252518361109</v>
      </c>
      <c r="T117" s="25">
        <f t="shared" si="247"/>
        <v>0.28065785893827355</v>
      </c>
      <c r="U117" s="25">
        <f t="shared" si="248"/>
        <v>0.29417130785672385</v>
      </c>
      <c r="V117" s="25">
        <f t="shared" si="249"/>
        <v>0.1938397815637749</v>
      </c>
      <c r="W117" s="25">
        <f t="shared" si="250"/>
        <v>0.20412749299489263</v>
      </c>
      <c r="X117" s="36"/>
      <c r="Y117" s="36"/>
      <c r="AA117" s="124">
        <f t="shared" si="321"/>
        <v>74</v>
      </c>
      <c r="AB117" s="128">
        <f t="shared" si="251"/>
        <v>120723.01405123759</v>
      </c>
      <c r="AC117" s="124">
        <f t="shared" si="322"/>
        <v>74</v>
      </c>
      <c r="AD117" s="130">
        <f t="shared" si="323"/>
        <v>3.7499999999999999E-2</v>
      </c>
      <c r="AE117" s="127">
        <f t="shared" si="324"/>
        <v>1229</v>
      </c>
      <c r="AF117" s="128">
        <f t="shared" si="325"/>
        <v>122780.90000000001</v>
      </c>
      <c r="AG117" s="128">
        <f t="shared" si="348"/>
        <v>122900</v>
      </c>
      <c r="AH117" s="128">
        <f>AG117</f>
        <v>122900</v>
      </c>
      <c r="AI117" s="130">
        <f t="shared" si="252"/>
        <v>3.7499999999999999E-2</v>
      </c>
      <c r="AJ117" s="128">
        <f t="shared" si="253"/>
        <v>123284.0625</v>
      </c>
      <c r="AK117" s="128" t="str">
        <f t="shared" si="254"/>
        <v>nie</v>
      </c>
      <c r="AL117" s="128">
        <f t="shared" si="255"/>
        <v>614.5</v>
      </c>
      <c r="AM117" s="128">
        <f t="shared" si="150"/>
        <v>122713.345625</v>
      </c>
      <c r="AN117" s="128">
        <f t="shared" si="256"/>
        <v>311.09062500000005</v>
      </c>
      <c r="AO117" s="130">
        <f t="shared" si="257"/>
        <v>3.5999999999999997E-2</v>
      </c>
      <c r="AP117" s="128">
        <f t="shared" si="258"/>
        <v>672.4951084387161</v>
      </c>
      <c r="AQ117" s="128">
        <f t="shared" si="156"/>
        <v>123074.75010843872</v>
      </c>
      <c r="AS117" s="124">
        <f t="shared" si="327"/>
        <v>74</v>
      </c>
      <c r="AT117" s="130">
        <f t="shared" si="328"/>
        <v>3.7499999999999999E-2</v>
      </c>
      <c r="AU117" s="127">
        <f t="shared" si="329"/>
        <v>1222</v>
      </c>
      <c r="AV117" s="128">
        <f t="shared" si="330"/>
        <v>122085.40000000001</v>
      </c>
      <c r="AW117" s="128">
        <f t="shared" si="151"/>
        <v>122200</v>
      </c>
      <c r="AX117" s="128">
        <f>AW117</f>
        <v>122200</v>
      </c>
      <c r="AY117" s="130">
        <f t="shared" si="259"/>
        <v>3.9E-2</v>
      </c>
      <c r="AZ117" s="128">
        <f t="shared" si="260"/>
        <v>122597.15</v>
      </c>
      <c r="BA117" s="128" t="str">
        <f t="shared" si="261"/>
        <v>nie</v>
      </c>
      <c r="BB117" s="128">
        <f t="shared" si="262"/>
        <v>855.4</v>
      </c>
      <c r="BC117" s="128">
        <f t="shared" si="158"/>
        <v>121828.8175</v>
      </c>
      <c r="BD117" s="128">
        <f t="shared" si="263"/>
        <v>321.6914999999953</v>
      </c>
      <c r="BE117" s="130">
        <f t="shared" si="264"/>
        <v>3.5999999999999997E-2</v>
      </c>
      <c r="BF117" s="128">
        <f t="shared" si="265"/>
        <v>715.25181067255994</v>
      </c>
      <c r="BG117" s="128">
        <f t="shared" si="159"/>
        <v>122222.37781067257</v>
      </c>
      <c r="BI117" s="124">
        <f t="shared" si="332"/>
        <v>74</v>
      </c>
      <c r="BJ117" s="130">
        <f t="shared" si="354"/>
        <v>3.9100000000000003E-2</v>
      </c>
      <c r="BK117" s="127">
        <f t="shared" si="333"/>
        <v>1237</v>
      </c>
      <c r="BL117" s="128">
        <f t="shared" si="334"/>
        <v>123576.3</v>
      </c>
      <c r="BM117" s="128">
        <f t="shared" si="349"/>
        <v>123700</v>
      </c>
      <c r="BN117" s="128">
        <f t="shared" si="335"/>
        <v>123700</v>
      </c>
      <c r="BO117" s="130">
        <f t="shared" si="266"/>
        <v>4.3999999999999997E-2</v>
      </c>
      <c r="BP117" s="128">
        <f t="shared" si="267"/>
        <v>124607.13333333335</v>
      </c>
      <c r="BQ117" s="128" t="str">
        <f t="shared" si="268"/>
        <v>nie</v>
      </c>
      <c r="BR117" s="128">
        <f t="shared" si="269"/>
        <v>907.13333333334594</v>
      </c>
      <c r="BS117" s="128">
        <f t="shared" si="153"/>
        <v>123700</v>
      </c>
      <c r="BT117" s="128">
        <f t="shared" ref="BT117:BT139" si="356">IF(AND(BQ117="tak",BL118&lt;&gt;""),
 BS117-BL118,
0)</f>
        <v>0</v>
      </c>
      <c r="BU117" s="130">
        <f t="shared" si="270"/>
        <v>3.5999999999999997E-2</v>
      </c>
      <c r="BV117" s="128">
        <f t="shared" si="271"/>
        <v>132.55906577250093</v>
      </c>
      <c r="BW117" s="128">
        <f t="shared" si="243"/>
        <v>123832.5590657725</v>
      </c>
      <c r="BY117" s="130">
        <f t="shared" si="244"/>
        <v>3.1E-2</v>
      </c>
      <c r="BZ117" s="127">
        <f t="shared" si="337"/>
        <v>1158</v>
      </c>
      <c r="CA117" s="128">
        <f t="shared" si="338"/>
        <v>115696.20000000001</v>
      </c>
      <c r="CB117" s="128">
        <f t="shared" si="154"/>
        <v>115800</v>
      </c>
      <c r="CC117" s="128">
        <f>CB117</f>
        <v>115800</v>
      </c>
      <c r="CD117" s="130">
        <f t="shared" si="272"/>
        <v>4.5999999999999999E-2</v>
      </c>
      <c r="CE117" s="128">
        <f t="shared" si="273"/>
        <v>116687.8</v>
      </c>
      <c r="CF117" s="128" t="str">
        <f t="shared" si="274"/>
        <v>nie</v>
      </c>
      <c r="CG117" s="128">
        <f t="shared" si="275"/>
        <v>2316</v>
      </c>
      <c r="CH117" s="128">
        <f t="shared" si="160"/>
        <v>114643.158</v>
      </c>
      <c r="CI117" s="128">
        <f t="shared" si="276"/>
        <v>0</v>
      </c>
      <c r="CJ117" s="130">
        <f t="shared" si="277"/>
        <v>3.5999999999999997E-2</v>
      </c>
      <c r="CK117" s="128">
        <f t="shared" si="278"/>
        <v>8960.2137380725289</v>
      </c>
      <c r="CL117" s="128">
        <f t="shared" si="279"/>
        <v>123603.37173807253</v>
      </c>
      <c r="CN117" s="127">
        <f t="shared" si="340"/>
        <v>1000</v>
      </c>
      <c r="CO117" s="128">
        <f t="shared" si="341"/>
        <v>100000</v>
      </c>
      <c r="CP117" s="128">
        <f t="shared" si="342"/>
        <v>100000</v>
      </c>
      <c r="CQ117" s="128">
        <f t="shared" si="343"/>
        <v>135097.75124653691</v>
      </c>
      <c r="CR117" s="130">
        <f t="shared" si="280"/>
        <v>5.1000000000000004E-2</v>
      </c>
      <c r="CS117" s="128">
        <f t="shared" si="281"/>
        <v>136246.08213213246</v>
      </c>
      <c r="CT117" s="128" t="str">
        <f t="shared" si="282"/>
        <v>nie</v>
      </c>
      <c r="CU117" s="128">
        <f t="shared" si="283"/>
        <v>3000</v>
      </c>
      <c r="CV117" s="128">
        <f t="shared" si="284"/>
        <v>126929.3265270273</v>
      </c>
      <c r="CW117" s="128">
        <f t="shared" si="285"/>
        <v>0</v>
      </c>
      <c r="CX117" s="130">
        <f t="shared" si="286"/>
        <v>3.5999999999999997E-2</v>
      </c>
      <c r="CY117" s="128">
        <f t="shared" si="287"/>
        <v>0</v>
      </c>
      <c r="CZ117" s="128">
        <f t="shared" si="288"/>
        <v>126929.3265270273</v>
      </c>
      <c r="DA117" s="20"/>
      <c r="DB117" s="127">
        <f t="shared" si="350"/>
        <v>1280</v>
      </c>
      <c r="DC117" s="128">
        <f t="shared" si="351"/>
        <v>128000</v>
      </c>
      <c r="DD117" s="128">
        <f t="shared" si="344"/>
        <v>128000</v>
      </c>
      <c r="DE117" s="128">
        <f t="shared" si="345"/>
        <v>128000</v>
      </c>
      <c r="DF117" s="130">
        <f t="shared" si="289"/>
        <v>0.05</v>
      </c>
      <c r="DG117" s="128">
        <f t="shared" si="290"/>
        <v>129066.66666666666</v>
      </c>
      <c r="DH117" s="128" t="str">
        <f t="shared" si="291"/>
        <v>nie</v>
      </c>
      <c r="DI117" s="128">
        <f t="shared" si="292"/>
        <v>1066.666666666657</v>
      </c>
      <c r="DJ117" s="128">
        <f t="shared" si="355"/>
        <v>128000</v>
      </c>
      <c r="DK117" s="128">
        <f t="shared" si="294"/>
        <v>0</v>
      </c>
      <c r="DL117" s="130">
        <f t="shared" si="295"/>
        <v>3.5999999999999997E-2</v>
      </c>
      <c r="DM117" s="128">
        <f t="shared" si="296"/>
        <v>65.945753549359452</v>
      </c>
      <c r="DN117" s="128">
        <f t="shared" si="297"/>
        <v>128065.94575354936</v>
      </c>
      <c r="DP117" s="127">
        <f t="shared" si="352"/>
        <v>1000</v>
      </c>
      <c r="DQ117" s="128">
        <f t="shared" si="353"/>
        <v>100000</v>
      </c>
      <c r="DR117" s="128">
        <f t="shared" si="346"/>
        <v>100000</v>
      </c>
      <c r="DS117" s="128">
        <f t="shared" si="347"/>
        <v>138670.3172671636</v>
      </c>
      <c r="DT117" s="130">
        <f t="shared" si="298"/>
        <v>5.6000000000000001E-2</v>
      </c>
      <c r="DU117" s="128">
        <f t="shared" si="299"/>
        <v>139964.57356165713</v>
      </c>
      <c r="DV117" s="128" t="str">
        <f t="shared" si="300"/>
        <v>nie</v>
      </c>
      <c r="DW117" s="128">
        <f t="shared" si="301"/>
        <v>3000</v>
      </c>
      <c r="DX117" s="128">
        <f t="shared" si="302"/>
        <v>129941.30458494228</v>
      </c>
      <c r="DY117" s="128">
        <f t="shared" si="303"/>
        <v>0</v>
      </c>
      <c r="DZ117" s="130">
        <f t="shared" si="304"/>
        <v>3.5999999999999997E-2</v>
      </c>
      <c r="EA117" s="128">
        <f t="shared" si="305"/>
        <v>0</v>
      </c>
      <c r="EB117" s="128">
        <f t="shared" si="306"/>
        <v>129941.30458494228</v>
      </c>
    </row>
    <row r="118" spans="1:132">
      <c r="A118" s="212"/>
      <c r="B118" s="188">
        <f t="shared" si="307"/>
        <v>74</v>
      </c>
      <c r="C118" s="128">
        <f t="shared" si="308"/>
        <v>123074.75010843872</v>
      </c>
      <c r="D118" s="128">
        <f t="shared" si="309"/>
        <v>122222.37781067257</v>
      </c>
      <c r="E118" s="128">
        <f t="shared" si="310"/>
        <v>123832.5590657725</v>
      </c>
      <c r="F118" s="128">
        <f t="shared" si="311"/>
        <v>123603.37173807253</v>
      </c>
      <c r="G118" s="128">
        <f t="shared" si="312"/>
        <v>126929.3265270273</v>
      </c>
      <c r="H118" s="128">
        <f t="shared" si="313"/>
        <v>128065.94575354936</v>
      </c>
      <c r="I118" s="128">
        <f t="shared" si="314"/>
        <v>129941.30458494228</v>
      </c>
      <c r="J118" s="128">
        <f t="shared" si="315"/>
        <v>119674.08122329747</v>
      </c>
      <c r="K118" s="128">
        <f t="shared" si="316"/>
        <v>120723.01405123759</v>
      </c>
      <c r="M118" s="36"/>
      <c r="N118" s="32">
        <f t="shared" si="317"/>
        <v>74</v>
      </c>
      <c r="O118" s="25">
        <f t="shared" si="318"/>
        <v>0.23074750108438713</v>
      </c>
      <c r="P118" s="25">
        <f t="shared" si="319"/>
        <v>0.22222377810672556</v>
      </c>
      <c r="Q118" s="25">
        <f t="shared" si="320"/>
        <v>0.23832559065772507</v>
      </c>
      <c r="R118" s="25">
        <f t="shared" si="245"/>
        <v>0.23603371738072521</v>
      </c>
      <c r="S118" s="25">
        <f t="shared" si="246"/>
        <v>0.26929326527027286</v>
      </c>
      <c r="T118" s="25">
        <f t="shared" si="247"/>
        <v>0.28065945753549348</v>
      </c>
      <c r="U118" s="25">
        <f t="shared" si="248"/>
        <v>0.29941304584942285</v>
      </c>
      <c r="V118" s="25">
        <f t="shared" si="249"/>
        <v>0.19674081223297479</v>
      </c>
      <c r="W118" s="25">
        <f t="shared" si="250"/>
        <v>0.20723014051237598</v>
      </c>
      <c r="X118" s="36"/>
      <c r="Y118" s="36"/>
      <c r="AA118" s="124">
        <f t="shared" si="321"/>
        <v>75</v>
      </c>
      <c r="AB118" s="128">
        <f t="shared" si="251"/>
        <v>121033.27880298591</v>
      </c>
      <c r="AC118" s="124">
        <f t="shared" si="322"/>
        <v>75</v>
      </c>
      <c r="AD118" s="130">
        <f t="shared" si="323"/>
        <v>3.7499999999999999E-2</v>
      </c>
      <c r="AE118" s="127">
        <f t="shared" si="324"/>
        <v>1229</v>
      </c>
      <c r="AF118" s="128">
        <f t="shared" si="325"/>
        <v>122780.90000000001</v>
      </c>
      <c r="AG118" s="128">
        <f t="shared" si="348"/>
        <v>122900</v>
      </c>
      <c r="AH118" s="128">
        <f t="shared" ref="AH118:AH181" si="357">AG118</f>
        <v>122900</v>
      </c>
      <c r="AI118" s="130">
        <f t="shared" si="252"/>
        <v>3.7499999999999999E-2</v>
      </c>
      <c r="AJ118" s="128">
        <f t="shared" si="253"/>
        <v>123284.0625</v>
      </c>
      <c r="AK118" s="128" t="str">
        <f t="shared" si="254"/>
        <v>nie</v>
      </c>
      <c r="AL118" s="128">
        <f t="shared" si="255"/>
        <v>614.5</v>
      </c>
      <c r="AM118" s="128">
        <f t="shared" si="150"/>
        <v>122713.345625</v>
      </c>
      <c r="AN118" s="128">
        <f t="shared" si="256"/>
        <v>311.09062500000005</v>
      </c>
      <c r="AO118" s="130">
        <f t="shared" si="257"/>
        <v>3.5999999999999997E-2</v>
      </c>
      <c r="AP118" s="128">
        <f t="shared" si="258"/>
        <v>985.21989655222217</v>
      </c>
      <c r="AQ118" s="128">
        <f t="shared" si="156"/>
        <v>123387.47489655223</v>
      </c>
      <c r="AS118" s="124">
        <f t="shared" si="327"/>
        <v>75</v>
      </c>
      <c r="AT118" s="130">
        <f t="shared" si="328"/>
        <v>3.7499999999999999E-2</v>
      </c>
      <c r="AU118" s="127">
        <f t="shared" si="329"/>
        <v>1222</v>
      </c>
      <c r="AV118" s="128">
        <f t="shared" si="330"/>
        <v>122085.40000000001</v>
      </c>
      <c r="AW118" s="128">
        <f t="shared" si="151"/>
        <v>122200</v>
      </c>
      <c r="AX118" s="128">
        <f t="shared" ref="AX118:AX181" si="358">AW118</f>
        <v>122200</v>
      </c>
      <c r="AY118" s="130">
        <f t="shared" si="259"/>
        <v>3.9E-2</v>
      </c>
      <c r="AZ118" s="128">
        <f t="shared" si="260"/>
        <v>122597.15</v>
      </c>
      <c r="BA118" s="128" t="str">
        <f t="shared" si="261"/>
        <v>nie</v>
      </c>
      <c r="BB118" s="128">
        <f t="shared" si="262"/>
        <v>855.4</v>
      </c>
      <c r="BC118" s="128">
        <f t="shared" si="158"/>
        <v>121828.8175</v>
      </c>
      <c r="BD118" s="128">
        <f t="shared" si="263"/>
        <v>321.6914999999953</v>
      </c>
      <c r="BE118" s="130">
        <f t="shared" si="264"/>
        <v>3.5999999999999997E-2</v>
      </c>
      <c r="BF118" s="128">
        <f t="shared" si="265"/>
        <v>1038.6813725724894</v>
      </c>
      <c r="BG118" s="128">
        <f t="shared" si="159"/>
        <v>122545.8073725725</v>
      </c>
      <c r="BI118" s="124">
        <f t="shared" si="332"/>
        <v>75</v>
      </c>
      <c r="BJ118" s="130">
        <f t="shared" si="354"/>
        <v>3.9100000000000003E-2</v>
      </c>
      <c r="BK118" s="127">
        <f t="shared" si="333"/>
        <v>1237</v>
      </c>
      <c r="BL118" s="128">
        <f t="shared" si="334"/>
        <v>123576.3</v>
      </c>
      <c r="BM118" s="128">
        <f t="shared" si="349"/>
        <v>123700</v>
      </c>
      <c r="BN118" s="128">
        <f t="shared" si="335"/>
        <v>123700</v>
      </c>
      <c r="BO118" s="130">
        <f t="shared" si="266"/>
        <v>4.3999999999999997E-2</v>
      </c>
      <c r="BP118" s="128">
        <f t="shared" si="267"/>
        <v>125060.69999999998</v>
      </c>
      <c r="BQ118" s="128" t="str">
        <f t="shared" si="268"/>
        <v>nie</v>
      </c>
      <c r="BR118" s="128">
        <f t="shared" si="269"/>
        <v>1237</v>
      </c>
      <c r="BS118" s="128">
        <f t="shared" si="153"/>
        <v>123800.19699999999</v>
      </c>
      <c r="BT118" s="128">
        <f t="shared" si="356"/>
        <v>0</v>
      </c>
      <c r="BU118" s="130">
        <f t="shared" si="270"/>
        <v>3.5999999999999997E-2</v>
      </c>
      <c r="BV118" s="128">
        <f t="shared" si="271"/>
        <v>132.88118430232811</v>
      </c>
      <c r="BW118" s="128">
        <f t="shared" si="243"/>
        <v>123933.07818430231</v>
      </c>
      <c r="BY118" s="130">
        <f t="shared" si="244"/>
        <v>3.1E-2</v>
      </c>
      <c r="BZ118" s="127">
        <f t="shared" si="337"/>
        <v>1158</v>
      </c>
      <c r="CA118" s="128">
        <f t="shared" si="338"/>
        <v>115696.20000000001</v>
      </c>
      <c r="CB118" s="128">
        <f t="shared" si="154"/>
        <v>115800</v>
      </c>
      <c r="CC118" s="128">
        <f t="shared" ref="CC118:CC181" si="359">CB118</f>
        <v>115800</v>
      </c>
      <c r="CD118" s="130">
        <f t="shared" si="272"/>
        <v>4.5999999999999999E-2</v>
      </c>
      <c r="CE118" s="128">
        <f t="shared" si="273"/>
        <v>117131.70000000001</v>
      </c>
      <c r="CF118" s="128" t="str">
        <f t="shared" si="274"/>
        <v>nie</v>
      </c>
      <c r="CG118" s="128">
        <f t="shared" si="275"/>
        <v>2316</v>
      </c>
      <c r="CH118" s="128">
        <f t="shared" si="160"/>
        <v>115002.717</v>
      </c>
      <c r="CI118" s="128">
        <f t="shared" si="276"/>
        <v>0</v>
      </c>
      <c r="CJ118" s="130">
        <f t="shared" si="277"/>
        <v>3.5999999999999997E-2</v>
      </c>
      <c r="CK118" s="128">
        <f t="shared" si="278"/>
        <v>8981.9870574560446</v>
      </c>
      <c r="CL118" s="128">
        <f t="shared" si="279"/>
        <v>123984.70405745605</v>
      </c>
      <c r="CN118" s="127">
        <f t="shared" si="340"/>
        <v>1000</v>
      </c>
      <c r="CO118" s="128">
        <f t="shared" si="341"/>
        <v>100000</v>
      </c>
      <c r="CP118" s="128">
        <f t="shared" si="342"/>
        <v>100000</v>
      </c>
      <c r="CQ118" s="128">
        <f t="shared" si="343"/>
        <v>135097.75124653691</v>
      </c>
      <c r="CR118" s="130">
        <f t="shared" si="280"/>
        <v>5.1000000000000004E-2</v>
      </c>
      <c r="CS118" s="128">
        <f t="shared" si="281"/>
        <v>136820.24757493025</v>
      </c>
      <c r="CT118" s="128" t="str">
        <f t="shared" si="282"/>
        <v>nie</v>
      </c>
      <c r="CU118" s="128">
        <f t="shared" si="283"/>
        <v>3000</v>
      </c>
      <c r="CV118" s="128">
        <f t="shared" si="284"/>
        <v>127394.40053569351</v>
      </c>
      <c r="CW118" s="128">
        <f t="shared" si="285"/>
        <v>0</v>
      </c>
      <c r="CX118" s="130">
        <f t="shared" si="286"/>
        <v>3.5999999999999997E-2</v>
      </c>
      <c r="CY118" s="128">
        <f t="shared" si="287"/>
        <v>0</v>
      </c>
      <c r="CZ118" s="128">
        <f t="shared" si="288"/>
        <v>127394.40053569351</v>
      </c>
      <c r="DA118" s="20"/>
      <c r="DB118" s="127">
        <f t="shared" si="350"/>
        <v>1280</v>
      </c>
      <c r="DC118" s="128">
        <f t="shared" si="351"/>
        <v>128000</v>
      </c>
      <c r="DD118" s="128">
        <f t="shared" si="344"/>
        <v>128000</v>
      </c>
      <c r="DE118" s="128">
        <f t="shared" si="345"/>
        <v>128000</v>
      </c>
      <c r="DF118" s="130">
        <f t="shared" si="289"/>
        <v>0.05</v>
      </c>
      <c r="DG118" s="128">
        <f t="shared" si="290"/>
        <v>129600</v>
      </c>
      <c r="DH118" s="128" t="str">
        <f t="shared" si="291"/>
        <v>nie</v>
      </c>
      <c r="DI118" s="128">
        <f t="shared" si="292"/>
        <v>1600</v>
      </c>
      <c r="DJ118" s="128">
        <f t="shared" si="355"/>
        <v>128000</v>
      </c>
      <c r="DK118" s="128">
        <f t="shared" si="294"/>
        <v>0</v>
      </c>
      <c r="DL118" s="130">
        <f t="shared" si="295"/>
        <v>3.5999999999999997E-2</v>
      </c>
      <c r="DM118" s="128">
        <f t="shared" si="296"/>
        <v>66.106001730484394</v>
      </c>
      <c r="DN118" s="128">
        <f t="shared" si="297"/>
        <v>128066.10600173048</v>
      </c>
      <c r="DP118" s="127">
        <f t="shared" si="352"/>
        <v>1000</v>
      </c>
      <c r="DQ118" s="128">
        <f t="shared" si="353"/>
        <v>100000</v>
      </c>
      <c r="DR118" s="128">
        <f t="shared" si="346"/>
        <v>100000</v>
      </c>
      <c r="DS118" s="128">
        <f t="shared" si="347"/>
        <v>138670.3172671636</v>
      </c>
      <c r="DT118" s="130">
        <f t="shared" si="298"/>
        <v>5.6000000000000001E-2</v>
      </c>
      <c r="DU118" s="128">
        <f t="shared" si="299"/>
        <v>140611.70170890389</v>
      </c>
      <c r="DV118" s="128" t="str">
        <f t="shared" si="300"/>
        <v>nie</v>
      </c>
      <c r="DW118" s="128">
        <f t="shared" si="301"/>
        <v>3000</v>
      </c>
      <c r="DX118" s="128">
        <f t="shared" si="302"/>
        <v>130465.47838421215</v>
      </c>
      <c r="DY118" s="128">
        <f t="shared" si="303"/>
        <v>0</v>
      </c>
      <c r="DZ118" s="130">
        <f t="shared" si="304"/>
        <v>3.5999999999999997E-2</v>
      </c>
      <c r="EA118" s="128">
        <f t="shared" si="305"/>
        <v>0</v>
      </c>
      <c r="EB118" s="128">
        <f t="shared" si="306"/>
        <v>130465.47838421215</v>
      </c>
    </row>
    <row r="119" spans="1:132">
      <c r="A119" s="212"/>
      <c r="B119" s="188">
        <f t="shared" si="307"/>
        <v>75</v>
      </c>
      <c r="C119" s="128">
        <f t="shared" si="308"/>
        <v>123387.47489655223</v>
      </c>
      <c r="D119" s="128">
        <f t="shared" si="309"/>
        <v>122545.8073725725</v>
      </c>
      <c r="E119" s="128">
        <f t="shared" si="310"/>
        <v>123933.07818430231</v>
      </c>
      <c r="F119" s="128">
        <f t="shared" si="311"/>
        <v>123984.70405745605</v>
      </c>
      <c r="G119" s="128">
        <f t="shared" si="312"/>
        <v>127394.40053569351</v>
      </c>
      <c r="H119" s="128">
        <f t="shared" si="313"/>
        <v>128066.10600173048</v>
      </c>
      <c r="I119" s="128">
        <f t="shared" si="314"/>
        <v>130465.47838421215</v>
      </c>
      <c r="J119" s="128">
        <f t="shared" si="315"/>
        <v>119964.88924067008</v>
      </c>
      <c r="K119" s="128">
        <f t="shared" si="316"/>
        <v>121033.27880298591</v>
      </c>
      <c r="M119" s="36"/>
      <c r="N119" s="32">
        <f t="shared" si="317"/>
        <v>75</v>
      </c>
      <c r="O119" s="25">
        <f t="shared" si="318"/>
        <v>0.23387474896552241</v>
      </c>
      <c r="P119" s="25">
        <f t="shared" si="319"/>
        <v>0.22545807372572502</v>
      </c>
      <c r="Q119" s="25">
        <f t="shared" si="320"/>
        <v>0.23933078184302303</v>
      </c>
      <c r="R119" s="25">
        <f t="shared" si="245"/>
        <v>0.23984704057456052</v>
      </c>
      <c r="S119" s="25">
        <f t="shared" si="246"/>
        <v>0.27394400535693508</v>
      </c>
      <c r="T119" s="25">
        <f t="shared" si="247"/>
        <v>0.28066106001730495</v>
      </c>
      <c r="U119" s="25">
        <f t="shared" si="248"/>
        <v>0.30465478384212163</v>
      </c>
      <c r="V119" s="25">
        <f t="shared" si="249"/>
        <v>0.19964889240670081</v>
      </c>
      <c r="W119" s="25">
        <f t="shared" si="250"/>
        <v>0.21033278802985911</v>
      </c>
      <c r="X119" s="36"/>
      <c r="Y119" s="36"/>
      <c r="AA119" s="124">
        <f t="shared" si="321"/>
        <v>76</v>
      </c>
      <c r="AB119" s="128">
        <f t="shared" si="251"/>
        <v>121343.54355473425</v>
      </c>
      <c r="AC119" s="124">
        <f t="shared" si="322"/>
        <v>76</v>
      </c>
      <c r="AD119" s="130">
        <f t="shared" si="323"/>
        <v>3.7499999999999999E-2</v>
      </c>
      <c r="AE119" s="127">
        <f t="shared" si="324"/>
        <v>1229</v>
      </c>
      <c r="AF119" s="128">
        <f t="shared" si="325"/>
        <v>122780.90000000001</v>
      </c>
      <c r="AG119" s="128">
        <f t="shared" si="348"/>
        <v>122900</v>
      </c>
      <c r="AH119" s="128">
        <f t="shared" si="357"/>
        <v>122900</v>
      </c>
      <c r="AI119" s="130">
        <f t="shared" si="252"/>
        <v>3.7499999999999999E-2</v>
      </c>
      <c r="AJ119" s="128">
        <f t="shared" si="253"/>
        <v>123284.0625</v>
      </c>
      <c r="AK119" s="128" t="str">
        <f t="shared" si="254"/>
        <v>nie</v>
      </c>
      <c r="AL119" s="128">
        <f t="shared" si="255"/>
        <v>614.5</v>
      </c>
      <c r="AM119" s="128">
        <f t="shared" si="150"/>
        <v>122713.345625</v>
      </c>
      <c r="AN119" s="128">
        <f t="shared" si="256"/>
        <v>311.09062500000005</v>
      </c>
      <c r="AO119" s="130">
        <f t="shared" si="257"/>
        <v>3.5999999999999997E-2</v>
      </c>
      <c r="AP119" s="128">
        <f t="shared" si="258"/>
        <v>1298.7046059008439</v>
      </c>
      <c r="AQ119" s="128">
        <f t="shared" si="156"/>
        <v>123700.95960590085</v>
      </c>
      <c r="AS119" s="124">
        <f t="shared" si="327"/>
        <v>76</v>
      </c>
      <c r="AT119" s="130">
        <f t="shared" si="328"/>
        <v>3.7499999999999999E-2</v>
      </c>
      <c r="AU119" s="127">
        <f t="shared" si="329"/>
        <v>1222</v>
      </c>
      <c r="AV119" s="128">
        <f t="shared" si="330"/>
        <v>122085.40000000001</v>
      </c>
      <c r="AW119" s="128">
        <f t="shared" si="151"/>
        <v>122200</v>
      </c>
      <c r="AX119" s="128">
        <f t="shared" si="358"/>
        <v>122200</v>
      </c>
      <c r="AY119" s="130">
        <f t="shared" si="259"/>
        <v>3.9E-2</v>
      </c>
      <c r="AZ119" s="128">
        <f t="shared" si="260"/>
        <v>122597.15</v>
      </c>
      <c r="BA119" s="128" t="str">
        <f t="shared" si="261"/>
        <v>nie</v>
      </c>
      <c r="BB119" s="128">
        <f t="shared" si="262"/>
        <v>855.4</v>
      </c>
      <c r="BC119" s="128">
        <f t="shared" si="158"/>
        <v>121828.8175</v>
      </c>
      <c r="BD119" s="128">
        <f t="shared" si="263"/>
        <v>321.6914999999953</v>
      </c>
      <c r="BE119" s="130">
        <f t="shared" si="264"/>
        <v>3.5999999999999997E-2</v>
      </c>
      <c r="BF119" s="128">
        <f t="shared" si="265"/>
        <v>1362.8968683078358</v>
      </c>
      <c r="BG119" s="128">
        <f t="shared" si="159"/>
        <v>122870.02286830785</v>
      </c>
      <c r="BI119" s="124">
        <f t="shared" si="332"/>
        <v>76</v>
      </c>
      <c r="BJ119" s="130">
        <f t="shared" si="354"/>
        <v>3.9100000000000003E-2</v>
      </c>
      <c r="BK119" s="127">
        <f t="shared" si="333"/>
        <v>1237</v>
      </c>
      <c r="BL119" s="128">
        <f t="shared" si="334"/>
        <v>123576.3</v>
      </c>
      <c r="BM119" s="128">
        <f t="shared" si="349"/>
        <v>123700</v>
      </c>
      <c r="BN119" s="128">
        <f t="shared" si="335"/>
        <v>123700</v>
      </c>
      <c r="BO119" s="130">
        <f t="shared" si="266"/>
        <v>4.3999999999999997E-2</v>
      </c>
      <c r="BP119" s="128">
        <f t="shared" si="267"/>
        <v>125514.26666666666</v>
      </c>
      <c r="BQ119" s="128" t="str">
        <f t="shared" si="268"/>
        <v>nie</v>
      </c>
      <c r="BR119" s="128">
        <f t="shared" si="269"/>
        <v>1237</v>
      </c>
      <c r="BS119" s="128">
        <f t="shared" si="153"/>
        <v>124167.586</v>
      </c>
      <c r="BT119" s="128">
        <f t="shared" si="356"/>
        <v>0</v>
      </c>
      <c r="BU119" s="130">
        <f t="shared" si="270"/>
        <v>3.5999999999999997E-2</v>
      </c>
      <c r="BV119" s="128">
        <f t="shared" si="271"/>
        <v>133.20408558018275</v>
      </c>
      <c r="BW119" s="128">
        <f t="shared" si="243"/>
        <v>124300.79008558019</v>
      </c>
      <c r="BY119" s="130">
        <f t="shared" si="244"/>
        <v>3.1E-2</v>
      </c>
      <c r="BZ119" s="127">
        <f t="shared" si="337"/>
        <v>1158</v>
      </c>
      <c r="CA119" s="128">
        <f t="shared" si="338"/>
        <v>115696.20000000001</v>
      </c>
      <c r="CB119" s="128">
        <f t="shared" si="154"/>
        <v>115800</v>
      </c>
      <c r="CC119" s="128">
        <f t="shared" si="359"/>
        <v>115800</v>
      </c>
      <c r="CD119" s="130">
        <f t="shared" si="272"/>
        <v>4.5999999999999999E-2</v>
      </c>
      <c r="CE119" s="128">
        <f t="shared" si="273"/>
        <v>117575.6</v>
      </c>
      <c r="CF119" s="128" t="str">
        <f t="shared" si="274"/>
        <v>nie</v>
      </c>
      <c r="CG119" s="128">
        <f t="shared" si="275"/>
        <v>2316</v>
      </c>
      <c r="CH119" s="128">
        <f t="shared" si="160"/>
        <v>115362.276</v>
      </c>
      <c r="CI119" s="128">
        <f t="shared" si="276"/>
        <v>0</v>
      </c>
      <c r="CJ119" s="130">
        <f t="shared" si="277"/>
        <v>3.5999999999999997E-2</v>
      </c>
      <c r="CK119" s="128">
        <f t="shared" si="278"/>
        <v>9003.813286005663</v>
      </c>
      <c r="CL119" s="128">
        <f t="shared" si="279"/>
        <v>124366.08928600566</v>
      </c>
      <c r="CN119" s="127">
        <f t="shared" si="340"/>
        <v>1000</v>
      </c>
      <c r="CO119" s="128">
        <f t="shared" si="341"/>
        <v>100000</v>
      </c>
      <c r="CP119" s="128">
        <f t="shared" si="342"/>
        <v>100000</v>
      </c>
      <c r="CQ119" s="128">
        <f t="shared" si="343"/>
        <v>135097.75124653691</v>
      </c>
      <c r="CR119" s="130">
        <f t="shared" si="280"/>
        <v>5.1000000000000004E-2</v>
      </c>
      <c r="CS119" s="128">
        <f t="shared" si="281"/>
        <v>137394.41301772802</v>
      </c>
      <c r="CT119" s="128" t="str">
        <f t="shared" si="282"/>
        <v>nie</v>
      </c>
      <c r="CU119" s="128">
        <f t="shared" si="283"/>
        <v>3000</v>
      </c>
      <c r="CV119" s="128">
        <f t="shared" si="284"/>
        <v>127859.47454435969</v>
      </c>
      <c r="CW119" s="128">
        <f t="shared" si="285"/>
        <v>0</v>
      </c>
      <c r="CX119" s="130">
        <f t="shared" si="286"/>
        <v>3.5999999999999997E-2</v>
      </c>
      <c r="CY119" s="128">
        <f t="shared" si="287"/>
        <v>0</v>
      </c>
      <c r="CZ119" s="128">
        <f t="shared" si="288"/>
        <v>127859.47454435969</v>
      </c>
      <c r="DA119" s="20"/>
      <c r="DB119" s="127">
        <f t="shared" si="350"/>
        <v>1280</v>
      </c>
      <c r="DC119" s="128">
        <f t="shared" si="351"/>
        <v>128000</v>
      </c>
      <c r="DD119" s="128">
        <f t="shared" si="344"/>
        <v>128000</v>
      </c>
      <c r="DE119" s="128">
        <f t="shared" si="345"/>
        <v>128000</v>
      </c>
      <c r="DF119" s="130">
        <f t="shared" si="289"/>
        <v>0.05</v>
      </c>
      <c r="DG119" s="128">
        <f t="shared" si="290"/>
        <v>130133.33333333333</v>
      </c>
      <c r="DH119" s="128" t="str">
        <f t="shared" si="291"/>
        <v>nie</v>
      </c>
      <c r="DI119" s="128">
        <f t="shared" si="292"/>
        <v>2133.3333333333285</v>
      </c>
      <c r="DJ119" s="128">
        <f t="shared" si="355"/>
        <v>128000</v>
      </c>
      <c r="DK119" s="128">
        <f t="shared" si="294"/>
        <v>0</v>
      </c>
      <c r="DL119" s="130">
        <f t="shared" si="295"/>
        <v>3.5999999999999997E-2</v>
      </c>
      <c r="DM119" s="128">
        <f t="shared" si="296"/>
        <v>66.266639314689471</v>
      </c>
      <c r="DN119" s="128">
        <f t="shared" si="297"/>
        <v>128066.26663931469</v>
      </c>
      <c r="DP119" s="127">
        <f t="shared" si="352"/>
        <v>1000</v>
      </c>
      <c r="DQ119" s="128">
        <f t="shared" si="353"/>
        <v>100000</v>
      </c>
      <c r="DR119" s="128">
        <f t="shared" si="346"/>
        <v>100000</v>
      </c>
      <c r="DS119" s="128">
        <f t="shared" si="347"/>
        <v>138670.3172671636</v>
      </c>
      <c r="DT119" s="130">
        <f t="shared" si="298"/>
        <v>5.6000000000000001E-2</v>
      </c>
      <c r="DU119" s="128">
        <f t="shared" si="299"/>
        <v>141258.82985615064</v>
      </c>
      <c r="DV119" s="128" t="str">
        <f t="shared" si="300"/>
        <v>nie</v>
      </c>
      <c r="DW119" s="128">
        <f t="shared" si="301"/>
        <v>3000</v>
      </c>
      <c r="DX119" s="128">
        <f t="shared" si="302"/>
        <v>130989.65218348202</v>
      </c>
      <c r="DY119" s="128">
        <f t="shared" si="303"/>
        <v>0</v>
      </c>
      <c r="DZ119" s="130">
        <f t="shared" si="304"/>
        <v>3.5999999999999997E-2</v>
      </c>
      <c r="EA119" s="128">
        <f t="shared" si="305"/>
        <v>0</v>
      </c>
      <c r="EB119" s="128">
        <f t="shared" si="306"/>
        <v>130989.65218348202</v>
      </c>
    </row>
    <row r="120" spans="1:132">
      <c r="A120" s="212"/>
      <c r="B120" s="188">
        <f t="shared" si="307"/>
        <v>76</v>
      </c>
      <c r="C120" s="128">
        <f t="shared" si="308"/>
        <v>123700.95960590085</v>
      </c>
      <c r="D120" s="128">
        <f t="shared" si="309"/>
        <v>122870.02286830785</v>
      </c>
      <c r="E120" s="128">
        <f t="shared" si="310"/>
        <v>124300.79008558019</v>
      </c>
      <c r="F120" s="128">
        <f t="shared" si="311"/>
        <v>124366.08928600566</v>
      </c>
      <c r="G120" s="128">
        <f t="shared" si="312"/>
        <v>127859.47454435969</v>
      </c>
      <c r="H120" s="128">
        <f t="shared" si="313"/>
        <v>128066.26663931469</v>
      </c>
      <c r="I120" s="128">
        <f t="shared" si="314"/>
        <v>130989.65218348202</v>
      </c>
      <c r="J120" s="128">
        <f t="shared" si="315"/>
        <v>120256.40392152489</v>
      </c>
      <c r="K120" s="128">
        <f t="shared" si="316"/>
        <v>121343.54355473425</v>
      </c>
      <c r="M120" s="36"/>
      <c r="N120" s="32">
        <f t="shared" si="317"/>
        <v>76</v>
      </c>
      <c r="O120" s="25">
        <f t="shared" si="318"/>
        <v>0.2370095960590084</v>
      </c>
      <c r="P120" s="25">
        <f t="shared" si="319"/>
        <v>0.22870022868307838</v>
      </c>
      <c r="Q120" s="25">
        <f t="shared" si="320"/>
        <v>0.24300790085580193</v>
      </c>
      <c r="R120" s="25">
        <f t="shared" si="245"/>
        <v>0.24366089286005654</v>
      </c>
      <c r="S120" s="25">
        <f t="shared" si="246"/>
        <v>0.27859474544359686</v>
      </c>
      <c r="T120" s="25">
        <f t="shared" si="247"/>
        <v>0.28066266639314685</v>
      </c>
      <c r="U120" s="25">
        <f t="shared" si="248"/>
        <v>0.30989652183482019</v>
      </c>
      <c r="V120" s="25">
        <f t="shared" si="249"/>
        <v>0.20256403921524901</v>
      </c>
      <c r="W120" s="25">
        <f t="shared" si="250"/>
        <v>0.21343543554734246</v>
      </c>
      <c r="X120" s="36"/>
      <c r="Y120" s="36"/>
      <c r="AA120" s="124">
        <f t="shared" si="321"/>
        <v>77</v>
      </c>
      <c r="AB120" s="128">
        <f t="shared" si="251"/>
        <v>121653.80830648258</v>
      </c>
      <c r="AC120" s="124">
        <f t="shared" si="322"/>
        <v>77</v>
      </c>
      <c r="AD120" s="130">
        <f t="shared" si="323"/>
        <v>3.7499999999999999E-2</v>
      </c>
      <c r="AE120" s="127">
        <f t="shared" si="324"/>
        <v>1229</v>
      </c>
      <c r="AF120" s="128">
        <f t="shared" si="325"/>
        <v>122780.90000000001</v>
      </c>
      <c r="AG120" s="128">
        <f t="shared" si="348"/>
        <v>122900</v>
      </c>
      <c r="AH120" s="128">
        <f t="shared" si="357"/>
        <v>122900</v>
      </c>
      <c r="AI120" s="130">
        <f t="shared" si="252"/>
        <v>3.7499999999999999E-2</v>
      </c>
      <c r="AJ120" s="128">
        <f t="shared" si="253"/>
        <v>123284.0625</v>
      </c>
      <c r="AK120" s="128" t="str">
        <f t="shared" si="254"/>
        <v>nie</v>
      </c>
      <c r="AL120" s="128">
        <f t="shared" si="255"/>
        <v>614.5</v>
      </c>
      <c r="AM120" s="128">
        <f t="shared" si="150"/>
        <v>122713.345625</v>
      </c>
      <c r="AN120" s="128">
        <f t="shared" si="256"/>
        <v>311.09062500000005</v>
      </c>
      <c r="AO120" s="130">
        <f t="shared" si="257"/>
        <v>3.5999999999999997E-2</v>
      </c>
      <c r="AP120" s="128">
        <f t="shared" si="258"/>
        <v>1612.9510830931829</v>
      </c>
      <c r="AQ120" s="128">
        <f t="shared" si="156"/>
        <v>124015.20608309319</v>
      </c>
      <c r="AS120" s="124">
        <f t="shared" si="327"/>
        <v>77</v>
      </c>
      <c r="AT120" s="130">
        <f t="shared" si="328"/>
        <v>3.7499999999999999E-2</v>
      </c>
      <c r="AU120" s="127">
        <f t="shared" si="329"/>
        <v>1222</v>
      </c>
      <c r="AV120" s="128">
        <f t="shared" si="330"/>
        <v>122085.40000000001</v>
      </c>
      <c r="AW120" s="128">
        <f t="shared" si="151"/>
        <v>122200</v>
      </c>
      <c r="AX120" s="128">
        <f t="shared" si="358"/>
        <v>122200</v>
      </c>
      <c r="AY120" s="130">
        <f t="shared" si="259"/>
        <v>3.9E-2</v>
      </c>
      <c r="AZ120" s="128">
        <f t="shared" si="260"/>
        <v>122597.15</v>
      </c>
      <c r="BA120" s="128" t="str">
        <f t="shared" si="261"/>
        <v>nie</v>
      </c>
      <c r="BB120" s="128">
        <f t="shared" si="262"/>
        <v>855.4</v>
      </c>
      <c r="BC120" s="128">
        <f t="shared" si="158"/>
        <v>121828.8175</v>
      </c>
      <c r="BD120" s="128">
        <f t="shared" si="263"/>
        <v>321.6914999999953</v>
      </c>
      <c r="BE120" s="130">
        <f t="shared" si="264"/>
        <v>3.5999999999999997E-2</v>
      </c>
      <c r="BF120" s="128">
        <f t="shared" si="265"/>
        <v>1687.900207697819</v>
      </c>
      <c r="BG120" s="128">
        <f t="shared" si="159"/>
        <v>123195.02620769783</v>
      </c>
      <c r="BI120" s="124">
        <f t="shared" si="332"/>
        <v>77</v>
      </c>
      <c r="BJ120" s="130">
        <f t="shared" si="354"/>
        <v>3.9100000000000003E-2</v>
      </c>
      <c r="BK120" s="127">
        <f t="shared" si="333"/>
        <v>1237</v>
      </c>
      <c r="BL120" s="128">
        <f t="shared" si="334"/>
        <v>123576.3</v>
      </c>
      <c r="BM120" s="128">
        <f t="shared" si="349"/>
        <v>123700</v>
      </c>
      <c r="BN120" s="128">
        <f t="shared" si="335"/>
        <v>123700</v>
      </c>
      <c r="BO120" s="130">
        <f t="shared" si="266"/>
        <v>4.3999999999999997E-2</v>
      </c>
      <c r="BP120" s="128">
        <f t="shared" si="267"/>
        <v>125967.83333333333</v>
      </c>
      <c r="BQ120" s="128" t="str">
        <f t="shared" si="268"/>
        <v>nie</v>
      </c>
      <c r="BR120" s="128">
        <f t="shared" si="269"/>
        <v>1237</v>
      </c>
      <c r="BS120" s="128">
        <f t="shared" si="153"/>
        <v>124534.97499999999</v>
      </c>
      <c r="BT120" s="128">
        <f t="shared" si="356"/>
        <v>0</v>
      </c>
      <c r="BU120" s="130">
        <f t="shared" si="270"/>
        <v>3.5999999999999997E-2</v>
      </c>
      <c r="BV120" s="128">
        <f t="shared" si="271"/>
        <v>133.52777150814259</v>
      </c>
      <c r="BW120" s="128">
        <f t="shared" si="243"/>
        <v>124668.50277150814</v>
      </c>
      <c r="BY120" s="130">
        <f t="shared" ref="BY120:BY151" si="360">MAX(INDEX(scenariusz_I_inflacja,MATCH(ROUNDUP(AA120/12,0)-1,scenariusz_I_rok,0)),0)</f>
        <v>3.1E-2</v>
      </c>
      <c r="BZ120" s="127">
        <f t="shared" si="337"/>
        <v>1158</v>
      </c>
      <c r="CA120" s="128">
        <f t="shared" si="338"/>
        <v>115696.20000000001</v>
      </c>
      <c r="CB120" s="128">
        <f t="shared" si="154"/>
        <v>115800</v>
      </c>
      <c r="CC120" s="128">
        <f t="shared" si="359"/>
        <v>115800</v>
      </c>
      <c r="CD120" s="130">
        <f t="shared" si="272"/>
        <v>4.5999999999999999E-2</v>
      </c>
      <c r="CE120" s="128">
        <f t="shared" si="273"/>
        <v>118019.49999999999</v>
      </c>
      <c r="CF120" s="128" t="str">
        <f t="shared" si="274"/>
        <v>nie</v>
      </c>
      <c r="CG120" s="128">
        <f t="shared" si="275"/>
        <v>2316</v>
      </c>
      <c r="CH120" s="128">
        <f t="shared" si="160"/>
        <v>115721.83499999999</v>
      </c>
      <c r="CI120" s="128">
        <f t="shared" si="276"/>
        <v>0</v>
      </c>
      <c r="CJ120" s="130">
        <f t="shared" si="277"/>
        <v>3.5999999999999997E-2</v>
      </c>
      <c r="CK120" s="128">
        <f t="shared" si="278"/>
        <v>9025.6925522906567</v>
      </c>
      <c r="CL120" s="128">
        <f t="shared" si="279"/>
        <v>124747.52755229064</v>
      </c>
      <c r="CN120" s="127">
        <f t="shared" si="340"/>
        <v>1000</v>
      </c>
      <c r="CO120" s="128">
        <f t="shared" si="341"/>
        <v>100000</v>
      </c>
      <c r="CP120" s="128">
        <f t="shared" si="342"/>
        <v>100000</v>
      </c>
      <c r="CQ120" s="128">
        <f t="shared" si="343"/>
        <v>135097.75124653691</v>
      </c>
      <c r="CR120" s="130">
        <f t="shared" si="280"/>
        <v>5.1000000000000004E-2</v>
      </c>
      <c r="CS120" s="128">
        <f t="shared" si="281"/>
        <v>137968.57846052581</v>
      </c>
      <c r="CT120" s="128" t="str">
        <f t="shared" si="282"/>
        <v>nie</v>
      </c>
      <c r="CU120" s="128">
        <f t="shared" si="283"/>
        <v>3000</v>
      </c>
      <c r="CV120" s="128">
        <f t="shared" si="284"/>
        <v>128324.5485530259</v>
      </c>
      <c r="CW120" s="128">
        <f t="shared" si="285"/>
        <v>0</v>
      </c>
      <c r="CX120" s="130">
        <f t="shared" si="286"/>
        <v>3.5999999999999997E-2</v>
      </c>
      <c r="CY120" s="128">
        <f t="shared" si="287"/>
        <v>0</v>
      </c>
      <c r="CZ120" s="128">
        <f t="shared" si="288"/>
        <v>128324.5485530259</v>
      </c>
      <c r="DA120" s="20"/>
      <c r="DB120" s="127">
        <f t="shared" si="350"/>
        <v>1280</v>
      </c>
      <c r="DC120" s="128">
        <f t="shared" si="351"/>
        <v>128000</v>
      </c>
      <c r="DD120" s="128">
        <f t="shared" si="344"/>
        <v>128000</v>
      </c>
      <c r="DE120" s="128">
        <f t="shared" si="345"/>
        <v>128000</v>
      </c>
      <c r="DF120" s="130">
        <f t="shared" si="289"/>
        <v>0.05</v>
      </c>
      <c r="DG120" s="128">
        <f t="shared" si="290"/>
        <v>130666.66666666666</v>
      </c>
      <c r="DH120" s="128" t="str">
        <f t="shared" si="291"/>
        <v>nie</v>
      </c>
      <c r="DI120" s="128">
        <f t="shared" si="292"/>
        <v>2560</v>
      </c>
      <c r="DJ120" s="128">
        <f t="shared" si="355"/>
        <v>128086.39999999999</v>
      </c>
      <c r="DK120" s="128">
        <f t="shared" si="294"/>
        <v>0</v>
      </c>
      <c r="DL120" s="130">
        <f t="shared" si="295"/>
        <v>3.5999999999999997E-2</v>
      </c>
      <c r="DM120" s="128">
        <f t="shared" si="296"/>
        <v>66.427667248224168</v>
      </c>
      <c r="DN120" s="128">
        <f t="shared" si="297"/>
        <v>128152.82766724822</v>
      </c>
      <c r="DP120" s="127">
        <f t="shared" si="352"/>
        <v>1000</v>
      </c>
      <c r="DQ120" s="128">
        <f t="shared" si="353"/>
        <v>100000</v>
      </c>
      <c r="DR120" s="128">
        <f t="shared" si="346"/>
        <v>100000</v>
      </c>
      <c r="DS120" s="128">
        <f t="shared" si="347"/>
        <v>138670.3172671636</v>
      </c>
      <c r="DT120" s="130">
        <f t="shared" si="298"/>
        <v>5.6000000000000001E-2</v>
      </c>
      <c r="DU120" s="128">
        <f t="shared" si="299"/>
        <v>141905.95800339742</v>
      </c>
      <c r="DV120" s="128" t="str">
        <f t="shared" si="300"/>
        <v>nie</v>
      </c>
      <c r="DW120" s="128">
        <f t="shared" si="301"/>
        <v>3000</v>
      </c>
      <c r="DX120" s="128">
        <f t="shared" si="302"/>
        <v>131513.82598275191</v>
      </c>
      <c r="DY120" s="128">
        <f t="shared" si="303"/>
        <v>0</v>
      </c>
      <c r="DZ120" s="130">
        <f t="shared" si="304"/>
        <v>3.5999999999999997E-2</v>
      </c>
      <c r="EA120" s="128">
        <f t="shared" si="305"/>
        <v>0</v>
      </c>
      <c r="EB120" s="128">
        <f t="shared" si="306"/>
        <v>131513.82598275191</v>
      </c>
    </row>
    <row r="121" spans="1:132">
      <c r="A121" s="212"/>
      <c r="B121" s="188">
        <f t="shared" si="307"/>
        <v>77</v>
      </c>
      <c r="C121" s="128">
        <f t="shared" si="308"/>
        <v>124015.20608309319</v>
      </c>
      <c r="D121" s="128">
        <f t="shared" si="309"/>
        <v>123195.02620769783</v>
      </c>
      <c r="E121" s="128">
        <f t="shared" si="310"/>
        <v>124668.50277150814</v>
      </c>
      <c r="F121" s="128">
        <f t="shared" si="311"/>
        <v>124747.52755229064</v>
      </c>
      <c r="G121" s="128">
        <f t="shared" si="312"/>
        <v>128324.5485530259</v>
      </c>
      <c r="H121" s="128">
        <f t="shared" si="313"/>
        <v>128152.82766724822</v>
      </c>
      <c r="I121" s="128">
        <f t="shared" si="314"/>
        <v>131513.82598275191</v>
      </c>
      <c r="J121" s="128">
        <f t="shared" si="315"/>
        <v>120548.62698305419</v>
      </c>
      <c r="K121" s="128">
        <f t="shared" si="316"/>
        <v>121653.80830648258</v>
      </c>
      <c r="M121" s="36"/>
      <c r="N121" s="32">
        <f t="shared" si="317"/>
        <v>77</v>
      </c>
      <c r="O121" s="25">
        <f t="shared" si="318"/>
        <v>0.24015206083093177</v>
      </c>
      <c r="P121" s="25">
        <f t="shared" si="319"/>
        <v>0.23195026207697822</v>
      </c>
      <c r="Q121" s="25">
        <f t="shared" si="320"/>
        <v>0.24668502771508138</v>
      </c>
      <c r="R121" s="25">
        <f t="shared" si="245"/>
        <v>0.24747527552290638</v>
      </c>
      <c r="S121" s="25">
        <f t="shared" si="246"/>
        <v>0.28324548553025908</v>
      </c>
      <c r="T121" s="25">
        <f t="shared" si="247"/>
        <v>0.28152827667248226</v>
      </c>
      <c r="U121" s="25">
        <f t="shared" si="248"/>
        <v>0.31513825982751897</v>
      </c>
      <c r="V121" s="25">
        <f t="shared" si="249"/>
        <v>0.20548626983054197</v>
      </c>
      <c r="W121" s="25">
        <f t="shared" si="250"/>
        <v>0.2165380830648258</v>
      </c>
      <c r="X121" s="36"/>
      <c r="Y121" s="36"/>
      <c r="AA121" s="124">
        <f t="shared" si="321"/>
        <v>78</v>
      </c>
      <c r="AB121" s="128">
        <f t="shared" si="251"/>
        <v>121964.07305823092</v>
      </c>
      <c r="AC121" s="124">
        <f t="shared" si="322"/>
        <v>78</v>
      </c>
      <c r="AD121" s="130">
        <f t="shared" si="323"/>
        <v>3.7499999999999999E-2</v>
      </c>
      <c r="AE121" s="127">
        <f t="shared" si="324"/>
        <v>1229</v>
      </c>
      <c r="AF121" s="128">
        <f t="shared" si="325"/>
        <v>122780.90000000001</v>
      </c>
      <c r="AG121" s="128">
        <f t="shared" si="348"/>
        <v>122900</v>
      </c>
      <c r="AH121" s="128">
        <f t="shared" si="357"/>
        <v>122900</v>
      </c>
      <c r="AI121" s="130">
        <f t="shared" si="252"/>
        <v>3.7499999999999999E-2</v>
      </c>
      <c r="AJ121" s="128">
        <f t="shared" si="253"/>
        <v>123284.0625</v>
      </c>
      <c r="AK121" s="128" t="str">
        <f t="shared" si="254"/>
        <v>nie</v>
      </c>
      <c r="AL121" s="128">
        <f t="shared" si="255"/>
        <v>614.5</v>
      </c>
      <c r="AM121" s="128">
        <f t="shared" ref="AM121:AM184" si="361">AJ121-AL121
-(AJ121-AG121-AL121)*podatek_Belki</f>
        <v>122713.345625</v>
      </c>
      <c r="AN121" s="128">
        <f t="shared" si="256"/>
        <v>311.09062500000005</v>
      </c>
      <c r="AO121" s="130">
        <f t="shared" si="257"/>
        <v>3.5999999999999997E-2</v>
      </c>
      <c r="AP121" s="128">
        <f t="shared" si="258"/>
        <v>1927.9611792250992</v>
      </c>
      <c r="AQ121" s="128">
        <f t="shared" ref="AQ121:AQ184" si="362">AP120*(1+AO121/12*(1-podatek_Belki))+AM121</f>
        <v>124330.2161792251</v>
      </c>
      <c r="AS121" s="124">
        <f t="shared" si="327"/>
        <v>78</v>
      </c>
      <c r="AT121" s="130">
        <f t="shared" si="328"/>
        <v>3.7499999999999999E-2</v>
      </c>
      <c r="AU121" s="127">
        <f t="shared" si="329"/>
        <v>1222</v>
      </c>
      <c r="AV121" s="128">
        <f t="shared" si="330"/>
        <v>122085.40000000001</v>
      </c>
      <c r="AW121" s="128">
        <f t="shared" ref="AW121:AW184" si="363">IF(BA120="tak",
AU121*100,
AW120)</f>
        <v>122200</v>
      </c>
      <c r="AX121" s="128">
        <f t="shared" si="358"/>
        <v>122200</v>
      </c>
      <c r="AY121" s="130">
        <f t="shared" si="259"/>
        <v>3.9E-2</v>
      </c>
      <c r="AZ121" s="128">
        <f t="shared" si="260"/>
        <v>122597.15</v>
      </c>
      <c r="BA121" s="128" t="str">
        <f t="shared" si="261"/>
        <v>nie</v>
      </c>
      <c r="BB121" s="128">
        <f t="shared" si="262"/>
        <v>855.4</v>
      </c>
      <c r="BC121" s="128">
        <f t="shared" si="158"/>
        <v>121828.8175</v>
      </c>
      <c r="BD121" s="128">
        <f t="shared" si="263"/>
        <v>321.6914999999953</v>
      </c>
      <c r="BE121" s="130">
        <f t="shared" si="264"/>
        <v>3.5999999999999997E-2</v>
      </c>
      <c r="BF121" s="128">
        <f t="shared" si="265"/>
        <v>2013.6933052025199</v>
      </c>
      <c r="BG121" s="128">
        <f t="shared" si="159"/>
        <v>123520.81930520253</v>
      </c>
      <c r="BI121" s="124">
        <f t="shared" si="332"/>
        <v>78</v>
      </c>
      <c r="BJ121" s="130">
        <f t="shared" si="354"/>
        <v>3.9100000000000003E-2</v>
      </c>
      <c r="BK121" s="127">
        <f t="shared" si="333"/>
        <v>1237</v>
      </c>
      <c r="BL121" s="128">
        <f t="shared" si="334"/>
        <v>123576.3</v>
      </c>
      <c r="BM121" s="128">
        <f t="shared" si="349"/>
        <v>123700</v>
      </c>
      <c r="BN121" s="128">
        <f t="shared" si="335"/>
        <v>123700</v>
      </c>
      <c r="BO121" s="130">
        <f t="shared" si="266"/>
        <v>4.3999999999999997E-2</v>
      </c>
      <c r="BP121" s="128">
        <f t="shared" si="267"/>
        <v>126421.40000000001</v>
      </c>
      <c r="BQ121" s="128" t="str">
        <f t="shared" si="268"/>
        <v>nie</v>
      </c>
      <c r="BR121" s="128">
        <f t="shared" si="269"/>
        <v>1237</v>
      </c>
      <c r="BS121" s="128">
        <f t="shared" ref="BS121:BS184" si="364">BP121-BR121
-(BP121-BM121-BR121)*podatek_Belki</f>
        <v>124902.364</v>
      </c>
      <c r="BT121" s="128">
        <f t="shared" si="356"/>
        <v>0</v>
      </c>
      <c r="BU121" s="130">
        <f t="shared" si="270"/>
        <v>3.5999999999999997E-2</v>
      </c>
      <c r="BV121" s="128">
        <f t="shared" si="271"/>
        <v>133.85224399290738</v>
      </c>
      <c r="BW121" s="128">
        <f t="shared" ref="BW121:BW184" si="365">BV120*(1+BU121/12*(1-podatek_Belki))+BS121</f>
        <v>125036.21624399291</v>
      </c>
      <c r="BY121" s="130">
        <f t="shared" si="360"/>
        <v>3.1E-2</v>
      </c>
      <c r="BZ121" s="127">
        <f t="shared" si="337"/>
        <v>1158</v>
      </c>
      <c r="CA121" s="128">
        <f t="shared" si="338"/>
        <v>115696.20000000001</v>
      </c>
      <c r="CB121" s="128">
        <f t="shared" ref="CB121:CB184" si="366">IF(CF120="tak",
BZ121*100,
CB120)</f>
        <v>115800</v>
      </c>
      <c r="CC121" s="128">
        <f t="shared" si="359"/>
        <v>115800</v>
      </c>
      <c r="CD121" s="130">
        <f t="shared" si="272"/>
        <v>4.5999999999999999E-2</v>
      </c>
      <c r="CE121" s="128">
        <f t="shared" si="273"/>
        <v>118463.4</v>
      </c>
      <c r="CF121" s="128" t="str">
        <f t="shared" si="274"/>
        <v>nie</v>
      </c>
      <c r="CG121" s="128">
        <f t="shared" si="275"/>
        <v>2316</v>
      </c>
      <c r="CH121" s="128">
        <f t="shared" si="160"/>
        <v>116081.394</v>
      </c>
      <c r="CI121" s="128">
        <f t="shared" si="276"/>
        <v>0</v>
      </c>
      <c r="CJ121" s="130">
        <f t="shared" si="277"/>
        <v>3.5999999999999997E-2</v>
      </c>
      <c r="CK121" s="128">
        <f t="shared" si="278"/>
        <v>9047.6249851927223</v>
      </c>
      <c r="CL121" s="128">
        <f t="shared" si="279"/>
        <v>125129.01898519273</v>
      </c>
      <c r="CN121" s="127">
        <f t="shared" si="340"/>
        <v>1000</v>
      </c>
      <c r="CO121" s="128">
        <f t="shared" si="341"/>
        <v>100000</v>
      </c>
      <c r="CP121" s="128">
        <f t="shared" si="342"/>
        <v>100000</v>
      </c>
      <c r="CQ121" s="128">
        <f t="shared" si="343"/>
        <v>135097.75124653691</v>
      </c>
      <c r="CR121" s="130">
        <f t="shared" si="280"/>
        <v>5.1000000000000004E-2</v>
      </c>
      <c r="CS121" s="128">
        <f t="shared" si="281"/>
        <v>138542.7439033236</v>
      </c>
      <c r="CT121" s="128" t="str">
        <f t="shared" si="282"/>
        <v>nie</v>
      </c>
      <c r="CU121" s="128">
        <f t="shared" si="283"/>
        <v>3000</v>
      </c>
      <c r="CV121" s="128">
        <f t="shared" si="284"/>
        <v>128789.62256169211</v>
      </c>
      <c r="CW121" s="128">
        <f t="shared" si="285"/>
        <v>0</v>
      </c>
      <c r="CX121" s="130">
        <f t="shared" si="286"/>
        <v>3.5999999999999997E-2</v>
      </c>
      <c r="CY121" s="128">
        <f t="shared" si="287"/>
        <v>0</v>
      </c>
      <c r="CZ121" s="128">
        <f t="shared" si="288"/>
        <v>128789.62256169211</v>
      </c>
      <c r="DA121" s="20"/>
      <c r="DB121" s="127">
        <f t="shared" si="350"/>
        <v>1280</v>
      </c>
      <c r="DC121" s="128">
        <f t="shared" si="351"/>
        <v>128000</v>
      </c>
      <c r="DD121" s="128">
        <f t="shared" si="344"/>
        <v>128000</v>
      </c>
      <c r="DE121" s="128">
        <f t="shared" si="345"/>
        <v>128000</v>
      </c>
      <c r="DF121" s="130">
        <f t="shared" si="289"/>
        <v>0.05</v>
      </c>
      <c r="DG121" s="128">
        <f t="shared" si="290"/>
        <v>131200</v>
      </c>
      <c r="DH121" s="128" t="str">
        <f t="shared" si="291"/>
        <v>nie</v>
      </c>
      <c r="DI121" s="128">
        <f t="shared" si="292"/>
        <v>2560</v>
      </c>
      <c r="DJ121" s="128">
        <f t="shared" si="355"/>
        <v>128518.39999999999</v>
      </c>
      <c r="DK121" s="128">
        <f t="shared" si="294"/>
        <v>0</v>
      </c>
      <c r="DL121" s="130">
        <f t="shared" si="295"/>
        <v>3.5999999999999997E-2</v>
      </c>
      <c r="DM121" s="128">
        <f t="shared" si="296"/>
        <v>66.589086479637345</v>
      </c>
      <c r="DN121" s="128">
        <f t="shared" si="297"/>
        <v>128584.98908647963</v>
      </c>
      <c r="DP121" s="127">
        <f t="shared" si="352"/>
        <v>1000</v>
      </c>
      <c r="DQ121" s="128">
        <f t="shared" si="353"/>
        <v>100000</v>
      </c>
      <c r="DR121" s="128">
        <f t="shared" si="346"/>
        <v>100000</v>
      </c>
      <c r="DS121" s="128">
        <f t="shared" si="347"/>
        <v>138670.3172671636</v>
      </c>
      <c r="DT121" s="130">
        <f t="shared" si="298"/>
        <v>5.6000000000000001E-2</v>
      </c>
      <c r="DU121" s="128">
        <f t="shared" si="299"/>
        <v>142553.08615064417</v>
      </c>
      <c r="DV121" s="128" t="str">
        <f t="shared" si="300"/>
        <v>nie</v>
      </c>
      <c r="DW121" s="128">
        <f t="shared" si="301"/>
        <v>3000</v>
      </c>
      <c r="DX121" s="128">
        <f t="shared" si="302"/>
        <v>132037.99978202177</v>
      </c>
      <c r="DY121" s="128">
        <f t="shared" si="303"/>
        <v>0</v>
      </c>
      <c r="DZ121" s="130">
        <f t="shared" si="304"/>
        <v>3.5999999999999997E-2</v>
      </c>
      <c r="EA121" s="128">
        <f t="shared" si="305"/>
        <v>0</v>
      </c>
      <c r="EB121" s="128">
        <f t="shared" si="306"/>
        <v>132037.99978202177</v>
      </c>
    </row>
    <row r="122" spans="1:132">
      <c r="A122" s="212"/>
      <c r="B122" s="188">
        <f t="shared" si="307"/>
        <v>78</v>
      </c>
      <c r="C122" s="128">
        <f t="shared" si="308"/>
        <v>124330.2161792251</v>
      </c>
      <c r="D122" s="128">
        <f t="shared" si="309"/>
        <v>123520.81930520253</v>
      </c>
      <c r="E122" s="128">
        <f t="shared" si="310"/>
        <v>125036.21624399291</v>
      </c>
      <c r="F122" s="128">
        <f t="shared" si="311"/>
        <v>125129.01898519273</v>
      </c>
      <c r="G122" s="128">
        <f t="shared" si="312"/>
        <v>128789.62256169211</v>
      </c>
      <c r="H122" s="128">
        <f t="shared" si="313"/>
        <v>128584.98908647963</v>
      </c>
      <c r="I122" s="128">
        <f t="shared" si="314"/>
        <v>132037.99978202177</v>
      </c>
      <c r="J122" s="128">
        <f t="shared" si="315"/>
        <v>120841.560146623</v>
      </c>
      <c r="K122" s="128">
        <f t="shared" si="316"/>
        <v>121964.07305823092</v>
      </c>
      <c r="M122" s="36"/>
      <c r="N122" s="32">
        <f t="shared" si="317"/>
        <v>78</v>
      </c>
      <c r="O122" s="25">
        <f t="shared" si="318"/>
        <v>0.24330216179225106</v>
      </c>
      <c r="P122" s="25">
        <f t="shared" si="319"/>
        <v>0.23520819305202534</v>
      </c>
      <c r="Q122" s="25">
        <f t="shared" si="320"/>
        <v>0.25036216243992904</v>
      </c>
      <c r="R122" s="25">
        <f t="shared" si="245"/>
        <v>0.2512901898519273</v>
      </c>
      <c r="S122" s="25">
        <f t="shared" si="246"/>
        <v>0.28789622561692108</v>
      </c>
      <c r="T122" s="25">
        <f t="shared" si="247"/>
        <v>0.2858498908647964</v>
      </c>
      <c r="U122" s="25">
        <f t="shared" si="248"/>
        <v>0.32037999782021775</v>
      </c>
      <c r="V122" s="25">
        <f t="shared" si="249"/>
        <v>0.20841560146622995</v>
      </c>
      <c r="W122" s="25">
        <f t="shared" si="250"/>
        <v>0.21964073058230915</v>
      </c>
      <c r="X122" s="36"/>
      <c r="Y122" s="36"/>
      <c r="AA122" s="124">
        <f t="shared" si="321"/>
        <v>79</v>
      </c>
      <c r="AB122" s="128">
        <f t="shared" si="251"/>
        <v>122274.33780997923</v>
      </c>
      <c r="AC122" s="124">
        <f t="shared" si="322"/>
        <v>79</v>
      </c>
      <c r="AD122" s="130">
        <f t="shared" si="323"/>
        <v>3.7499999999999999E-2</v>
      </c>
      <c r="AE122" s="127">
        <f t="shared" si="324"/>
        <v>1229</v>
      </c>
      <c r="AF122" s="128">
        <f t="shared" si="325"/>
        <v>122780.90000000001</v>
      </c>
      <c r="AG122" s="128">
        <f t="shared" si="348"/>
        <v>122900</v>
      </c>
      <c r="AH122" s="128">
        <f t="shared" si="357"/>
        <v>122900</v>
      </c>
      <c r="AI122" s="130">
        <f t="shared" si="252"/>
        <v>3.7499999999999999E-2</v>
      </c>
      <c r="AJ122" s="128">
        <f t="shared" si="253"/>
        <v>123284.0625</v>
      </c>
      <c r="AK122" s="128" t="str">
        <f t="shared" si="254"/>
        <v>nie</v>
      </c>
      <c r="AL122" s="128">
        <f t="shared" si="255"/>
        <v>614.5</v>
      </c>
      <c r="AM122" s="128">
        <f t="shared" si="361"/>
        <v>122713.345625</v>
      </c>
      <c r="AN122" s="128">
        <f t="shared" si="256"/>
        <v>311.09062500000005</v>
      </c>
      <c r="AO122" s="130">
        <f t="shared" si="257"/>
        <v>3.5999999999999997E-2</v>
      </c>
      <c r="AP122" s="128">
        <f t="shared" si="258"/>
        <v>2243.736749890616</v>
      </c>
      <c r="AQ122" s="128">
        <f t="shared" si="362"/>
        <v>124645.99174989061</v>
      </c>
      <c r="AS122" s="124">
        <f t="shared" si="327"/>
        <v>79</v>
      </c>
      <c r="AT122" s="130">
        <f t="shared" si="328"/>
        <v>3.7499999999999999E-2</v>
      </c>
      <c r="AU122" s="127">
        <f t="shared" si="329"/>
        <v>1222</v>
      </c>
      <c r="AV122" s="128">
        <f t="shared" si="330"/>
        <v>122085.40000000001</v>
      </c>
      <c r="AW122" s="128">
        <f t="shared" si="363"/>
        <v>122200</v>
      </c>
      <c r="AX122" s="128">
        <f t="shared" si="358"/>
        <v>122200</v>
      </c>
      <c r="AY122" s="130">
        <f t="shared" si="259"/>
        <v>3.9E-2</v>
      </c>
      <c r="AZ122" s="128">
        <f t="shared" si="260"/>
        <v>122597.15</v>
      </c>
      <c r="BA122" s="128" t="str">
        <f t="shared" si="261"/>
        <v>nie</v>
      </c>
      <c r="BB122" s="128">
        <f t="shared" si="262"/>
        <v>855.4</v>
      </c>
      <c r="BC122" s="128">
        <f t="shared" si="158"/>
        <v>121828.8175</v>
      </c>
      <c r="BD122" s="128">
        <f t="shared" si="263"/>
        <v>321.6914999999953</v>
      </c>
      <c r="BE122" s="130">
        <f t="shared" si="264"/>
        <v>3.5999999999999997E-2</v>
      </c>
      <c r="BF122" s="128">
        <f t="shared" si="265"/>
        <v>2340.2780799341572</v>
      </c>
      <c r="BG122" s="128">
        <f t="shared" si="159"/>
        <v>123847.40407993416</v>
      </c>
      <c r="BI122" s="124">
        <f t="shared" si="332"/>
        <v>79</v>
      </c>
      <c r="BJ122" s="130">
        <f t="shared" si="354"/>
        <v>3.9100000000000003E-2</v>
      </c>
      <c r="BK122" s="127">
        <f t="shared" si="333"/>
        <v>1237</v>
      </c>
      <c r="BL122" s="128">
        <f t="shared" si="334"/>
        <v>123576.3</v>
      </c>
      <c r="BM122" s="128">
        <f t="shared" si="349"/>
        <v>123700</v>
      </c>
      <c r="BN122" s="128">
        <f t="shared" si="335"/>
        <v>123700</v>
      </c>
      <c r="BO122" s="130">
        <f t="shared" si="266"/>
        <v>4.3999999999999997E-2</v>
      </c>
      <c r="BP122" s="128">
        <f t="shared" si="267"/>
        <v>126874.96666666667</v>
      </c>
      <c r="BQ122" s="128" t="str">
        <f t="shared" si="268"/>
        <v>nie</v>
      </c>
      <c r="BR122" s="128">
        <f t="shared" si="269"/>
        <v>1237</v>
      </c>
      <c r="BS122" s="128">
        <f t="shared" si="364"/>
        <v>125269.75300000001</v>
      </c>
      <c r="BT122" s="128">
        <f t="shared" si="356"/>
        <v>0</v>
      </c>
      <c r="BU122" s="130">
        <f t="shared" si="270"/>
        <v>3.5999999999999997E-2</v>
      </c>
      <c r="BV122" s="128">
        <f t="shared" si="271"/>
        <v>134.17750494581014</v>
      </c>
      <c r="BW122" s="128">
        <f t="shared" si="365"/>
        <v>125403.93050494582</v>
      </c>
      <c r="BY122" s="130">
        <f t="shared" si="360"/>
        <v>3.1E-2</v>
      </c>
      <c r="BZ122" s="127">
        <f t="shared" si="337"/>
        <v>1158</v>
      </c>
      <c r="CA122" s="128">
        <f t="shared" si="338"/>
        <v>115696.20000000001</v>
      </c>
      <c r="CB122" s="128">
        <f t="shared" si="366"/>
        <v>115800</v>
      </c>
      <c r="CC122" s="128">
        <f t="shared" si="359"/>
        <v>115800</v>
      </c>
      <c r="CD122" s="130">
        <f t="shared" si="272"/>
        <v>4.5999999999999999E-2</v>
      </c>
      <c r="CE122" s="128">
        <f t="shared" si="273"/>
        <v>118907.29999999999</v>
      </c>
      <c r="CF122" s="128" t="str">
        <f t="shared" si="274"/>
        <v>nie</v>
      </c>
      <c r="CG122" s="128">
        <f t="shared" si="275"/>
        <v>2316</v>
      </c>
      <c r="CH122" s="128">
        <f t="shared" si="160"/>
        <v>116440.95299999999</v>
      </c>
      <c r="CI122" s="128">
        <f t="shared" si="276"/>
        <v>0</v>
      </c>
      <c r="CJ122" s="130">
        <f t="shared" si="277"/>
        <v>3.5999999999999997E-2</v>
      </c>
      <c r="CK122" s="128">
        <f t="shared" si="278"/>
        <v>9069.6107139067408</v>
      </c>
      <c r="CL122" s="128">
        <f t="shared" si="279"/>
        <v>125510.56371390674</v>
      </c>
      <c r="CN122" s="127">
        <f t="shared" si="340"/>
        <v>1000</v>
      </c>
      <c r="CO122" s="128">
        <f t="shared" si="341"/>
        <v>100000</v>
      </c>
      <c r="CP122" s="128">
        <f t="shared" si="342"/>
        <v>100000</v>
      </c>
      <c r="CQ122" s="128">
        <f t="shared" si="343"/>
        <v>135097.75124653691</v>
      </c>
      <c r="CR122" s="130">
        <f t="shared" si="280"/>
        <v>5.1000000000000004E-2</v>
      </c>
      <c r="CS122" s="128">
        <f t="shared" si="281"/>
        <v>139116.90934612136</v>
      </c>
      <c r="CT122" s="128" t="str">
        <f t="shared" si="282"/>
        <v>nie</v>
      </c>
      <c r="CU122" s="128">
        <f t="shared" si="283"/>
        <v>3000</v>
      </c>
      <c r="CV122" s="128">
        <f t="shared" si="284"/>
        <v>129254.6965703583</v>
      </c>
      <c r="CW122" s="128">
        <f t="shared" si="285"/>
        <v>0</v>
      </c>
      <c r="CX122" s="130">
        <f t="shared" si="286"/>
        <v>3.5999999999999997E-2</v>
      </c>
      <c r="CY122" s="128">
        <f t="shared" si="287"/>
        <v>0</v>
      </c>
      <c r="CZ122" s="128">
        <f t="shared" si="288"/>
        <v>129254.6965703583</v>
      </c>
      <c r="DA122" s="20"/>
      <c r="DB122" s="127">
        <f t="shared" si="350"/>
        <v>1280</v>
      </c>
      <c r="DC122" s="128">
        <f t="shared" si="351"/>
        <v>128000</v>
      </c>
      <c r="DD122" s="128">
        <f t="shared" si="344"/>
        <v>128000</v>
      </c>
      <c r="DE122" s="128">
        <f t="shared" si="345"/>
        <v>128000</v>
      </c>
      <c r="DF122" s="130">
        <f t="shared" si="289"/>
        <v>0.05</v>
      </c>
      <c r="DG122" s="128">
        <f t="shared" si="290"/>
        <v>131733.33333333331</v>
      </c>
      <c r="DH122" s="128" t="str">
        <f t="shared" si="291"/>
        <v>nie</v>
      </c>
      <c r="DI122" s="128">
        <f t="shared" si="292"/>
        <v>2560</v>
      </c>
      <c r="DJ122" s="128">
        <f t="shared" si="355"/>
        <v>128950.39999999998</v>
      </c>
      <c r="DK122" s="128">
        <f t="shared" si="294"/>
        <v>0</v>
      </c>
      <c r="DL122" s="130">
        <f t="shared" si="295"/>
        <v>3.5999999999999997E-2</v>
      </c>
      <c r="DM122" s="128">
        <f t="shared" si="296"/>
        <v>66.750897959782861</v>
      </c>
      <c r="DN122" s="128">
        <f t="shared" si="297"/>
        <v>129017.15089795976</v>
      </c>
      <c r="DP122" s="127">
        <f t="shared" si="352"/>
        <v>1000</v>
      </c>
      <c r="DQ122" s="128">
        <f t="shared" si="353"/>
        <v>100000</v>
      </c>
      <c r="DR122" s="128">
        <f t="shared" si="346"/>
        <v>100000</v>
      </c>
      <c r="DS122" s="128">
        <f t="shared" si="347"/>
        <v>138670.3172671636</v>
      </c>
      <c r="DT122" s="130">
        <f t="shared" si="298"/>
        <v>5.6000000000000001E-2</v>
      </c>
      <c r="DU122" s="128">
        <f t="shared" si="299"/>
        <v>143200.21429789093</v>
      </c>
      <c r="DV122" s="128" t="str">
        <f t="shared" si="300"/>
        <v>nie</v>
      </c>
      <c r="DW122" s="128">
        <f t="shared" si="301"/>
        <v>3000</v>
      </c>
      <c r="DX122" s="128">
        <f t="shared" si="302"/>
        <v>132562.17358129166</v>
      </c>
      <c r="DY122" s="128">
        <f t="shared" si="303"/>
        <v>0</v>
      </c>
      <c r="DZ122" s="130">
        <f t="shared" si="304"/>
        <v>3.5999999999999997E-2</v>
      </c>
      <c r="EA122" s="128">
        <f t="shared" si="305"/>
        <v>0</v>
      </c>
      <c r="EB122" s="128">
        <f t="shared" si="306"/>
        <v>132562.17358129166</v>
      </c>
    </row>
    <row r="123" spans="1:132">
      <c r="A123" s="212"/>
      <c r="B123" s="188">
        <f t="shared" si="307"/>
        <v>79</v>
      </c>
      <c r="C123" s="128">
        <f t="shared" si="308"/>
        <v>124645.99174989061</v>
      </c>
      <c r="D123" s="128">
        <f t="shared" si="309"/>
        <v>123847.40407993416</v>
      </c>
      <c r="E123" s="128">
        <f t="shared" si="310"/>
        <v>125403.93050494582</v>
      </c>
      <c r="F123" s="128">
        <f t="shared" si="311"/>
        <v>125510.56371390674</v>
      </c>
      <c r="G123" s="128">
        <f t="shared" si="312"/>
        <v>129254.6965703583</v>
      </c>
      <c r="H123" s="128">
        <f t="shared" si="313"/>
        <v>129017.15089795976</v>
      </c>
      <c r="I123" s="128">
        <f t="shared" si="314"/>
        <v>132562.17358129166</v>
      </c>
      <c r="J123" s="128">
        <f t="shared" si="315"/>
        <v>121135.20513777928</v>
      </c>
      <c r="K123" s="128">
        <f t="shared" si="316"/>
        <v>122274.33780997923</v>
      </c>
      <c r="M123" s="36"/>
      <c r="N123" s="32">
        <f t="shared" si="317"/>
        <v>79</v>
      </c>
      <c r="O123" s="25">
        <f t="shared" si="318"/>
        <v>0.24645991749890617</v>
      </c>
      <c r="P123" s="25">
        <f t="shared" si="319"/>
        <v>0.23847404079934154</v>
      </c>
      <c r="Q123" s="25">
        <f t="shared" si="320"/>
        <v>0.25403930504945826</v>
      </c>
      <c r="R123" s="25">
        <f t="shared" si="245"/>
        <v>0.25510563713906742</v>
      </c>
      <c r="S123" s="25">
        <f t="shared" si="246"/>
        <v>0.29254696570358307</v>
      </c>
      <c r="T123" s="25">
        <f t="shared" si="247"/>
        <v>0.29017150897959754</v>
      </c>
      <c r="U123" s="25">
        <f t="shared" si="248"/>
        <v>0.32562173581291654</v>
      </c>
      <c r="V123" s="25">
        <f t="shared" si="249"/>
        <v>0.21135205137779289</v>
      </c>
      <c r="W123" s="25">
        <f t="shared" si="250"/>
        <v>0.22274337809979228</v>
      </c>
      <c r="X123" s="36"/>
      <c r="Y123" s="36"/>
      <c r="AA123" s="124">
        <f t="shared" si="321"/>
        <v>80</v>
      </c>
      <c r="AB123" s="128">
        <f t="shared" si="251"/>
        <v>122584.60256172756</v>
      </c>
      <c r="AC123" s="124">
        <f t="shared" si="322"/>
        <v>80</v>
      </c>
      <c r="AD123" s="130">
        <f t="shared" si="323"/>
        <v>3.7499999999999999E-2</v>
      </c>
      <c r="AE123" s="127">
        <f t="shared" si="324"/>
        <v>1229</v>
      </c>
      <c r="AF123" s="128">
        <f t="shared" si="325"/>
        <v>122780.90000000001</v>
      </c>
      <c r="AG123" s="128">
        <f t="shared" si="348"/>
        <v>122900</v>
      </c>
      <c r="AH123" s="128">
        <f t="shared" si="357"/>
        <v>122900</v>
      </c>
      <c r="AI123" s="130">
        <f t="shared" si="252"/>
        <v>3.7499999999999999E-2</v>
      </c>
      <c r="AJ123" s="128">
        <f t="shared" si="253"/>
        <v>123284.0625</v>
      </c>
      <c r="AK123" s="128" t="str">
        <f t="shared" si="254"/>
        <v>nie</v>
      </c>
      <c r="AL123" s="128">
        <f t="shared" si="255"/>
        <v>614.5</v>
      </c>
      <c r="AM123" s="128">
        <f t="shared" si="361"/>
        <v>122713.345625</v>
      </c>
      <c r="AN123" s="128">
        <f t="shared" si="256"/>
        <v>311.09062500000005</v>
      </c>
      <c r="AO123" s="130">
        <f t="shared" si="257"/>
        <v>3.5999999999999997E-2</v>
      </c>
      <c r="AP123" s="128">
        <f t="shared" si="258"/>
        <v>2560.2796551928504</v>
      </c>
      <c r="AQ123" s="128">
        <f t="shared" si="362"/>
        <v>124962.53465519285</v>
      </c>
      <c r="AS123" s="124">
        <f t="shared" si="327"/>
        <v>80</v>
      </c>
      <c r="AT123" s="130">
        <f t="shared" si="328"/>
        <v>3.7499999999999999E-2</v>
      </c>
      <c r="AU123" s="127">
        <f t="shared" si="329"/>
        <v>1222</v>
      </c>
      <c r="AV123" s="128">
        <f t="shared" si="330"/>
        <v>122085.40000000001</v>
      </c>
      <c r="AW123" s="128">
        <f t="shared" si="363"/>
        <v>122200</v>
      </c>
      <c r="AX123" s="128">
        <f t="shared" si="358"/>
        <v>122200</v>
      </c>
      <c r="AY123" s="130">
        <f t="shared" si="259"/>
        <v>3.9E-2</v>
      </c>
      <c r="AZ123" s="128">
        <f t="shared" si="260"/>
        <v>122597.15</v>
      </c>
      <c r="BA123" s="128" t="str">
        <f t="shared" si="261"/>
        <v>nie</v>
      </c>
      <c r="BB123" s="128">
        <f t="shared" si="262"/>
        <v>855.4</v>
      </c>
      <c r="BC123" s="128">
        <f t="shared" si="158"/>
        <v>121828.8175</v>
      </c>
      <c r="BD123" s="128">
        <f t="shared" si="263"/>
        <v>321.6914999999953</v>
      </c>
      <c r="BE123" s="130">
        <f t="shared" si="264"/>
        <v>3.5999999999999997E-2</v>
      </c>
      <c r="BF123" s="128">
        <f t="shared" si="265"/>
        <v>2667.6564556683925</v>
      </c>
      <c r="BG123" s="128">
        <f t="shared" si="159"/>
        <v>124174.78245566841</v>
      </c>
      <c r="BI123" s="124">
        <f t="shared" si="332"/>
        <v>80</v>
      </c>
      <c r="BJ123" s="130">
        <f t="shared" si="354"/>
        <v>3.9100000000000003E-2</v>
      </c>
      <c r="BK123" s="127">
        <f t="shared" si="333"/>
        <v>1237</v>
      </c>
      <c r="BL123" s="128">
        <f t="shared" si="334"/>
        <v>123576.3</v>
      </c>
      <c r="BM123" s="128">
        <f t="shared" si="349"/>
        <v>123700</v>
      </c>
      <c r="BN123" s="128">
        <f t="shared" si="335"/>
        <v>123700</v>
      </c>
      <c r="BO123" s="130">
        <f t="shared" si="266"/>
        <v>4.3999999999999997E-2</v>
      </c>
      <c r="BP123" s="128">
        <f t="shared" si="267"/>
        <v>127328.53333333334</v>
      </c>
      <c r="BQ123" s="128" t="str">
        <f t="shared" si="268"/>
        <v>nie</v>
      </c>
      <c r="BR123" s="128">
        <f t="shared" si="269"/>
        <v>1237</v>
      </c>
      <c r="BS123" s="128">
        <f t="shared" si="364"/>
        <v>125637.14200000001</v>
      </c>
      <c r="BT123" s="128">
        <f t="shared" si="356"/>
        <v>0</v>
      </c>
      <c r="BU123" s="130">
        <f t="shared" si="270"/>
        <v>3.5999999999999997E-2</v>
      </c>
      <c r="BV123" s="128">
        <f t="shared" si="271"/>
        <v>134.50355628282844</v>
      </c>
      <c r="BW123" s="128">
        <f t="shared" si="365"/>
        <v>125771.64555628283</v>
      </c>
      <c r="BY123" s="130">
        <f t="shared" si="360"/>
        <v>3.1E-2</v>
      </c>
      <c r="BZ123" s="127">
        <f t="shared" si="337"/>
        <v>1158</v>
      </c>
      <c r="CA123" s="128">
        <f t="shared" si="338"/>
        <v>115696.20000000001</v>
      </c>
      <c r="CB123" s="128">
        <f t="shared" si="366"/>
        <v>115800</v>
      </c>
      <c r="CC123" s="128">
        <f t="shared" si="359"/>
        <v>115800</v>
      </c>
      <c r="CD123" s="130">
        <f t="shared" si="272"/>
        <v>4.5999999999999999E-2</v>
      </c>
      <c r="CE123" s="128">
        <f t="shared" si="273"/>
        <v>119351.2</v>
      </c>
      <c r="CF123" s="128" t="str">
        <f t="shared" si="274"/>
        <v>nie</v>
      </c>
      <c r="CG123" s="128">
        <f t="shared" si="275"/>
        <v>2316</v>
      </c>
      <c r="CH123" s="128">
        <f t="shared" si="160"/>
        <v>116800.512</v>
      </c>
      <c r="CI123" s="128">
        <f t="shared" si="276"/>
        <v>0</v>
      </c>
      <c r="CJ123" s="130">
        <f t="shared" si="277"/>
        <v>3.5999999999999997E-2</v>
      </c>
      <c r="CK123" s="128">
        <f t="shared" si="278"/>
        <v>9091.6498679415326</v>
      </c>
      <c r="CL123" s="128">
        <f t="shared" si="279"/>
        <v>125892.16186794154</v>
      </c>
      <c r="CN123" s="127">
        <f t="shared" si="340"/>
        <v>1000</v>
      </c>
      <c r="CO123" s="128">
        <f t="shared" si="341"/>
        <v>100000</v>
      </c>
      <c r="CP123" s="128">
        <f t="shared" si="342"/>
        <v>100000</v>
      </c>
      <c r="CQ123" s="128">
        <f t="shared" si="343"/>
        <v>135097.75124653691</v>
      </c>
      <c r="CR123" s="130">
        <f t="shared" si="280"/>
        <v>5.1000000000000004E-2</v>
      </c>
      <c r="CS123" s="128">
        <f t="shared" si="281"/>
        <v>139691.07478891916</v>
      </c>
      <c r="CT123" s="128" t="str">
        <f t="shared" si="282"/>
        <v>nie</v>
      </c>
      <c r="CU123" s="128">
        <f t="shared" si="283"/>
        <v>3000</v>
      </c>
      <c r="CV123" s="128">
        <f t="shared" si="284"/>
        <v>129719.77057902451</v>
      </c>
      <c r="CW123" s="128">
        <f t="shared" si="285"/>
        <v>0</v>
      </c>
      <c r="CX123" s="130">
        <f t="shared" si="286"/>
        <v>3.5999999999999997E-2</v>
      </c>
      <c r="CY123" s="128">
        <f t="shared" si="287"/>
        <v>0</v>
      </c>
      <c r="CZ123" s="128">
        <f t="shared" si="288"/>
        <v>129719.77057902451</v>
      </c>
      <c r="DA123" s="20"/>
      <c r="DB123" s="127">
        <f t="shared" si="350"/>
        <v>1280</v>
      </c>
      <c r="DC123" s="128">
        <f t="shared" si="351"/>
        <v>128000</v>
      </c>
      <c r="DD123" s="128">
        <f t="shared" si="344"/>
        <v>128000</v>
      </c>
      <c r="DE123" s="128">
        <f t="shared" si="345"/>
        <v>128000</v>
      </c>
      <c r="DF123" s="130">
        <f t="shared" si="289"/>
        <v>0.05</v>
      </c>
      <c r="DG123" s="128">
        <f t="shared" si="290"/>
        <v>132266.66666666669</v>
      </c>
      <c r="DH123" s="128" t="str">
        <f t="shared" si="291"/>
        <v>nie</v>
      </c>
      <c r="DI123" s="128">
        <f t="shared" si="292"/>
        <v>2560</v>
      </c>
      <c r="DJ123" s="128">
        <f t="shared" si="355"/>
        <v>129382.40000000001</v>
      </c>
      <c r="DK123" s="128">
        <f t="shared" si="294"/>
        <v>0</v>
      </c>
      <c r="DL123" s="130">
        <f t="shared" si="295"/>
        <v>3.5999999999999997E-2</v>
      </c>
      <c r="DM123" s="128">
        <f t="shared" si="296"/>
        <v>66.913102641825134</v>
      </c>
      <c r="DN123" s="128">
        <f t="shared" si="297"/>
        <v>129449.31310264183</v>
      </c>
      <c r="DP123" s="127">
        <f t="shared" si="352"/>
        <v>1000</v>
      </c>
      <c r="DQ123" s="128">
        <f t="shared" si="353"/>
        <v>100000</v>
      </c>
      <c r="DR123" s="128">
        <f t="shared" si="346"/>
        <v>100000</v>
      </c>
      <c r="DS123" s="128">
        <f t="shared" si="347"/>
        <v>138670.3172671636</v>
      </c>
      <c r="DT123" s="130">
        <f t="shared" si="298"/>
        <v>5.6000000000000001E-2</v>
      </c>
      <c r="DU123" s="128">
        <f t="shared" si="299"/>
        <v>143847.34244513771</v>
      </c>
      <c r="DV123" s="128" t="str">
        <f t="shared" si="300"/>
        <v>nie</v>
      </c>
      <c r="DW123" s="128">
        <f t="shared" si="301"/>
        <v>3000</v>
      </c>
      <c r="DX123" s="128">
        <f t="shared" si="302"/>
        <v>133086.34738056155</v>
      </c>
      <c r="DY123" s="128">
        <f t="shared" si="303"/>
        <v>0</v>
      </c>
      <c r="DZ123" s="130">
        <f t="shared" si="304"/>
        <v>3.5999999999999997E-2</v>
      </c>
      <c r="EA123" s="128">
        <f t="shared" si="305"/>
        <v>0</v>
      </c>
      <c r="EB123" s="128">
        <f t="shared" si="306"/>
        <v>133086.34738056155</v>
      </c>
    </row>
    <row r="124" spans="1:132">
      <c r="A124" s="212"/>
      <c r="B124" s="188">
        <f t="shared" si="307"/>
        <v>80</v>
      </c>
      <c r="C124" s="128">
        <f t="shared" si="308"/>
        <v>124962.53465519285</v>
      </c>
      <c r="D124" s="128">
        <f t="shared" si="309"/>
        <v>124174.78245566841</v>
      </c>
      <c r="E124" s="128">
        <f t="shared" si="310"/>
        <v>125771.64555628283</v>
      </c>
      <c r="F124" s="128">
        <f t="shared" si="311"/>
        <v>125892.16186794154</v>
      </c>
      <c r="G124" s="128">
        <f t="shared" si="312"/>
        <v>129719.77057902451</v>
      </c>
      <c r="H124" s="128">
        <f t="shared" si="313"/>
        <v>129449.31310264183</v>
      </c>
      <c r="I124" s="128">
        <f t="shared" si="314"/>
        <v>133086.34738056155</v>
      </c>
      <c r="J124" s="128">
        <f t="shared" si="315"/>
        <v>121429.56368626408</v>
      </c>
      <c r="K124" s="128">
        <f t="shared" si="316"/>
        <v>122584.60256172756</v>
      </c>
      <c r="M124" s="36"/>
      <c r="N124" s="32">
        <f t="shared" si="317"/>
        <v>80</v>
      </c>
      <c r="O124" s="25">
        <f t="shared" si="318"/>
        <v>0.24962534655192847</v>
      </c>
      <c r="P124" s="25">
        <f t="shared" si="319"/>
        <v>0.24174782455668398</v>
      </c>
      <c r="Q124" s="25">
        <f t="shared" si="320"/>
        <v>0.25771645556282841</v>
      </c>
      <c r="R124" s="25">
        <f t="shared" si="245"/>
        <v>0.25892161867941543</v>
      </c>
      <c r="S124" s="25">
        <f t="shared" si="246"/>
        <v>0.29719770579024507</v>
      </c>
      <c r="T124" s="25">
        <f t="shared" si="247"/>
        <v>0.29449313102641828</v>
      </c>
      <c r="U124" s="25">
        <f t="shared" si="248"/>
        <v>0.33086347380561554</v>
      </c>
      <c r="V124" s="25">
        <f t="shared" si="249"/>
        <v>0.21429563686264075</v>
      </c>
      <c r="W124" s="25">
        <f t="shared" si="250"/>
        <v>0.22584602561727563</v>
      </c>
      <c r="X124" s="36"/>
      <c r="Y124" s="36"/>
      <c r="AA124" s="124">
        <f t="shared" si="321"/>
        <v>81</v>
      </c>
      <c r="AB124" s="128">
        <f t="shared" si="251"/>
        <v>122894.8673134759</v>
      </c>
      <c r="AC124" s="124">
        <f t="shared" si="322"/>
        <v>81</v>
      </c>
      <c r="AD124" s="130">
        <f t="shared" si="323"/>
        <v>3.7499999999999999E-2</v>
      </c>
      <c r="AE124" s="127">
        <f t="shared" si="324"/>
        <v>1229</v>
      </c>
      <c r="AF124" s="128">
        <f t="shared" si="325"/>
        <v>122780.90000000001</v>
      </c>
      <c r="AG124" s="128">
        <f t="shared" si="348"/>
        <v>122900</v>
      </c>
      <c r="AH124" s="128">
        <f t="shared" si="357"/>
        <v>122900</v>
      </c>
      <c r="AI124" s="130">
        <f t="shared" si="252"/>
        <v>3.7499999999999999E-2</v>
      </c>
      <c r="AJ124" s="128">
        <f t="shared" si="253"/>
        <v>123284.0625</v>
      </c>
      <c r="AK124" s="128" t="str">
        <f t="shared" si="254"/>
        <v>nie</v>
      </c>
      <c r="AL124" s="128">
        <f t="shared" si="255"/>
        <v>614.5</v>
      </c>
      <c r="AM124" s="128">
        <f t="shared" si="361"/>
        <v>122713.345625</v>
      </c>
      <c r="AN124" s="128">
        <f t="shared" si="256"/>
        <v>311.09062500000005</v>
      </c>
      <c r="AO124" s="130">
        <f t="shared" si="257"/>
        <v>3.5999999999999997E-2</v>
      </c>
      <c r="AP124" s="128">
        <f t="shared" si="258"/>
        <v>2877.5917597549687</v>
      </c>
      <c r="AQ124" s="128">
        <f t="shared" si="362"/>
        <v>125279.84675975498</v>
      </c>
      <c r="AS124" s="124">
        <f t="shared" si="327"/>
        <v>81</v>
      </c>
      <c r="AT124" s="130">
        <f t="shared" si="328"/>
        <v>3.7499999999999999E-2</v>
      </c>
      <c r="AU124" s="127">
        <f t="shared" si="329"/>
        <v>1222</v>
      </c>
      <c r="AV124" s="128">
        <f t="shared" si="330"/>
        <v>122085.40000000001</v>
      </c>
      <c r="AW124" s="128">
        <f t="shared" si="363"/>
        <v>122200</v>
      </c>
      <c r="AX124" s="128">
        <f t="shared" si="358"/>
        <v>122200</v>
      </c>
      <c r="AY124" s="130">
        <f t="shared" si="259"/>
        <v>3.9E-2</v>
      </c>
      <c r="AZ124" s="128">
        <f t="shared" si="260"/>
        <v>122597.15</v>
      </c>
      <c r="BA124" s="128" t="str">
        <f t="shared" si="261"/>
        <v>nie</v>
      </c>
      <c r="BB124" s="128">
        <f t="shared" si="262"/>
        <v>855.4</v>
      </c>
      <c r="BC124" s="128">
        <f t="shared" si="158"/>
        <v>121828.8175</v>
      </c>
      <c r="BD124" s="128">
        <f t="shared" si="263"/>
        <v>321.6914999999953</v>
      </c>
      <c r="BE124" s="130">
        <f t="shared" si="264"/>
        <v>3.5999999999999997E-2</v>
      </c>
      <c r="BF124" s="128">
        <f t="shared" si="265"/>
        <v>2995.8303608556616</v>
      </c>
      <c r="BG124" s="128">
        <f t="shared" si="159"/>
        <v>124502.95636085566</v>
      </c>
      <c r="BI124" s="124">
        <f t="shared" si="332"/>
        <v>81</v>
      </c>
      <c r="BJ124" s="130">
        <f t="shared" si="354"/>
        <v>3.9100000000000003E-2</v>
      </c>
      <c r="BK124" s="127">
        <f t="shared" si="333"/>
        <v>1237</v>
      </c>
      <c r="BL124" s="128">
        <f t="shared" si="334"/>
        <v>123576.3</v>
      </c>
      <c r="BM124" s="128">
        <f t="shared" si="349"/>
        <v>123700</v>
      </c>
      <c r="BN124" s="128">
        <f t="shared" si="335"/>
        <v>123700</v>
      </c>
      <c r="BO124" s="130">
        <f t="shared" si="266"/>
        <v>4.3999999999999997E-2</v>
      </c>
      <c r="BP124" s="128">
        <f t="shared" si="267"/>
        <v>127782.09999999999</v>
      </c>
      <c r="BQ124" s="128" t="str">
        <f t="shared" si="268"/>
        <v>nie</v>
      </c>
      <c r="BR124" s="128">
        <f t="shared" si="269"/>
        <v>1237</v>
      </c>
      <c r="BS124" s="128">
        <f t="shared" si="364"/>
        <v>126004.53099999999</v>
      </c>
      <c r="BT124" s="128">
        <f t="shared" si="356"/>
        <v>0</v>
      </c>
      <c r="BU124" s="130">
        <f t="shared" si="270"/>
        <v>3.5999999999999997E-2</v>
      </c>
      <c r="BV124" s="128">
        <f t="shared" si="271"/>
        <v>134.8303999245957</v>
      </c>
      <c r="BW124" s="128">
        <f t="shared" si="365"/>
        <v>126139.36139992459</v>
      </c>
      <c r="BY124" s="130">
        <f t="shared" si="360"/>
        <v>3.1E-2</v>
      </c>
      <c r="BZ124" s="127">
        <f t="shared" si="337"/>
        <v>1158</v>
      </c>
      <c r="CA124" s="128">
        <f t="shared" si="338"/>
        <v>115696.20000000001</v>
      </c>
      <c r="CB124" s="128">
        <f t="shared" si="366"/>
        <v>115800</v>
      </c>
      <c r="CC124" s="128">
        <f t="shared" si="359"/>
        <v>115800</v>
      </c>
      <c r="CD124" s="130">
        <f t="shared" si="272"/>
        <v>4.5999999999999999E-2</v>
      </c>
      <c r="CE124" s="128">
        <f t="shared" si="273"/>
        <v>119795.09999999999</v>
      </c>
      <c r="CF124" s="128" t="str">
        <f t="shared" si="274"/>
        <v>nie</v>
      </c>
      <c r="CG124" s="128">
        <f t="shared" si="275"/>
        <v>2316</v>
      </c>
      <c r="CH124" s="128">
        <f t="shared" si="160"/>
        <v>117160.071</v>
      </c>
      <c r="CI124" s="128">
        <f t="shared" si="276"/>
        <v>0</v>
      </c>
      <c r="CJ124" s="130">
        <f t="shared" si="277"/>
        <v>3.5999999999999997E-2</v>
      </c>
      <c r="CK124" s="128">
        <f t="shared" si="278"/>
        <v>9113.7425771206308</v>
      </c>
      <c r="CL124" s="128">
        <f t="shared" si="279"/>
        <v>126273.81357712063</v>
      </c>
      <c r="CN124" s="127">
        <f t="shared" si="340"/>
        <v>1000</v>
      </c>
      <c r="CO124" s="128">
        <f t="shared" si="341"/>
        <v>100000</v>
      </c>
      <c r="CP124" s="128">
        <f t="shared" si="342"/>
        <v>100000</v>
      </c>
      <c r="CQ124" s="128">
        <f t="shared" si="343"/>
        <v>135097.75124653691</v>
      </c>
      <c r="CR124" s="130">
        <f t="shared" si="280"/>
        <v>5.1000000000000004E-2</v>
      </c>
      <c r="CS124" s="128">
        <f t="shared" si="281"/>
        <v>140265.24023171692</v>
      </c>
      <c r="CT124" s="128" t="str">
        <f t="shared" si="282"/>
        <v>nie</v>
      </c>
      <c r="CU124" s="128">
        <f t="shared" si="283"/>
        <v>3000</v>
      </c>
      <c r="CV124" s="128">
        <f t="shared" si="284"/>
        <v>130184.84458769071</v>
      </c>
      <c r="CW124" s="128">
        <f t="shared" si="285"/>
        <v>0</v>
      </c>
      <c r="CX124" s="130">
        <f t="shared" si="286"/>
        <v>3.5999999999999997E-2</v>
      </c>
      <c r="CY124" s="128">
        <f t="shared" si="287"/>
        <v>0</v>
      </c>
      <c r="CZ124" s="128">
        <f t="shared" si="288"/>
        <v>130184.84458769071</v>
      </c>
      <c r="DA124" s="20"/>
      <c r="DB124" s="127">
        <f t="shared" si="350"/>
        <v>1280</v>
      </c>
      <c r="DC124" s="128">
        <f t="shared" si="351"/>
        <v>128000</v>
      </c>
      <c r="DD124" s="128">
        <f t="shared" si="344"/>
        <v>128000</v>
      </c>
      <c r="DE124" s="128">
        <f t="shared" si="345"/>
        <v>128000</v>
      </c>
      <c r="DF124" s="130">
        <f t="shared" si="289"/>
        <v>0.05</v>
      </c>
      <c r="DG124" s="128">
        <f t="shared" si="290"/>
        <v>132800</v>
      </c>
      <c r="DH124" s="128" t="str">
        <f t="shared" si="291"/>
        <v>nie</v>
      </c>
      <c r="DI124" s="128">
        <f t="shared" si="292"/>
        <v>2560</v>
      </c>
      <c r="DJ124" s="128">
        <f t="shared" si="355"/>
        <v>129814.39999999999</v>
      </c>
      <c r="DK124" s="128">
        <f t="shared" si="294"/>
        <v>0</v>
      </c>
      <c r="DL124" s="130">
        <f t="shared" si="295"/>
        <v>3.5999999999999997E-2</v>
      </c>
      <c r="DM124" s="128">
        <f t="shared" si="296"/>
        <v>67.075701481244764</v>
      </c>
      <c r="DN124" s="128">
        <f t="shared" si="297"/>
        <v>129881.47570148123</v>
      </c>
      <c r="DP124" s="127">
        <f t="shared" si="352"/>
        <v>1000</v>
      </c>
      <c r="DQ124" s="128">
        <f t="shared" si="353"/>
        <v>100000</v>
      </c>
      <c r="DR124" s="128">
        <f t="shared" si="346"/>
        <v>100000</v>
      </c>
      <c r="DS124" s="128">
        <f t="shared" si="347"/>
        <v>138670.3172671636</v>
      </c>
      <c r="DT124" s="130">
        <f t="shared" si="298"/>
        <v>5.6000000000000001E-2</v>
      </c>
      <c r="DU124" s="128">
        <f t="shared" si="299"/>
        <v>144494.47059238449</v>
      </c>
      <c r="DV124" s="128" t="str">
        <f t="shared" si="300"/>
        <v>nie</v>
      </c>
      <c r="DW124" s="128">
        <f t="shared" si="301"/>
        <v>3000</v>
      </c>
      <c r="DX124" s="128">
        <f t="shared" si="302"/>
        <v>133610.52117983144</v>
      </c>
      <c r="DY124" s="128">
        <f t="shared" si="303"/>
        <v>0</v>
      </c>
      <c r="DZ124" s="130">
        <f t="shared" si="304"/>
        <v>3.5999999999999997E-2</v>
      </c>
      <c r="EA124" s="128">
        <f t="shared" si="305"/>
        <v>0</v>
      </c>
      <c r="EB124" s="128">
        <f t="shared" si="306"/>
        <v>133610.52117983144</v>
      </c>
    </row>
    <row r="125" spans="1:132">
      <c r="A125" s="212"/>
      <c r="B125" s="188">
        <f t="shared" si="307"/>
        <v>81</v>
      </c>
      <c r="C125" s="128">
        <f t="shared" si="308"/>
        <v>125279.84675975498</v>
      </c>
      <c r="D125" s="128">
        <f t="shared" si="309"/>
        <v>124502.95636085566</v>
      </c>
      <c r="E125" s="128">
        <f t="shared" si="310"/>
        <v>126139.36139992459</v>
      </c>
      <c r="F125" s="128">
        <f t="shared" si="311"/>
        <v>126273.81357712063</v>
      </c>
      <c r="G125" s="128">
        <f t="shared" si="312"/>
        <v>130184.84458769071</v>
      </c>
      <c r="H125" s="128">
        <f t="shared" si="313"/>
        <v>129881.47570148123</v>
      </c>
      <c r="I125" s="128">
        <f t="shared" si="314"/>
        <v>133610.52117983144</v>
      </c>
      <c r="J125" s="128">
        <f t="shared" si="315"/>
        <v>121724.6375260217</v>
      </c>
      <c r="K125" s="128">
        <f t="shared" si="316"/>
        <v>122894.8673134759</v>
      </c>
      <c r="M125" s="36"/>
      <c r="N125" s="32">
        <f t="shared" si="317"/>
        <v>81</v>
      </c>
      <c r="O125" s="25">
        <f t="shared" si="318"/>
        <v>0.25279846759754965</v>
      </c>
      <c r="P125" s="25">
        <f t="shared" si="319"/>
        <v>0.24502956360855666</v>
      </c>
      <c r="Q125" s="25">
        <f t="shared" si="320"/>
        <v>0.26139361399924588</v>
      </c>
      <c r="R125" s="25">
        <f t="shared" si="245"/>
        <v>0.26273813577120619</v>
      </c>
      <c r="S125" s="25">
        <f t="shared" si="246"/>
        <v>0.30184844587690707</v>
      </c>
      <c r="T125" s="25">
        <f t="shared" si="247"/>
        <v>0.2988147570148123</v>
      </c>
      <c r="U125" s="25">
        <f t="shared" si="248"/>
        <v>0.33610521179831432</v>
      </c>
      <c r="V125" s="25">
        <f t="shared" si="249"/>
        <v>0.21724637526021695</v>
      </c>
      <c r="W125" s="25">
        <f t="shared" si="250"/>
        <v>0.22894867313475897</v>
      </c>
      <c r="X125" s="36"/>
      <c r="Y125" s="36"/>
      <c r="AA125" s="124">
        <f t="shared" si="321"/>
        <v>82</v>
      </c>
      <c r="AB125" s="128">
        <f t="shared" si="251"/>
        <v>123205.13206522424</v>
      </c>
      <c r="AC125" s="124">
        <f t="shared" si="322"/>
        <v>82</v>
      </c>
      <c r="AD125" s="130">
        <f t="shared" si="323"/>
        <v>3.7499999999999999E-2</v>
      </c>
      <c r="AE125" s="127">
        <f t="shared" si="324"/>
        <v>1229</v>
      </c>
      <c r="AF125" s="128">
        <f t="shared" si="325"/>
        <v>122780.90000000001</v>
      </c>
      <c r="AG125" s="128">
        <f t="shared" si="348"/>
        <v>122900</v>
      </c>
      <c r="AH125" s="128">
        <f t="shared" si="357"/>
        <v>122900</v>
      </c>
      <c r="AI125" s="130">
        <f t="shared" si="252"/>
        <v>3.7499999999999999E-2</v>
      </c>
      <c r="AJ125" s="128">
        <f t="shared" si="253"/>
        <v>123284.0625</v>
      </c>
      <c r="AK125" s="128" t="str">
        <f t="shared" si="254"/>
        <v>nie</v>
      </c>
      <c r="AL125" s="128">
        <f t="shared" si="255"/>
        <v>614.5</v>
      </c>
      <c r="AM125" s="128">
        <f t="shared" si="361"/>
        <v>122713.345625</v>
      </c>
      <c r="AN125" s="128">
        <f t="shared" si="256"/>
        <v>311.09062500000005</v>
      </c>
      <c r="AO125" s="130">
        <f t="shared" si="257"/>
        <v>3.5999999999999997E-2</v>
      </c>
      <c r="AP125" s="128">
        <f t="shared" si="258"/>
        <v>3195.6749327311736</v>
      </c>
      <c r="AQ125" s="128">
        <f t="shared" si="362"/>
        <v>125597.92993273117</v>
      </c>
      <c r="AS125" s="124">
        <f t="shared" si="327"/>
        <v>82</v>
      </c>
      <c r="AT125" s="130">
        <f t="shared" si="328"/>
        <v>3.7499999999999999E-2</v>
      </c>
      <c r="AU125" s="127">
        <f t="shared" si="329"/>
        <v>1222</v>
      </c>
      <c r="AV125" s="128">
        <f t="shared" si="330"/>
        <v>122085.40000000001</v>
      </c>
      <c r="AW125" s="128">
        <f t="shared" si="363"/>
        <v>122200</v>
      </c>
      <c r="AX125" s="128">
        <f t="shared" si="358"/>
        <v>122200</v>
      </c>
      <c r="AY125" s="130">
        <f t="shared" si="259"/>
        <v>3.9E-2</v>
      </c>
      <c r="AZ125" s="128">
        <f t="shared" si="260"/>
        <v>122597.15</v>
      </c>
      <c r="BA125" s="128" t="str">
        <f t="shared" si="261"/>
        <v>nie</v>
      </c>
      <c r="BB125" s="128">
        <f t="shared" si="262"/>
        <v>855.4</v>
      </c>
      <c r="BC125" s="128">
        <f t="shared" si="158"/>
        <v>121828.8175</v>
      </c>
      <c r="BD125" s="128">
        <f t="shared" si="263"/>
        <v>321.6914999999953</v>
      </c>
      <c r="BE125" s="130">
        <f t="shared" si="264"/>
        <v>3.5999999999999997E-2</v>
      </c>
      <c r="BF125" s="128">
        <f t="shared" si="265"/>
        <v>3324.8017286325362</v>
      </c>
      <c r="BG125" s="128">
        <f t="shared" si="159"/>
        <v>124831.92772863255</v>
      </c>
      <c r="BI125" s="124">
        <f t="shared" si="332"/>
        <v>82</v>
      </c>
      <c r="BJ125" s="130">
        <f t="shared" si="354"/>
        <v>3.9100000000000003E-2</v>
      </c>
      <c r="BK125" s="127">
        <f t="shared" si="333"/>
        <v>1237</v>
      </c>
      <c r="BL125" s="128">
        <f t="shared" si="334"/>
        <v>123576.3</v>
      </c>
      <c r="BM125" s="128">
        <f t="shared" si="349"/>
        <v>123700</v>
      </c>
      <c r="BN125" s="128">
        <f t="shared" si="335"/>
        <v>123700</v>
      </c>
      <c r="BO125" s="130">
        <f t="shared" si="266"/>
        <v>4.3999999999999997E-2</v>
      </c>
      <c r="BP125" s="128">
        <f t="shared" si="267"/>
        <v>128235.66666666666</v>
      </c>
      <c r="BQ125" s="128" t="str">
        <f t="shared" si="268"/>
        <v>nie</v>
      </c>
      <c r="BR125" s="128">
        <f t="shared" si="269"/>
        <v>1237</v>
      </c>
      <c r="BS125" s="128">
        <f t="shared" si="364"/>
        <v>126371.92</v>
      </c>
      <c r="BT125" s="128">
        <f t="shared" si="356"/>
        <v>0</v>
      </c>
      <c r="BU125" s="130">
        <f t="shared" si="270"/>
        <v>3.5999999999999997E-2</v>
      </c>
      <c r="BV125" s="128">
        <f t="shared" si="271"/>
        <v>135.15803779641246</v>
      </c>
      <c r="BW125" s="128">
        <f t="shared" si="365"/>
        <v>126507.07803779641</v>
      </c>
      <c r="BY125" s="130">
        <f t="shared" si="360"/>
        <v>3.1E-2</v>
      </c>
      <c r="BZ125" s="127">
        <f t="shared" si="337"/>
        <v>1158</v>
      </c>
      <c r="CA125" s="128">
        <f t="shared" si="338"/>
        <v>115696.20000000001</v>
      </c>
      <c r="CB125" s="128">
        <f t="shared" si="366"/>
        <v>115800</v>
      </c>
      <c r="CC125" s="128">
        <f t="shared" si="359"/>
        <v>115800</v>
      </c>
      <c r="CD125" s="130">
        <f t="shared" si="272"/>
        <v>4.5999999999999999E-2</v>
      </c>
      <c r="CE125" s="128">
        <f t="shared" si="273"/>
        <v>120239</v>
      </c>
      <c r="CF125" s="128" t="str">
        <f t="shared" si="274"/>
        <v>nie</v>
      </c>
      <c r="CG125" s="128">
        <f t="shared" si="275"/>
        <v>2316</v>
      </c>
      <c r="CH125" s="128">
        <f t="shared" si="160"/>
        <v>117519.63</v>
      </c>
      <c r="CI125" s="128">
        <f t="shared" si="276"/>
        <v>0</v>
      </c>
      <c r="CJ125" s="130">
        <f t="shared" si="277"/>
        <v>3.5999999999999997E-2</v>
      </c>
      <c r="CK125" s="128">
        <f t="shared" si="278"/>
        <v>9135.8889715830337</v>
      </c>
      <c r="CL125" s="128">
        <f t="shared" si="279"/>
        <v>126655.51897158303</v>
      </c>
      <c r="CN125" s="127">
        <f t="shared" si="340"/>
        <v>1000</v>
      </c>
      <c r="CO125" s="128">
        <f t="shared" si="341"/>
        <v>100000</v>
      </c>
      <c r="CP125" s="128">
        <f t="shared" si="342"/>
        <v>100000</v>
      </c>
      <c r="CQ125" s="128">
        <f t="shared" si="343"/>
        <v>135097.75124653691</v>
      </c>
      <c r="CR125" s="130">
        <f t="shared" si="280"/>
        <v>5.1000000000000004E-2</v>
      </c>
      <c r="CS125" s="128">
        <f t="shared" si="281"/>
        <v>140839.40567451471</v>
      </c>
      <c r="CT125" s="128" t="str">
        <f t="shared" si="282"/>
        <v>nie</v>
      </c>
      <c r="CU125" s="128">
        <f t="shared" si="283"/>
        <v>3000</v>
      </c>
      <c r="CV125" s="128">
        <f t="shared" si="284"/>
        <v>130649.91859635692</v>
      </c>
      <c r="CW125" s="128">
        <f t="shared" si="285"/>
        <v>0</v>
      </c>
      <c r="CX125" s="130">
        <f t="shared" si="286"/>
        <v>3.5999999999999997E-2</v>
      </c>
      <c r="CY125" s="128">
        <f t="shared" si="287"/>
        <v>0</v>
      </c>
      <c r="CZ125" s="128">
        <f t="shared" si="288"/>
        <v>130649.91859635692</v>
      </c>
      <c r="DA125" s="20"/>
      <c r="DB125" s="127">
        <f t="shared" si="350"/>
        <v>1280</v>
      </c>
      <c r="DC125" s="128">
        <f t="shared" si="351"/>
        <v>128000</v>
      </c>
      <c r="DD125" s="128">
        <f t="shared" si="344"/>
        <v>128000</v>
      </c>
      <c r="DE125" s="128">
        <f t="shared" si="345"/>
        <v>128000</v>
      </c>
      <c r="DF125" s="130">
        <f t="shared" si="289"/>
        <v>0.05</v>
      </c>
      <c r="DG125" s="128">
        <f t="shared" si="290"/>
        <v>133333.33333333334</v>
      </c>
      <c r="DH125" s="128" t="str">
        <f t="shared" si="291"/>
        <v>nie</v>
      </c>
      <c r="DI125" s="128">
        <f t="shared" si="292"/>
        <v>2560</v>
      </c>
      <c r="DJ125" s="128">
        <f t="shared" si="355"/>
        <v>130246.40000000001</v>
      </c>
      <c r="DK125" s="128">
        <f t="shared" si="294"/>
        <v>0</v>
      </c>
      <c r="DL125" s="130">
        <f t="shared" si="295"/>
        <v>3.5999999999999997E-2</v>
      </c>
      <c r="DM125" s="128">
        <f t="shared" si="296"/>
        <v>67.238695435844178</v>
      </c>
      <c r="DN125" s="128">
        <f t="shared" si="297"/>
        <v>130313.63869543585</v>
      </c>
      <c r="DP125" s="127">
        <f t="shared" si="352"/>
        <v>1000</v>
      </c>
      <c r="DQ125" s="128">
        <f t="shared" si="353"/>
        <v>100000</v>
      </c>
      <c r="DR125" s="128">
        <f t="shared" si="346"/>
        <v>100000</v>
      </c>
      <c r="DS125" s="128">
        <f t="shared" si="347"/>
        <v>138670.3172671636</v>
      </c>
      <c r="DT125" s="130">
        <f t="shared" si="298"/>
        <v>5.6000000000000001E-2</v>
      </c>
      <c r="DU125" s="128">
        <f t="shared" si="299"/>
        <v>145141.59873963124</v>
      </c>
      <c r="DV125" s="128" t="str">
        <f t="shared" si="300"/>
        <v>nie</v>
      </c>
      <c r="DW125" s="128">
        <f t="shared" si="301"/>
        <v>3000</v>
      </c>
      <c r="DX125" s="128">
        <f t="shared" si="302"/>
        <v>134134.6949791013</v>
      </c>
      <c r="DY125" s="128">
        <f t="shared" si="303"/>
        <v>0</v>
      </c>
      <c r="DZ125" s="130">
        <f t="shared" si="304"/>
        <v>3.5999999999999997E-2</v>
      </c>
      <c r="EA125" s="128">
        <f t="shared" si="305"/>
        <v>0</v>
      </c>
      <c r="EB125" s="128">
        <f t="shared" si="306"/>
        <v>134134.6949791013</v>
      </c>
    </row>
    <row r="126" spans="1:132">
      <c r="A126" s="212"/>
      <c r="B126" s="188">
        <f t="shared" si="307"/>
        <v>82</v>
      </c>
      <c r="C126" s="128">
        <f t="shared" si="308"/>
        <v>125597.92993273117</v>
      </c>
      <c r="D126" s="128">
        <f t="shared" si="309"/>
        <v>124831.92772863255</v>
      </c>
      <c r="E126" s="128">
        <f t="shared" si="310"/>
        <v>126507.07803779641</v>
      </c>
      <c r="F126" s="128">
        <f t="shared" si="311"/>
        <v>126655.51897158303</v>
      </c>
      <c r="G126" s="128">
        <f t="shared" si="312"/>
        <v>130649.91859635692</v>
      </c>
      <c r="H126" s="128">
        <f t="shared" si="313"/>
        <v>130313.63869543585</v>
      </c>
      <c r="I126" s="128">
        <f t="shared" si="314"/>
        <v>134134.6949791013</v>
      </c>
      <c r="J126" s="128">
        <f t="shared" si="315"/>
        <v>122020.42839520992</v>
      </c>
      <c r="K126" s="128">
        <f t="shared" si="316"/>
        <v>123205.13206522424</v>
      </c>
      <c r="M126" s="36"/>
      <c r="N126" s="32">
        <f t="shared" si="317"/>
        <v>82</v>
      </c>
      <c r="O126" s="25">
        <f t="shared" si="318"/>
        <v>0.25597929932731178</v>
      </c>
      <c r="P126" s="25">
        <f t="shared" si="319"/>
        <v>0.24831927728632541</v>
      </c>
      <c r="Q126" s="25">
        <f t="shared" si="320"/>
        <v>0.26507078037796417</v>
      </c>
      <c r="R126" s="25">
        <f t="shared" si="245"/>
        <v>0.26655518971583025</v>
      </c>
      <c r="S126" s="25">
        <f t="shared" si="246"/>
        <v>0.30649918596356929</v>
      </c>
      <c r="T126" s="25">
        <f t="shared" si="247"/>
        <v>0.30313638695435841</v>
      </c>
      <c r="U126" s="25">
        <f t="shared" si="248"/>
        <v>0.3413469497910131</v>
      </c>
      <c r="V126" s="25">
        <f t="shared" si="249"/>
        <v>0.22020428395209923</v>
      </c>
      <c r="W126" s="25">
        <f t="shared" si="250"/>
        <v>0.23205132065224232</v>
      </c>
      <c r="X126" s="36"/>
      <c r="Y126" s="36"/>
      <c r="AA126" s="124">
        <f t="shared" si="321"/>
        <v>83</v>
      </c>
      <c r="AB126" s="128">
        <f t="shared" si="251"/>
        <v>123515.39681697257</v>
      </c>
      <c r="AC126" s="124">
        <f t="shared" si="322"/>
        <v>83</v>
      </c>
      <c r="AD126" s="130">
        <f t="shared" si="323"/>
        <v>3.7499999999999999E-2</v>
      </c>
      <c r="AE126" s="127">
        <f t="shared" si="324"/>
        <v>1229</v>
      </c>
      <c r="AF126" s="128">
        <f t="shared" si="325"/>
        <v>122780.90000000001</v>
      </c>
      <c r="AG126" s="128">
        <f t="shared" si="348"/>
        <v>122900</v>
      </c>
      <c r="AH126" s="128">
        <f t="shared" si="357"/>
        <v>122900</v>
      </c>
      <c r="AI126" s="130">
        <f t="shared" si="252"/>
        <v>3.7499999999999999E-2</v>
      </c>
      <c r="AJ126" s="128">
        <f t="shared" si="253"/>
        <v>123284.0625</v>
      </c>
      <c r="AK126" s="128" t="str">
        <f t="shared" si="254"/>
        <v>nie</v>
      </c>
      <c r="AL126" s="128">
        <f t="shared" si="255"/>
        <v>614.5</v>
      </c>
      <c r="AM126" s="128">
        <f t="shared" si="361"/>
        <v>122713.345625</v>
      </c>
      <c r="AN126" s="128">
        <f t="shared" si="256"/>
        <v>311.09062500000005</v>
      </c>
      <c r="AO126" s="130">
        <f t="shared" si="257"/>
        <v>3.5999999999999997E-2</v>
      </c>
      <c r="AP126" s="128">
        <f t="shared" si="258"/>
        <v>3514.5310478177098</v>
      </c>
      <c r="AQ126" s="128">
        <f t="shared" si="362"/>
        <v>125916.78604781772</v>
      </c>
      <c r="AS126" s="124">
        <f t="shared" si="327"/>
        <v>83</v>
      </c>
      <c r="AT126" s="130">
        <f t="shared" si="328"/>
        <v>3.7499999999999999E-2</v>
      </c>
      <c r="AU126" s="127">
        <f t="shared" si="329"/>
        <v>1222</v>
      </c>
      <c r="AV126" s="128">
        <f t="shared" si="330"/>
        <v>122085.40000000001</v>
      </c>
      <c r="AW126" s="128">
        <f t="shared" si="363"/>
        <v>122200</v>
      </c>
      <c r="AX126" s="128">
        <f t="shared" si="358"/>
        <v>122200</v>
      </c>
      <c r="AY126" s="130">
        <f t="shared" si="259"/>
        <v>3.9E-2</v>
      </c>
      <c r="AZ126" s="128">
        <f t="shared" si="260"/>
        <v>122597.15</v>
      </c>
      <c r="BA126" s="128" t="str">
        <f t="shared" si="261"/>
        <v>nie</v>
      </c>
      <c r="BB126" s="128">
        <f t="shared" si="262"/>
        <v>855.4</v>
      </c>
      <c r="BC126" s="128">
        <f t="shared" si="158"/>
        <v>121828.8175</v>
      </c>
      <c r="BD126" s="128">
        <f t="shared" si="263"/>
        <v>321.6914999999953</v>
      </c>
      <c r="BE126" s="130">
        <f t="shared" si="264"/>
        <v>3.5999999999999997E-2</v>
      </c>
      <c r="BF126" s="128">
        <f t="shared" si="265"/>
        <v>3654.5724968331083</v>
      </c>
      <c r="BG126" s="128">
        <f t="shared" si="159"/>
        <v>125161.69849683312</v>
      </c>
      <c r="BI126" s="124">
        <f t="shared" si="332"/>
        <v>83</v>
      </c>
      <c r="BJ126" s="130">
        <f t="shared" si="354"/>
        <v>3.9100000000000003E-2</v>
      </c>
      <c r="BK126" s="127">
        <f t="shared" si="333"/>
        <v>1237</v>
      </c>
      <c r="BL126" s="128">
        <f t="shared" si="334"/>
        <v>123576.3</v>
      </c>
      <c r="BM126" s="128">
        <f t="shared" si="349"/>
        <v>123700</v>
      </c>
      <c r="BN126" s="128">
        <f t="shared" si="335"/>
        <v>123700</v>
      </c>
      <c r="BO126" s="130">
        <f t="shared" si="266"/>
        <v>4.3999999999999997E-2</v>
      </c>
      <c r="BP126" s="128">
        <f t="shared" si="267"/>
        <v>128689.23333333334</v>
      </c>
      <c r="BQ126" s="128" t="str">
        <f t="shared" si="268"/>
        <v>nie</v>
      </c>
      <c r="BR126" s="128">
        <f t="shared" si="269"/>
        <v>1237</v>
      </c>
      <c r="BS126" s="128">
        <f t="shared" si="364"/>
        <v>126739.30900000001</v>
      </c>
      <c r="BT126" s="128">
        <f t="shared" si="356"/>
        <v>0</v>
      </c>
      <c r="BU126" s="130">
        <f t="shared" si="270"/>
        <v>3.5999999999999997E-2</v>
      </c>
      <c r="BV126" s="128">
        <f t="shared" si="271"/>
        <v>135.48647182825772</v>
      </c>
      <c r="BW126" s="128">
        <f t="shared" si="365"/>
        <v>126874.79547182827</v>
      </c>
      <c r="BY126" s="130">
        <f t="shared" si="360"/>
        <v>3.1E-2</v>
      </c>
      <c r="BZ126" s="127">
        <f t="shared" si="337"/>
        <v>1158</v>
      </c>
      <c r="CA126" s="128">
        <f t="shared" si="338"/>
        <v>115696.20000000001</v>
      </c>
      <c r="CB126" s="128">
        <f t="shared" si="366"/>
        <v>115800</v>
      </c>
      <c r="CC126" s="128">
        <f t="shared" si="359"/>
        <v>115800</v>
      </c>
      <c r="CD126" s="130">
        <f t="shared" si="272"/>
        <v>4.5999999999999999E-2</v>
      </c>
      <c r="CE126" s="128">
        <f t="shared" si="273"/>
        <v>120682.90000000001</v>
      </c>
      <c r="CF126" s="128" t="str">
        <f t="shared" si="274"/>
        <v>nie</v>
      </c>
      <c r="CG126" s="128">
        <f t="shared" si="275"/>
        <v>2316</v>
      </c>
      <c r="CH126" s="128">
        <f t="shared" si="160"/>
        <v>117879.18900000001</v>
      </c>
      <c r="CI126" s="128">
        <f t="shared" si="276"/>
        <v>0</v>
      </c>
      <c r="CJ126" s="130">
        <f t="shared" si="277"/>
        <v>3.5999999999999997E-2</v>
      </c>
      <c r="CK126" s="128">
        <f t="shared" si="278"/>
        <v>9158.0891817839802</v>
      </c>
      <c r="CL126" s="128">
        <f t="shared" si="279"/>
        <v>127037.278181784</v>
      </c>
      <c r="CN126" s="127">
        <f t="shared" si="340"/>
        <v>1000</v>
      </c>
      <c r="CO126" s="128">
        <f t="shared" si="341"/>
        <v>100000</v>
      </c>
      <c r="CP126" s="128">
        <f t="shared" si="342"/>
        <v>100000</v>
      </c>
      <c r="CQ126" s="128">
        <f t="shared" si="343"/>
        <v>135097.75124653691</v>
      </c>
      <c r="CR126" s="130">
        <f t="shared" si="280"/>
        <v>5.1000000000000004E-2</v>
      </c>
      <c r="CS126" s="128">
        <f t="shared" si="281"/>
        <v>141413.57111731253</v>
      </c>
      <c r="CT126" s="128" t="str">
        <f t="shared" si="282"/>
        <v>nie</v>
      </c>
      <c r="CU126" s="128">
        <f t="shared" si="283"/>
        <v>3000</v>
      </c>
      <c r="CV126" s="128">
        <f t="shared" si="284"/>
        <v>131114.99260502314</v>
      </c>
      <c r="CW126" s="128">
        <f t="shared" si="285"/>
        <v>0</v>
      </c>
      <c r="CX126" s="130">
        <f t="shared" si="286"/>
        <v>3.5999999999999997E-2</v>
      </c>
      <c r="CY126" s="128">
        <f t="shared" si="287"/>
        <v>0</v>
      </c>
      <c r="CZ126" s="128">
        <f t="shared" si="288"/>
        <v>131114.99260502314</v>
      </c>
      <c r="DA126" s="20"/>
      <c r="DB126" s="127">
        <f t="shared" si="350"/>
        <v>1280</v>
      </c>
      <c r="DC126" s="128">
        <f t="shared" si="351"/>
        <v>128000</v>
      </c>
      <c r="DD126" s="128">
        <f t="shared" si="344"/>
        <v>128000</v>
      </c>
      <c r="DE126" s="128">
        <f t="shared" si="345"/>
        <v>128000</v>
      </c>
      <c r="DF126" s="130">
        <f t="shared" si="289"/>
        <v>0.05</v>
      </c>
      <c r="DG126" s="128">
        <f t="shared" si="290"/>
        <v>133866.66666666669</v>
      </c>
      <c r="DH126" s="128" t="str">
        <f t="shared" si="291"/>
        <v>nie</v>
      </c>
      <c r="DI126" s="128">
        <f t="shared" si="292"/>
        <v>2560</v>
      </c>
      <c r="DJ126" s="128">
        <f t="shared" si="355"/>
        <v>130678.40000000001</v>
      </c>
      <c r="DK126" s="128">
        <f t="shared" si="294"/>
        <v>0</v>
      </c>
      <c r="DL126" s="130">
        <f t="shared" si="295"/>
        <v>3.5999999999999997E-2</v>
      </c>
      <c r="DM126" s="128">
        <f t="shared" si="296"/>
        <v>67.402085465753274</v>
      </c>
      <c r="DN126" s="128">
        <f t="shared" si="297"/>
        <v>130745.80208546577</v>
      </c>
      <c r="DP126" s="127">
        <f t="shared" si="352"/>
        <v>1000</v>
      </c>
      <c r="DQ126" s="128">
        <f t="shared" si="353"/>
        <v>100000</v>
      </c>
      <c r="DR126" s="128">
        <f t="shared" si="346"/>
        <v>100000</v>
      </c>
      <c r="DS126" s="128">
        <f t="shared" si="347"/>
        <v>138670.3172671636</v>
      </c>
      <c r="DT126" s="130">
        <f t="shared" si="298"/>
        <v>5.6000000000000001E-2</v>
      </c>
      <c r="DU126" s="128">
        <f t="shared" si="299"/>
        <v>145788.72688687799</v>
      </c>
      <c r="DV126" s="128" t="str">
        <f t="shared" si="300"/>
        <v>nie</v>
      </c>
      <c r="DW126" s="128">
        <f t="shared" si="301"/>
        <v>3000</v>
      </c>
      <c r="DX126" s="128">
        <f t="shared" si="302"/>
        <v>134658.86877837116</v>
      </c>
      <c r="DY126" s="128">
        <f t="shared" si="303"/>
        <v>0</v>
      </c>
      <c r="DZ126" s="130">
        <f t="shared" si="304"/>
        <v>3.5999999999999997E-2</v>
      </c>
      <c r="EA126" s="128">
        <f t="shared" si="305"/>
        <v>0</v>
      </c>
      <c r="EB126" s="128">
        <f t="shared" si="306"/>
        <v>134658.86877837116</v>
      </c>
    </row>
    <row r="127" spans="1:132" ht="14.25" customHeight="1">
      <c r="A127" s="212"/>
      <c r="B127" s="188">
        <f t="shared" si="307"/>
        <v>83</v>
      </c>
      <c r="C127" s="128">
        <f t="shared" si="308"/>
        <v>125916.78604781772</v>
      </c>
      <c r="D127" s="128">
        <f t="shared" si="309"/>
        <v>125161.69849683312</v>
      </c>
      <c r="E127" s="128">
        <f t="shared" si="310"/>
        <v>126874.79547182827</v>
      </c>
      <c r="F127" s="128">
        <f t="shared" si="311"/>
        <v>127037.278181784</v>
      </c>
      <c r="G127" s="128">
        <f t="shared" si="312"/>
        <v>131114.99260502314</v>
      </c>
      <c r="H127" s="128">
        <f t="shared" si="313"/>
        <v>130745.80208546577</v>
      </c>
      <c r="I127" s="128">
        <f t="shared" si="314"/>
        <v>134658.86877837116</v>
      </c>
      <c r="J127" s="128">
        <f t="shared" si="315"/>
        <v>122316.93803621027</v>
      </c>
      <c r="K127" s="128">
        <f t="shared" si="316"/>
        <v>123515.39681697257</v>
      </c>
      <c r="M127" s="36"/>
      <c r="N127" s="32">
        <f t="shared" si="317"/>
        <v>83</v>
      </c>
      <c r="O127" s="25">
        <f t="shared" si="318"/>
        <v>0.25916786047817708</v>
      </c>
      <c r="P127" s="25">
        <f t="shared" si="319"/>
        <v>0.25161698496833118</v>
      </c>
      <c r="Q127" s="25">
        <f t="shared" si="320"/>
        <v>0.26874795471828272</v>
      </c>
      <c r="R127" s="25">
        <f t="shared" si="245"/>
        <v>0.27037278181784008</v>
      </c>
      <c r="S127" s="25">
        <f t="shared" si="246"/>
        <v>0.31114992605023151</v>
      </c>
      <c r="T127" s="25">
        <f t="shared" si="247"/>
        <v>0.30745802085465757</v>
      </c>
      <c r="U127" s="25">
        <f t="shared" si="248"/>
        <v>0.34658868778371166</v>
      </c>
      <c r="V127" s="25">
        <f t="shared" si="249"/>
        <v>0.22316938036210265</v>
      </c>
      <c r="W127" s="25">
        <f t="shared" si="250"/>
        <v>0.23515396816972567</v>
      </c>
      <c r="X127" s="36"/>
      <c r="Y127" s="36"/>
      <c r="AA127" s="124">
        <f t="shared" si="321"/>
        <v>84</v>
      </c>
      <c r="AB127" s="128">
        <f t="shared" si="251"/>
        <v>123825.66156872088</v>
      </c>
      <c r="AC127" s="124">
        <f t="shared" si="322"/>
        <v>84</v>
      </c>
      <c r="AD127" s="130">
        <f t="shared" si="323"/>
        <v>3.7499999999999999E-2</v>
      </c>
      <c r="AE127" s="127">
        <f t="shared" si="324"/>
        <v>1229</v>
      </c>
      <c r="AF127" s="128">
        <f t="shared" si="325"/>
        <v>122780.90000000001</v>
      </c>
      <c r="AG127" s="128">
        <f t="shared" si="348"/>
        <v>122900</v>
      </c>
      <c r="AH127" s="128">
        <f t="shared" si="357"/>
        <v>122900</v>
      </c>
      <c r="AI127" s="130">
        <f t="shared" si="252"/>
        <v>3.7499999999999999E-2</v>
      </c>
      <c r="AJ127" s="128">
        <f t="shared" si="253"/>
        <v>123284.0625</v>
      </c>
      <c r="AK127" s="128" t="str">
        <f t="shared" si="254"/>
        <v>tak</v>
      </c>
      <c r="AL127" s="128">
        <f t="shared" si="255"/>
        <v>0</v>
      </c>
      <c r="AM127" s="128">
        <f t="shared" si="361"/>
        <v>123211.090625</v>
      </c>
      <c r="AN127" s="128">
        <f t="shared" si="256"/>
        <v>434.49062499999303</v>
      </c>
      <c r="AO127" s="130">
        <f t="shared" si="257"/>
        <v>3.5999999999999997E-2</v>
      </c>
      <c r="AP127" s="128">
        <f t="shared" si="258"/>
        <v>3957.5619832638995</v>
      </c>
      <c r="AQ127" s="128">
        <f t="shared" si="362"/>
        <v>126734.1619832639</v>
      </c>
      <c r="AS127" s="124">
        <f t="shared" si="327"/>
        <v>84</v>
      </c>
      <c r="AT127" s="130">
        <f t="shared" si="328"/>
        <v>3.7499999999999999E-2</v>
      </c>
      <c r="AU127" s="127">
        <f t="shared" si="329"/>
        <v>1222</v>
      </c>
      <c r="AV127" s="128">
        <f t="shared" si="330"/>
        <v>122085.40000000001</v>
      </c>
      <c r="AW127" s="128">
        <f t="shared" si="363"/>
        <v>122200</v>
      </c>
      <c r="AX127" s="128">
        <f t="shared" si="358"/>
        <v>122200</v>
      </c>
      <c r="AY127" s="130">
        <f t="shared" si="259"/>
        <v>3.9E-2</v>
      </c>
      <c r="AZ127" s="128">
        <f t="shared" si="260"/>
        <v>122597.15</v>
      </c>
      <c r="BA127" s="128" t="str">
        <f t="shared" si="261"/>
        <v>nie</v>
      </c>
      <c r="BB127" s="128">
        <f t="shared" si="262"/>
        <v>855.4</v>
      </c>
      <c r="BC127" s="128">
        <f t="shared" si="158"/>
        <v>121828.8175</v>
      </c>
      <c r="BD127" s="128">
        <f t="shared" si="263"/>
        <v>321.6914999999953</v>
      </c>
      <c r="BE127" s="130">
        <f t="shared" si="264"/>
        <v>3.5999999999999997E-2</v>
      </c>
      <c r="BF127" s="128">
        <f t="shared" si="265"/>
        <v>3985.144608000408</v>
      </c>
      <c r="BG127" s="128">
        <f t="shared" si="159"/>
        <v>125492.27060800041</v>
      </c>
      <c r="BI127" s="124">
        <f t="shared" si="332"/>
        <v>84</v>
      </c>
      <c r="BJ127" s="130">
        <f t="shared" si="354"/>
        <v>3.9100000000000003E-2</v>
      </c>
      <c r="BK127" s="127">
        <f t="shared" si="333"/>
        <v>1237</v>
      </c>
      <c r="BL127" s="128">
        <f t="shared" si="334"/>
        <v>123576.3</v>
      </c>
      <c r="BM127" s="128">
        <f t="shared" si="349"/>
        <v>123700</v>
      </c>
      <c r="BN127" s="128">
        <f t="shared" si="335"/>
        <v>123700</v>
      </c>
      <c r="BO127" s="130">
        <f t="shared" si="266"/>
        <v>4.3999999999999997E-2</v>
      </c>
      <c r="BP127" s="128">
        <f t="shared" si="267"/>
        <v>129142.8</v>
      </c>
      <c r="BQ127" s="128" t="str">
        <f t="shared" si="268"/>
        <v>nie</v>
      </c>
      <c r="BR127" s="128">
        <f t="shared" si="269"/>
        <v>1237</v>
      </c>
      <c r="BS127" s="128">
        <f t="shared" si="364"/>
        <v>127106.698</v>
      </c>
      <c r="BT127" s="128">
        <f t="shared" si="356"/>
        <v>0</v>
      </c>
      <c r="BU127" s="130">
        <f t="shared" si="270"/>
        <v>3.5999999999999997E-2</v>
      </c>
      <c r="BV127" s="128">
        <f t="shared" si="271"/>
        <v>135.81570395480037</v>
      </c>
      <c r="BW127" s="128">
        <f t="shared" si="365"/>
        <v>127242.5137039548</v>
      </c>
      <c r="BY127" s="130">
        <f t="shared" si="360"/>
        <v>3.1E-2</v>
      </c>
      <c r="BZ127" s="127">
        <f t="shared" si="337"/>
        <v>1158</v>
      </c>
      <c r="CA127" s="128">
        <f t="shared" si="338"/>
        <v>115696.20000000001</v>
      </c>
      <c r="CB127" s="128">
        <f t="shared" si="366"/>
        <v>115800</v>
      </c>
      <c r="CC127" s="128">
        <f t="shared" si="359"/>
        <v>115800</v>
      </c>
      <c r="CD127" s="130">
        <f t="shared" si="272"/>
        <v>4.5999999999999999E-2</v>
      </c>
      <c r="CE127" s="128">
        <f t="shared" si="273"/>
        <v>121126.8</v>
      </c>
      <c r="CF127" s="128" t="str">
        <f t="shared" si="274"/>
        <v>nie</v>
      </c>
      <c r="CG127" s="128">
        <f t="shared" si="275"/>
        <v>2316</v>
      </c>
      <c r="CH127" s="128">
        <f t="shared" si="160"/>
        <v>118238.74800000001</v>
      </c>
      <c r="CI127" s="128">
        <f t="shared" si="276"/>
        <v>4314.7080000000024</v>
      </c>
      <c r="CJ127" s="130">
        <f t="shared" si="277"/>
        <v>3.5999999999999997E-2</v>
      </c>
      <c r="CK127" s="128">
        <f t="shared" si="278"/>
        <v>13495.051338495718</v>
      </c>
      <c r="CL127" s="128">
        <f t="shared" si="279"/>
        <v>127419.09133849572</v>
      </c>
      <c r="CN127" s="127">
        <f t="shared" si="340"/>
        <v>1000</v>
      </c>
      <c r="CO127" s="128">
        <f t="shared" si="341"/>
        <v>100000</v>
      </c>
      <c r="CP127" s="128">
        <f t="shared" si="342"/>
        <v>100000</v>
      </c>
      <c r="CQ127" s="128">
        <f t="shared" si="343"/>
        <v>135097.75124653691</v>
      </c>
      <c r="CR127" s="130">
        <f t="shared" si="280"/>
        <v>5.1000000000000004E-2</v>
      </c>
      <c r="CS127" s="128">
        <f t="shared" si="281"/>
        <v>141987.73656011029</v>
      </c>
      <c r="CT127" s="128" t="str">
        <f t="shared" si="282"/>
        <v>nie</v>
      </c>
      <c r="CU127" s="128">
        <f t="shared" si="283"/>
        <v>3000</v>
      </c>
      <c r="CV127" s="128">
        <f t="shared" si="284"/>
        <v>131580.06661368933</v>
      </c>
      <c r="CW127" s="128">
        <f t="shared" si="285"/>
        <v>0</v>
      </c>
      <c r="CX127" s="130">
        <f t="shared" si="286"/>
        <v>3.5999999999999997E-2</v>
      </c>
      <c r="CY127" s="128">
        <f t="shared" si="287"/>
        <v>0</v>
      </c>
      <c r="CZ127" s="128">
        <f t="shared" si="288"/>
        <v>131580.06661368933</v>
      </c>
      <c r="DA127" s="20"/>
      <c r="DB127" s="127">
        <f t="shared" si="350"/>
        <v>1280</v>
      </c>
      <c r="DC127" s="128">
        <f t="shared" si="351"/>
        <v>128000</v>
      </c>
      <c r="DD127" s="128">
        <f t="shared" si="344"/>
        <v>128000</v>
      </c>
      <c r="DE127" s="128">
        <f t="shared" si="345"/>
        <v>128000</v>
      </c>
      <c r="DF127" s="130">
        <f t="shared" si="289"/>
        <v>0.05</v>
      </c>
      <c r="DG127" s="128">
        <f t="shared" si="290"/>
        <v>134400</v>
      </c>
      <c r="DH127" s="128" t="str">
        <f t="shared" si="291"/>
        <v>nie</v>
      </c>
      <c r="DI127" s="128">
        <f t="shared" si="292"/>
        <v>2560</v>
      </c>
      <c r="DJ127" s="128">
        <f t="shared" si="355"/>
        <v>131110.39999999999</v>
      </c>
      <c r="DK127" s="128">
        <f t="shared" si="294"/>
        <v>0</v>
      </c>
      <c r="DL127" s="130">
        <f t="shared" si="295"/>
        <v>3.5999999999999997E-2</v>
      </c>
      <c r="DM127" s="128">
        <f t="shared" si="296"/>
        <v>67.565872533435055</v>
      </c>
      <c r="DN127" s="128">
        <f t="shared" si="297"/>
        <v>131177.96587253342</v>
      </c>
      <c r="DP127" s="127">
        <f t="shared" si="352"/>
        <v>1000</v>
      </c>
      <c r="DQ127" s="128">
        <f t="shared" si="353"/>
        <v>100000</v>
      </c>
      <c r="DR127" s="128">
        <f t="shared" si="346"/>
        <v>100000</v>
      </c>
      <c r="DS127" s="128">
        <f t="shared" si="347"/>
        <v>138670.3172671636</v>
      </c>
      <c r="DT127" s="130">
        <f t="shared" si="298"/>
        <v>5.6000000000000001E-2</v>
      </c>
      <c r="DU127" s="128">
        <f t="shared" si="299"/>
        <v>146435.85503412478</v>
      </c>
      <c r="DV127" s="128" t="str">
        <f t="shared" si="300"/>
        <v>nie</v>
      </c>
      <c r="DW127" s="128">
        <f t="shared" si="301"/>
        <v>3000</v>
      </c>
      <c r="DX127" s="128">
        <f t="shared" si="302"/>
        <v>135183.04257764106</v>
      </c>
      <c r="DY127" s="128">
        <f t="shared" si="303"/>
        <v>0</v>
      </c>
      <c r="DZ127" s="130">
        <f t="shared" si="304"/>
        <v>3.5999999999999997E-2</v>
      </c>
      <c r="EA127" s="128">
        <f t="shared" si="305"/>
        <v>0</v>
      </c>
      <c r="EB127" s="128">
        <f t="shared" si="306"/>
        <v>135183.04257764106</v>
      </c>
    </row>
    <row r="128" spans="1:132">
      <c r="A128" s="212"/>
      <c r="B128" s="188">
        <f t="shared" si="307"/>
        <v>84</v>
      </c>
      <c r="C128" s="128">
        <f t="shared" si="308"/>
        <v>126734.1619832639</v>
      </c>
      <c r="D128" s="128">
        <f t="shared" si="309"/>
        <v>125492.27060800041</v>
      </c>
      <c r="E128" s="128">
        <f t="shared" si="310"/>
        <v>127242.5137039548</v>
      </c>
      <c r="F128" s="128">
        <f t="shared" si="311"/>
        <v>127419.09133849572</v>
      </c>
      <c r="G128" s="128">
        <f t="shared" si="312"/>
        <v>131580.06661368933</v>
      </c>
      <c r="H128" s="128">
        <f t="shared" si="313"/>
        <v>131177.96587253342</v>
      </c>
      <c r="I128" s="128">
        <f t="shared" si="314"/>
        <v>135183.04257764106</v>
      </c>
      <c r="J128" s="128">
        <f t="shared" si="315"/>
        <v>122614.16819563825</v>
      </c>
      <c r="K128" s="128">
        <f t="shared" si="316"/>
        <v>123825.66156872088</v>
      </c>
      <c r="M128" s="36"/>
      <c r="N128" s="32">
        <f t="shared" si="317"/>
        <v>84</v>
      </c>
      <c r="O128" s="25">
        <f t="shared" si="318"/>
        <v>0.26734161983263904</v>
      </c>
      <c r="P128" s="25">
        <f t="shared" si="319"/>
        <v>0.25492270608000411</v>
      </c>
      <c r="Q128" s="25">
        <f t="shared" si="320"/>
        <v>0.27242513703954807</v>
      </c>
      <c r="R128" s="25">
        <f t="shared" si="245"/>
        <v>0.27419091338495716</v>
      </c>
      <c r="S128" s="25">
        <f t="shared" si="246"/>
        <v>0.31580066613689328</v>
      </c>
      <c r="T128" s="25">
        <f t="shared" si="247"/>
        <v>0.31177965872533409</v>
      </c>
      <c r="U128" s="25">
        <f t="shared" si="248"/>
        <v>0.35183042577641066</v>
      </c>
      <c r="V128" s="25">
        <f t="shared" si="249"/>
        <v>0.22614168195638262</v>
      </c>
      <c r="W128" s="25">
        <f t="shared" si="250"/>
        <v>0.23825661568720879</v>
      </c>
      <c r="X128" s="36"/>
      <c r="Y128" s="36"/>
      <c r="AA128" s="124">
        <f t="shared" si="321"/>
        <v>85</v>
      </c>
      <c r="AB128" s="128">
        <f t="shared" si="251"/>
        <v>124145.54452777343</v>
      </c>
      <c r="AC128" s="124">
        <f t="shared" si="322"/>
        <v>85</v>
      </c>
      <c r="AD128" s="130">
        <f t="shared" si="323"/>
        <v>3.7499999999999999E-2</v>
      </c>
      <c r="AE128" s="127">
        <f t="shared" si="324"/>
        <v>1272</v>
      </c>
      <c r="AF128" s="128">
        <f t="shared" si="325"/>
        <v>127076.70000000001</v>
      </c>
      <c r="AG128" s="128">
        <f t="shared" si="348"/>
        <v>127200</v>
      </c>
      <c r="AH128" s="128">
        <f t="shared" si="357"/>
        <v>127200</v>
      </c>
      <c r="AI128" s="130">
        <f t="shared" si="252"/>
        <v>0.04</v>
      </c>
      <c r="AJ128" s="128">
        <f t="shared" si="253"/>
        <v>127624.00000000001</v>
      </c>
      <c r="AK128" s="128" t="str">
        <f t="shared" si="254"/>
        <v>nie</v>
      </c>
      <c r="AL128" s="128">
        <f t="shared" si="255"/>
        <v>424.00000000001455</v>
      </c>
      <c r="AM128" s="128">
        <f t="shared" si="361"/>
        <v>127200</v>
      </c>
      <c r="AN128" s="128">
        <f t="shared" si="256"/>
        <v>343.44000000001182</v>
      </c>
      <c r="AO128" s="130">
        <f t="shared" si="257"/>
        <v>3.5999999999999997E-2</v>
      </c>
      <c r="AP128" s="128">
        <f t="shared" si="258"/>
        <v>401.14185888324261</v>
      </c>
      <c r="AQ128" s="128">
        <f t="shared" si="362"/>
        <v>131167.17885888324</v>
      </c>
      <c r="AS128" s="124">
        <f t="shared" si="327"/>
        <v>85</v>
      </c>
      <c r="AT128" s="130">
        <f t="shared" si="328"/>
        <v>3.7499999999999999E-2</v>
      </c>
      <c r="AU128" s="127">
        <f t="shared" si="329"/>
        <v>1222</v>
      </c>
      <c r="AV128" s="128">
        <f t="shared" si="330"/>
        <v>122085.40000000001</v>
      </c>
      <c r="AW128" s="128">
        <f t="shared" si="363"/>
        <v>122200</v>
      </c>
      <c r="AX128" s="128">
        <f t="shared" si="358"/>
        <v>122200</v>
      </c>
      <c r="AY128" s="130">
        <f t="shared" si="259"/>
        <v>3.9E-2</v>
      </c>
      <c r="AZ128" s="128">
        <f t="shared" si="260"/>
        <v>122597.15</v>
      </c>
      <c r="BA128" s="128" t="str">
        <f t="shared" si="261"/>
        <v>nie</v>
      </c>
      <c r="BB128" s="128">
        <f t="shared" si="262"/>
        <v>855.4</v>
      </c>
      <c r="BC128" s="128">
        <f t="shared" si="158"/>
        <v>121828.8175</v>
      </c>
      <c r="BD128" s="128">
        <f t="shared" si="263"/>
        <v>321.6914999999953</v>
      </c>
      <c r="BE128" s="130">
        <f t="shared" si="264"/>
        <v>3.5999999999999997E-2</v>
      </c>
      <c r="BF128" s="128">
        <f t="shared" si="265"/>
        <v>4316.5200093978438</v>
      </c>
      <c r="BG128" s="128">
        <f t="shared" si="159"/>
        <v>125823.64600939785</v>
      </c>
      <c r="BI128" s="124">
        <f t="shared" si="332"/>
        <v>85</v>
      </c>
      <c r="BJ128" s="130">
        <f t="shared" si="354"/>
        <v>3.9100000000000003E-2</v>
      </c>
      <c r="BK128" s="127">
        <f t="shared" si="333"/>
        <v>1237</v>
      </c>
      <c r="BL128" s="128">
        <f t="shared" si="334"/>
        <v>123576.3</v>
      </c>
      <c r="BM128" s="128">
        <f t="shared" si="349"/>
        <v>123700</v>
      </c>
      <c r="BN128" s="128">
        <f t="shared" si="335"/>
        <v>129142.8</v>
      </c>
      <c r="BO128" s="130">
        <f t="shared" si="266"/>
        <v>4.3999999999999997E-2</v>
      </c>
      <c r="BP128" s="128">
        <f t="shared" si="267"/>
        <v>129616.3236</v>
      </c>
      <c r="BQ128" s="128" t="str">
        <f t="shared" si="268"/>
        <v>nie</v>
      </c>
      <c r="BR128" s="128">
        <f t="shared" si="269"/>
        <v>1237</v>
      </c>
      <c r="BS128" s="128">
        <f t="shared" si="364"/>
        <v>127490.252116</v>
      </c>
      <c r="BT128" s="128">
        <f t="shared" si="356"/>
        <v>0</v>
      </c>
      <c r="BU128" s="130">
        <f t="shared" si="270"/>
        <v>3.5999999999999997E-2</v>
      </c>
      <c r="BV128" s="128">
        <f t="shared" si="271"/>
        <v>136.14573611541053</v>
      </c>
      <c r="BW128" s="128">
        <f t="shared" si="365"/>
        <v>127626.39785211542</v>
      </c>
      <c r="BY128" s="130">
        <f t="shared" si="360"/>
        <v>3.1E-2</v>
      </c>
      <c r="BZ128" s="127">
        <f t="shared" si="337"/>
        <v>1158</v>
      </c>
      <c r="CA128" s="128">
        <f t="shared" si="338"/>
        <v>115696.20000000001</v>
      </c>
      <c r="CB128" s="128">
        <f t="shared" si="366"/>
        <v>115800</v>
      </c>
      <c r="CC128" s="128">
        <f t="shared" si="359"/>
        <v>115800</v>
      </c>
      <c r="CD128" s="130">
        <f t="shared" si="272"/>
        <v>4.5999999999999999E-2</v>
      </c>
      <c r="CE128" s="128">
        <f t="shared" si="273"/>
        <v>116243.90000000001</v>
      </c>
      <c r="CF128" s="128" t="str">
        <f t="shared" si="274"/>
        <v>nie</v>
      </c>
      <c r="CG128" s="128">
        <f t="shared" si="275"/>
        <v>2316</v>
      </c>
      <c r="CH128" s="128">
        <f t="shared" si="160"/>
        <v>114283.599</v>
      </c>
      <c r="CI128" s="128">
        <f t="shared" si="276"/>
        <v>0</v>
      </c>
      <c r="CJ128" s="130">
        <f t="shared" si="277"/>
        <v>3.5999999999999997E-2</v>
      </c>
      <c r="CK128" s="128">
        <f t="shared" si="278"/>
        <v>13527.844313248261</v>
      </c>
      <c r="CL128" s="128">
        <f t="shared" si="279"/>
        <v>127811.44331324827</v>
      </c>
      <c r="CN128" s="127">
        <f t="shared" si="340"/>
        <v>1000</v>
      </c>
      <c r="CO128" s="128">
        <f t="shared" si="341"/>
        <v>100000</v>
      </c>
      <c r="CP128" s="128">
        <f t="shared" si="342"/>
        <v>100000</v>
      </c>
      <c r="CQ128" s="128">
        <f t="shared" si="343"/>
        <v>141987.73656011029</v>
      </c>
      <c r="CR128" s="130">
        <f t="shared" si="280"/>
        <v>5.1000000000000004E-2</v>
      </c>
      <c r="CS128" s="128">
        <f t="shared" si="281"/>
        <v>142591.18444049076</v>
      </c>
      <c r="CT128" s="128" t="str">
        <f t="shared" si="282"/>
        <v>nie</v>
      </c>
      <c r="CU128" s="128">
        <f t="shared" si="283"/>
        <v>3000</v>
      </c>
      <c r="CV128" s="128">
        <f t="shared" si="284"/>
        <v>132068.85939679752</v>
      </c>
      <c r="CW128" s="128">
        <f t="shared" si="285"/>
        <v>0</v>
      </c>
      <c r="CX128" s="130">
        <f t="shared" si="286"/>
        <v>3.5999999999999997E-2</v>
      </c>
      <c r="CY128" s="128">
        <f t="shared" si="287"/>
        <v>0</v>
      </c>
      <c r="CZ128" s="128">
        <f t="shared" si="288"/>
        <v>132068.85939679752</v>
      </c>
      <c r="DA128" s="20"/>
      <c r="DB128" s="127">
        <f t="shared" si="350"/>
        <v>1280</v>
      </c>
      <c r="DC128" s="128">
        <f t="shared" si="351"/>
        <v>128000</v>
      </c>
      <c r="DD128" s="128">
        <f t="shared" si="344"/>
        <v>128000</v>
      </c>
      <c r="DE128" s="128">
        <f t="shared" si="345"/>
        <v>134400</v>
      </c>
      <c r="DF128" s="130">
        <f t="shared" si="289"/>
        <v>5.1000000000000004E-2</v>
      </c>
      <c r="DG128" s="128">
        <f t="shared" si="290"/>
        <v>134971.20000000001</v>
      </c>
      <c r="DH128" s="128" t="str">
        <f t="shared" si="291"/>
        <v>nie</v>
      </c>
      <c r="DI128" s="128">
        <f t="shared" si="292"/>
        <v>2560</v>
      </c>
      <c r="DJ128" s="128">
        <f t="shared" si="355"/>
        <v>131573.07200000001</v>
      </c>
      <c r="DK128" s="128">
        <f t="shared" si="294"/>
        <v>0</v>
      </c>
      <c r="DL128" s="130">
        <f t="shared" si="295"/>
        <v>3.5999999999999997E-2</v>
      </c>
      <c r="DM128" s="128">
        <f t="shared" si="296"/>
        <v>67.730057603691293</v>
      </c>
      <c r="DN128" s="128">
        <f t="shared" si="297"/>
        <v>131640.80205760369</v>
      </c>
      <c r="DP128" s="127">
        <f t="shared" si="352"/>
        <v>1000</v>
      </c>
      <c r="DQ128" s="128">
        <f t="shared" si="353"/>
        <v>100000</v>
      </c>
      <c r="DR128" s="128">
        <f t="shared" si="346"/>
        <v>100000</v>
      </c>
      <c r="DS128" s="128">
        <f t="shared" si="347"/>
        <v>146435.85503412478</v>
      </c>
      <c r="DT128" s="130">
        <f t="shared" si="298"/>
        <v>5.6000000000000001E-2</v>
      </c>
      <c r="DU128" s="128">
        <f t="shared" si="299"/>
        <v>147119.22235761734</v>
      </c>
      <c r="DV128" s="128" t="str">
        <f t="shared" si="300"/>
        <v>nie</v>
      </c>
      <c r="DW128" s="128">
        <f t="shared" si="301"/>
        <v>3000</v>
      </c>
      <c r="DX128" s="128">
        <f t="shared" si="302"/>
        <v>135736.57010967005</v>
      </c>
      <c r="DY128" s="128">
        <f t="shared" si="303"/>
        <v>0</v>
      </c>
      <c r="DZ128" s="130">
        <f t="shared" si="304"/>
        <v>3.5999999999999997E-2</v>
      </c>
      <c r="EA128" s="128">
        <f t="shared" si="305"/>
        <v>0</v>
      </c>
      <c r="EB128" s="128">
        <f t="shared" si="306"/>
        <v>135736.57010967005</v>
      </c>
    </row>
    <row r="129" spans="1:132">
      <c r="A129" s="212">
        <f>ROUNDUP(B140/12,0)</f>
        <v>8</v>
      </c>
      <c r="B129" s="188">
        <f t="shared" si="307"/>
        <v>85</v>
      </c>
      <c r="C129" s="128">
        <f t="shared" si="308"/>
        <v>131167.17885888324</v>
      </c>
      <c r="D129" s="128">
        <f t="shared" si="309"/>
        <v>125823.64600939785</v>
      </c>
      <c r="E129" s="128">
        <f t="shared" si="310"/>
        <v>127626.39785211542</v>
      </c>
      <c r="F129" s="128">
        <f t="shared" si="311"/>
        <v>127811.44331324827</v>
      </c>
      <c r="G129" s="128">
        <f t="shared" si="312"/>
        <v>132068.85939679752</v>
      </c>
      <c r="H129" s="128">
        <f t="shared" si="313"/>
        <v>131640.80205760369</v>
      </c>
      <c r="I129" s="128">
        <f t="shared" si="314"/>
        <v>135736.57010967005</v>
      </c>
      <c r="J129" s="128">
        <f t="shared" si="315"/>
        <v>122912.12062435364</v>
      </c>
      <c r="K129" s="128">
        <f t="shared" si="316"/>
        <v>124145.54452777343</v>
      </c>
      <c r="M129" s="36"/>
      <c r="N129" s="32">
        <f t="shared" si="317"/>
        <v>85</v>
      </c>
      <c r="O129" s="25">
        <f t="shared" si="318"/>
        <v>0.31167178858883249</v>
      </c>
      <c r="P129" s="25">
        <f t="shared" si="319"/>
        <v>0.2582364600939786</v>
      </c>
      <c r="Q129" s="25">
        <f t="shared" si="320"/>
        <v>0.27626397852115425</v>
      </c>
      <c r="R129" s="25">
        <f t="shared" si="245"/>
        <v>0.27811443313248274</v>
      </c>
      <c r="S129" s="25">
        <f t="shared" si="246"/>
        <v>0.32068859396797511</v>
      </c>
      <c r="T129" s="25">
        <f t="shared" si="247"/>
        <v>0.3164080205760369</v>
      </c>
      <c r="U129" s="25">
        <f t="shared" si="248"/>
        <v>0.35736570109670041</v>
      </c>
      <c r="V129" s="25">
        <f t="shared" si="249"/>
        <v>0.22912120624353638</v>
      </c>
      <c r="W129" s="25">
        <f t="shared" si="250"/>
        <v>0.24145544527773422</v>
      </c>
      <c r="X129" s="36"/>
      <c r="Y129" s="36"/>
      <c r="AA129" s="124">
        <f t="shared" si="321"/>
        <v>86</v>
      </c>
      <c r="AB129" s="128">
        <f t="shared" si="251"/>
        <v>124465.42748682595</v>
      </c>
      <c r="AC129" s="124">
        <f t="shared" si="322"/>
        <v>86</v>
      </c>
      <c r="AD129" s="130">
        <f t="shared" si="323"/>
        <v>3.7499999999999999E-2</v>
      </c>
      <c r="AE129" s="127">
        <f t="shared" si="324"/>
        <v>1272</v>
      </c>
      <c r="AF129" s="128">
        <f t="shared" si="325"/>
        <v>127076.70000000001</v>
      </c>
      <c r="AG129" s="128">
        <f t="shared" si="348"/>
        <v>127200</v>
      </c>
      <c r="AH129" s="128">
        <f t="shared" si="357"/>
        <v>127200</v>
      </c>
      <c r="AI129" s="130">
        <f t="shared" si="252"/>
        <v>3.7499999999999999E-2</v>
      </c>
      <c r="AJ129" s="128">
        <f t="shared" si="253"/>
        <v>127597.5</v>
      </c>
      <c r="AK129" s="128" t="str">
        <f t="shared" si="254"/>
        <v>nie</v>
      </c>
      <c r="AL129" s="128">
        <f t="shared" si="255"/>
        <v>636</v>
      </c>
      <c r="AM129" s="128">
        <f t="shared" si="361"/>
        <v>127006.815</v>
      </c>
      <c r="AN129" s="128">
        <f t="shared" si="256"/>
        <v>321.97500000000002</v>
      </c>
      <c r="AO129" s="130">
        <f t="shared" si="257"/>
        <v>3.5999999999999997E-2</v>
      </c>
      <c r="AP129" s="128">
        <f t="shared" si="258"/>
        <v>724.09163360032881</v>
      </c>
      <c r="AQ129" s="128">
        <f t="shared" si="362"/>
        <v>127408.93163360032</v>
      </c>
      <c r="AS129" s="124">
        <f t="shared" si="327"/>
        <v>86</v>
      </c>
      <c r="AT129" s="130">
        <f t="shared" si="328"/>
        <v>3.7499999999999999E-2</v>
      </c>
      <c r="AU129" s="127">
        <f t="shared" si="329"/>
        <v>1222</v>
      </c>
      <c r="AV129" s="128">
        <f t="shared" si="330"/>
        <v>122085.40000000001</v>
      </c>
      <c r="AW129" s="128">
        <f t="shared" si="363"/>
        <v>122200</v>
      </c>
      <c r="AX129" s="128">
        <f t="shared" si="358"/>
        <v>122200</v>
      </c>
      <c r="AY129" s="130">
        <f t="shared" si="259"/>
        <v>3.9E-2</v>
      </c>
      <c r="AZ129" s="128">
        <f t="shared" si="260"/>
        <v>122597.15</v>
      </c>
      <c r="BA129" s="128" t="str">
        <f t="shared" si="261"/>
        <v>nie</v>
      </c>
      <c r="BB129" s="128">
        <f t="shared" si="262"/>
        <v>855.4</v>
      </c>
      <c r="BC129" s="128">
        <f t="shared" si="158"/>
        <v>121828.8175</v>
      </c>
      <c r="BD129" s="128">
        <f t="shared" si="263"/>
        <v>321.6914999999953</v>
      </c>
      <c r="BE129" s="130">
        <f t="shared" si="264"/>
        <v>3.5999999999999997E-2</v>
      </c>
      <c r="BF129" s="128">
        <f t="shared" si="265"/>
        <v>4648.7006530206754</v>
      </c>
      <c r="BG129" s="128">
        <f t="shared" si="159"/>
        <v>126155.82665302069</v>
      </c>
      <c r="BI129" s="124">
        <f t="shared" si="332"/>
        <v>86</v>
      </c>
      <c r="BJ129" s="130">
        <f t="shared" si="354"/>
        <v>3.9100000000000003E-2</v>
      </c>
      <c r="BK129" s="127">
        <f t="shared" si="333"/>
        <v>1237</v>
      </c>
      <c r="BL129" s="128">
        <f t="shared" si="334"/>
        <v>123576.3</v>
      </c>
      <c r="BM129" s="128">
        <f t="shared" si="349"/>
        <v>123700</v>
      </c>
      <c r="BN129" s="128">
        <f t="shared" si="335"/>
        <v>129142.8</v>
      </c>
      <c r="BO129" s="130">
        <f t="shared" si="266"/>
        <v>4.3999999999999997E-2</v>
      </c>
      <c r="BP129" s="128">
        <f t="shared" si="267"/>
        <v>130089.84720000002</v>
      </c>
      <c r="BQ129" s="128" t="str">
        <f t="shared" si="268"/>
        <v>nie</v>
      </c>
      <c r="BR129" s="128">
        <f t="shared" si="269"/>
        <v>1237</v>
      </c>
      <c r="BS129" s="128">
        <f t="shared" si="364"/>
        <v>127873.80623200002</v>
      </c>
      <c r="BT129" s="128">
        <f t="shared" si="356"/>
        <v>0</v>
      </c>
      <c r="BU129" s="130">
        <f t="shared" si="270"/>
        <v>3.5999999999999997E-2</v>
      </c>
      <c r="BV129" s="128">
        <f t="shared" si="271"/>
        <v>136.47657025417098</v>
      </c>
      <c r="BW129" s="128">
        <f t="shared" si="365"/>
        <v>128010.28280225419</v>
      </c>
      <c r="BY129" s="130">
        <f t="shared" si="360"/>
        <v>3.1E-2</v>
      </c>
      <c r="BZ129" s="127">
        <f t="shared" si="337"/>
        <v>1158</v>
      </c>
      <c r="CA129" s="128">
        <f t="shared" si="338"/>
        <v>115696.20000000001</v>
      </c>
      <c r="CB129" s="128">
        <f t="shared" si="366"/>
        <v>115800</v>
      </c>
      <c r="CC129" s="128">
        <f t="shared" si="359"/>
        <v>115800</v>
      </c>
      <c r="CD129" s="130">
        <f t="shared" si="272"/>
        <v>4.5999999999999999E-2</v>
      </c>
      <c r="CE129" s="128">
        <f t="shared" si="273"/>
        <v>116687.8</v>
      </c>
      <c r="CF129" s="128" t="str">
        <f t="shared" si="274"/>
        <v>nie</v>
      </c>
      <c r="CG129" s="128">
        <f t="shared" si="275"/>
        <v>2316</v>
      </c>
      <c r="CH129" s="128">
        <f t="shared" si="160"/>
        <v>114643.158</v>
      </c>
      <c r="CI129" s="128">
        <f t="shared" si="276"/>
        <v>0</v>
      </c>
      <c r="CJ129" s="130">
        <f t="shared" si="277"/>
        <v>3.5999999999999997E-2</v>
      </c>
      <c r="CK129" s="128">
        <f t="shared" si="278"/>
        <v>13560.716974929453</v>
      </c>
      <c r="CL129" s="128">
        <f t="shared" si="279"/>
        <v>128203.87497492945</v>
      </c>
      <c r="CN129" s="127">
        <f t="shared" si="340"/>
        <v>1000</v>
      </c>
      <c r="CO129" s="128">
        <f t="shared" si="341"/>
        <v>100000</v>
      </c>
      <c r="CP129" s="128">
        <f t="shared" si="342"/>
        <v>100000</v>
      </c>
      <c r="CQ129" s="128">
        <f t="shared" si="343"/>
        <v>141987.73656011029</v>
      </c>
      <c r="CR129" s="130">
        <f t="shared" si="280"/>
        <v>5.1000000000000004E-2</v>
      </c>
      <c r="CS129" s="128">
        <f t="shared" si="281"/>
        <v>143194.63232087123</v>
      </c>
      <c r="CT129" s="128" t="str">
        <f t="shared" si="282"/>
        <v>nie</v>
      </c>
      <c r="CU129" s="128">
        <f t="shared" si="283"/>
        <v>3000</v>
      </c>
      <c r="CV129" s="128">
        <f t="shared" si="284"/>
        <v>132557.65217990571</v>
      </c>
      <c r="CW129" s="128">
        <f t="shared" si="285"/>
        <v>0</v>
      </c>
      <c r="CX129" s="130">
        <f t="shared" si="286"/>
        <v>3.5999999999999997E-2</v>
      </c>
      <c r="CY129" s="128">
        <f t="shared" si="287"/>
        <v>0</v>
      </c>
      <c r="CZ129" s="128">
        <f t="shared" si="288"/>
        <v>132557.65217990571</v>
      </c>
      <c r="DA129" s="20"/>
      <c r="DB129" s="127">
        <f t="shared" si="350"/>
        <v>1280</v>
      </c>
      <c r="DC129" s="128">
        <f t="shared" si="351"/>
        <v>128000</v>
      </c>
      <c r="DD129" s="128">
        <f t="shared" si="344"/>
        <v>128000</v>
      </c>
      <c r="DE129" s="128">
        <f t="shared" si="345"/>
        <v>134400</v>
      </c>
      <c r="DF129" s="130">
        <f t="shared" si="289"/>
        <v>5.1000000000000004E-2</v>
      </c>
      <c r="DG129" s="128">
        <f t="shared" si="290"/>
        <v>135542.39999999999</v>
      </c>
      <c r="DH129" s="128" t="str">
        <f t="shared" si="291"/>
        <v>nie</v>
      </c>
      <c r="DI129" s="128">
        <f t="shared" si="292"/>
        <v>2560</v>
      </c>
      <c r="DJ129" s="128">
        <f t="shared" si="355"/>
        <v>132035.74400000001</v>
      </c>
      <c r="DK129" s="128">
        <f t="shared" si="294"/>
        <v>0</v>
      </c>
      <c r="DL129" s="130">
        <f t="shared" si="295"/>
        <v>3.5999999999999997E-2</v>
      </c>
      <c r="DM129" s="128">
        <f t="shared" si="296"/>
        <v>67.894641643668251</v>
      </c>
      <c r="DN129" s="128">
        <f t="shared" si="297"/>
        <v>132103.63864164369</v>
      </c>
      <c r="DP129" s="127">
        <f t="shared" si="352"/>
        <v>1000</v>
      </c>
      <c r="DQ129" s="128">
        <f t="shared" si="353"/>
        <v>100000</v>
      </c>
      <c r="DR129" s="128">
        <f t="shared" si="346"/>
        <v>100000</v>
      </c>
      <c r="DS129" s="128">
        <f t="shared" si="347"/>
        <v>146435.85503412478</v>
      </c>
      <c r="DT129" s="130">
        <f t="shared" si="298"/>
        <v>5.6000000000000001E-2</v>
      </c>
      <c r="DU129" s="128">
        <f t="shared" si="299"/>
        <v>147802.58968110997</v>
      </c>
      <c r="DV129" s="128" t="str">
        <f t="shared" si="300"/>
        <v>nie</v>
      </c>
      <c r="DW129" s="128">
        <f t="shared" si="301"/>
        <v>3000</v>
      </c>
      <c r="DX129" s="128">
        <f t="shared" si="302"/>
        <v>136290.09764169907</v>
      </c>
      <c r="DY129" s="128">
        <f t="shared" si="303"/>
        <v>0</v>
      </c>
      <c r="DZ129" s="130">
        <f t="shared" si="304"/>
        <v>3.5999999999999997E-2</v>
      </c>
      <c r="EA129" s="128">
        <f t="shared" si="305"/>
        <v>0</v>
      </c>
      <c r="EB129" s="128">
        <f t="shared" si="306"/>
        <v>136290.09764169907</v>
      </c>
    </row>
    <row r="130" spans="1:132">
      <c r="A130" s="212"/>
      <c r="B130" s="188">
        <f t="shared" si="307"/>
        <v>86</v>
      </c>
      <c r="C130" s="128">
        <f t="shared" si="308"/>
        <v>127408.93163360032</v>
      </c>
      <c r="D130" s="128">
        <f t="shared" si="309"/>
        <v>126155.82665302069</v>
      </c>
      <c r="E130" s="128">
        <f t="shared" si="310"/>
        <v>128010.28280225419</v>
      </c>
      <c r="F130" s="128">
        <f t="shared" si="311"/>
        <v>128203.87497492945</v>
      </c>
      <c r="G130" s="128">
        <f t="shared" si="312"/>
        <v>132557.65217990571</v>
      </c>
      <c r="H130" s="128">
        <f t="shared" si="313"/>
        <v>132103.63864164369</v>
      </c>
      <c r="I130" s="128">
        <f t="shared" si="314"/>
        <v>136290.09764169907</v>
      </c>
      <c r="J130" s="128">
        <f t="shared" si="315"/>
        <v>123210.79707747081</v>
      </c>
      <c r="K130" s="128">
        <f t="shared" si="316"/>
        <v>124465.42748682595</v>
      </c>
      <c r="M130" s="36"/>
      <c r="N130" s="32">
        <f t="shared" si="317"/>
        <v>86</v>
      </c>
      <c r="O130" s="25">
        <f t="shared" si="318"/>
        <v>0.2740893163360032</v>
      </c>
      <c r="P130" s="25">
        <f t="shared" si="319"/>
        <v>0.26155826653020697</v>
      </c>
      <c r="Q130" s="25">
        <f t="shared" si="320"/>
        <v>0.28010282802254194</v>
      </c>
      <c r="R130" s="25">
        <f t="shared" si="245"/>
        <v>0.28203874974929444</v>
      </c>
      <c r="S130" s="25">
        <f t="shared" si="246"/>
        <v>0.32557652179905716</v>
      </c>
      <c r="T130" s="25">
        <f t="shared" si="247"/>
        <v>0.32103638641643695</v>
      </c>
      <c r="U130" s="25">
        <f t="shared" si="248"/>
        <v>0.36290097641699082</v>
      </c>
      <c r="V130" s="25">
        <f t="shared" si="249"/>
        <v>0.23210797077470802</v>
      </c>
      <c r="W130" s="25">
        <f t="shared" si="250"/>
        <v>0.24465427486825964</v>
      </c>
      <c r="X130" s="36"/>
      <c r="Y130" s="36"/>
      <c r="AA130" s="124">
        <f t="shared" si="321"/>
        <v>87</v>
      </c>
      <c r="AB130" s="128">
        <f t="shared" si="251"/>
        <v>124785.31044587847</v>
      </c>
      <c r="AC130" s="124">
        <f t="shared" si="322"/>
        <v>87</v>
      </c>
      <c r="AD130" s="130">
        <f t="shared" si="323"/>
        <v>3.7499999999999999E-2</v>
      </c>
      <c r="AE130" s="127">
        <f t="shared" si="324"/>
        <v>1272</v>
      </c>
      <c r="AF130" s="128">
        <f t="shared" si="325"/>
        <v>127076.70000000001</v>
      </c>
      <c r="AG130" s="128">
        <f t="shared" si="348"/>
        <v>127200</v>
      </c>
      <c r="AH130" s="128">
        <f t="shared" si="357"/>
        <v>127200</v>
      </c>
      <c r="AI130" s="130">
        <f t="shared" si="252"/>
        <v>3.7499999999999999E-2</v>
      </c>
      <c r="AJ130" s="128">
        <f t="shared" si="253"/>
        <v>127597.5</v>
      </c>
      <c r="AK130" s="128" t="str">
        <f t="shared" si="254"/>
        <v>nie</v>
      </c>
      <c r="AL130" s="128">
        <f t="shared" si="255"/>
        <v>636</v>
      </c>
      <c r="AM130" s="128">
        <f t="shared" si="361"/>
        <v>127006.815</v>
      </c>
      <c r="AN130" s="128">
        <f t="shared" si="256"/>
        <v>321.97500000000002</v>
      </c>
      <c r="AO130" s="130">
        <f t="shared" si="257"/>
        <v>3.5999999999999997E-2</v>
      </c>
      <c r="AP130" s="128">
        <f t="shared" si="258"/>
        <v>1047.8261762699776</v>
      </c>
      <c r="AQ130" s="128">
        <f t="shared" si="362"/>
        <v>127732.66617626998</v>
      </c>
      <c r="AS130" s="124">
        <f t="shared" si="327"/>
        <v>87</v>
      </c>
      <c r="AT130" s="130">
        <f t="shared" si="328"/>
        <v>3.7499999999999999E-2</v>
      </c>
      <c r="AU130" s="127">
        <f t="shared" si="329"/>
        <v>1222</v>
      </c>
      <c r="AV130" s="128">
        <f t="shared" si="330"/>
        <v>122085.40000000001</v>
      </c>
      <c r="AW130" s="128">
        <f t="shared" si="363"/>
        <v>122200</v>
      </c>
      <c r="AX130" s="128">
        <f t="shared" si="358"/>
        <v>122200</v>
      </c>
      <c r="AY130" s="130">
        <f t="shared" si="259"/>
        <v>3.9E-2</v>
      </c>
      <c r="AZ130" s="128">
        <f t="shared" si="260"/>
        <v>122597.15</v>
      </c>
      <c r="BA130" s="128" t="str">
        <f t="shared" si="261"/>
        <v>nie</v>
      </c>
      <c r="BB130" s="128">
        <f t="shared" si="262"/>
        <v>855.4</v>
      </c>
      <c r="BC130" s="128">
        <f t="shared" si="158"/>
        <v>121828.8175</v>
      </c>
      <c r="BD130" s="128">
        <f t="shared" si="263"/>
        <v>321.6914999999953</v>
      </c>
      <c r="BE130" s="130">
        <f t="shared" si="264"/>
        <v>3.5999999999999997E-2</v>
      </c>
      <c r="BF130" s="128">
        <f t="shared" si="265"/>
        <v>4981.688495607511</v>
      </c>
      <c r="BG130" s="128">
        <f t="shared" si="159"/>
        <v>126488.81449560753</v>
      </c>
      <c r="BI130" s="124">
        <f t="shared" si="332"/>
        <v>87</v>
      </c>
      <c r="BJ130" s="130">
        <f t="shared" si="354"/>
        <v>3.9100000000000003E-2</v>
      </c>
      <c r="BK130" s="127">
        <f t="shared" si="333"/>
        <v>1237</v>
      </c>
      <c r="BL130" s="128">
        <f t="shared" si="334"/>
        <v>123576.3</v>
      </c>
      <c r="BM130" s="128">
        <f t="shared" si="349"/>
        <v>123700</v>
      </c>
      <c r="BN130" s="128">
        <f t="shared" si="335"/>
        <v>129142.8</v>
      </c>
      <c r="BO130" s="130">
        <f t="shared" si="266"/>
        <v>4.3999999999999997E-2</v>
      </c>
      <c r="BP130" s="128">
        <f t="shared" si="267"/>
        <v>130563.37079999999</v>
      </c>
      <c r="BQ130" s="128" t="str">
        <f t="shared" si="268"/>
        <v>nie</v>
      </c>
      <c r="BR130" s="128">
        <f t="shared" si="269"/>
        <v>1237</v>
      </c>
      <c r="BS130" s="128">
        <f t="shared" si="364"/>
        <v>128257.36034799999</v>
      </c>
      <c r="BT130" s="128">
        <f t="shared" si="356"/>
        <v>0</v>
      </c>
      <c r="BU130" s="130">
        <f t="shared" si="270"/>
        <v>3.5999999999999997E-2</v>
      </c>
      <c r="BV130" s="128">
        <f t="shared" si="271"/>
        <v>136.80820831988859</v>
      </c>
      <c r="BW130" s="128">
        <f t="shared" si="365"/>
        <v>128394.16855631987</v>
      </c>
      <c r="BY130" s="130">
        <f t="shared" si="360"/>
        <v>3.1E-2</v>
      </c>
      <c r="BZ130" s="127">
        <f t="shared" si="337"/>
        <v>1158</v>
      </c>
      <c r="CA130" s="128">
        <f t="shared" si="338"/>
        <v>115696.20000000001</v>
      </c>
      <c r="CB130" s="128">
        <f t="shared" si="366"/>
        <v>115800</v>
      </c>
      <c r="CC130" s="128">
        <f t="shared" si="359"/>
        <v>115800</v>
      </c>
      <c r="CD130" s="130">
        <f t="shared" si="272"/>
        <v>4.5999999999999999E-2</v>
      </c>
      <c r="CE130" s="128">
        <f t="shared" si="273"/>
        <v>117131.70000000001</v>
      </c>
      <c r="CF130" s="128" t="str">
        <f t="shared" si="274"/>
        <v>nie</v>
      </c>
      <c r="CG130" s="128">
        <f t="shared" si="275"/>
        <v>2316</v>
      </c>
      <c r="CH130" s="128">
        <f t="shared" si="160"/>
        <v>115002.717</v>
      </c>
      <c r="CI130" s="128">
        <f t="shared" si="276"/>
        <v>0</v>
      </c>
      <c r="CJ130" s="130">
        <f t="shared" si="277"/>
        <v>3.5999999999999997E-2</v>
      </c>
      <c r="CK130" s="128">
        <f t="shared" si="278"/>
        <v>13593.66951717853</v>
      </c>
      <c r="CL130" s="128">
        <f t="shared" si="279"/>
        <v>128596.38651717853</v>
      </c>
      <c r="CN130" s="127">
        <f t="shared" si="340"/>
        <v>1000</v>
      </c>
      <c r="CO130" s="128">
        <f t="shared" si="341"/>
        <v>100000</v>
      </c>
      <c r="CP130" s="128">
        <f t="shared" si="342"/>
        <v>100000</v>
      </c>
      <c r="CQ130" s="128">
        <f t="shared" si="343"/>
        <v>141987.73656011029</v>
      </c>
      <c r="CR130" s="130">
        <f t="shared" si="280"/>
        <v>5.1000000000000004E-2</v>
      </c>
      <c r="CS130" s="128">
        <f t="shared" si="281"/>
        <v>143798.08020125169</v>
      </c>
      <c r="CT130" s="128" t="str">
        <f t="shared" si="282"/>
        <v>nie</v>
      </c>
      <c r="CU130" s="128">
        <f t="shared" si="283"/>
        <v>3000</v>
      </c>
      <c r="CV130" s="128">
        <f t="shared" si="284"/>
        <v>133046.44496301387</v>
      </c>
      <c r="CW130" s="128">
        <f t="shared" si="285"/>
        <v>0</v>
      </c>
      <c r="CX130" s="130">
        <f t="shared" si="286"/>
        <v>3.5999999999999997E-2</v>
      </c>
      <c r="CY130" s="128">
        <f t="shared" si="287"/>
        <v>0</v>
      </c>
      <c r="CZ130" s="128">
        <f t="shared" si="288"/>
        <v>133046.44496301387</v>
      </c>
      <c r="DA130" s="20"/>
      <c r="DB130" s="127">
        <f t="shared" si="350"/>
        <v>1280</v>
      </c>
      <c r="DC130" s="128">
        <f t="shared" si="351"/>
        <v>128000</v>
      </c>
      <c r="DD130" s="128">
        <f t="shared" si="344"/>
        <v>128000</v>
      </c>
      <c r="DE130" s="128">
        <f t="shared" si="345"/>
        <v>134400</v>
      </c>
      <c r="DF130" s="130">
        <f t="shared" si="289"/>
        <v>5.1000000000000004E-2</v>
      </c>
      <c r="DG130" s="128">
        <f t="shared" si="290"/>
        <v>136113.60000000001</v>
      </c>
      <c r="DH130" s="128" t="str">
        <f t="shared" si="291"/>
        <v>nie</v>
      </c>
      <c r="DI130" s="128">
        <f t="shared" si="292"/>
        <v>2560</v>
      </c>
      <c r="DJ130" s="128">
        <f t="shared" si="355"/>
        <v>132498.416</v>
      </c>
      <c r="DK130" s="128">
        <f t="shared" si="294"/>
        <v>0</v>
      </c>
      <c r="DL130" s="130">
        <f t="shared" si="295"/>
        <v>3.5999999999999997E-2</v>
      </c>
      <c r="DM130" s="128">
        <f t="shared" si="296"/>
        <v>68.059625622862356</v>
      </c>
      <c r="DN130" s="128">
        <f t="shared" si="297"/>
        <v>132566.47562562287</v>
      </c>
      <c r="DP130" s="127">
        <f t="shared" si="352"/>
        <v>1000</v>
      </c>
      <c r="DQ130" s="128">
        <f t="shared" si="353"/>
        <v>100000</v>
      </c>
      <c r="DR130" s="128">
        <f t="shared" si="346"/>
        <v>100000</v>
      </c>
      <c r="DS130" s="128">
        <f t="shared" si="347"/>
        <v>146435.85503412478</v>
      </c>
      <c r="DT130" s="130">
        <f t="shared" si="298"/>
        <v>5.6000000000000001E-2</v>
      </c>
      <c r="DU130" s="128">
        <f t="shared" si="299"/>
        <v>148485.95700460253</v>
      </c>
      <c r="DV130" s="128" t="str">
        <f t="shared" si="300"/>
        <v>nie</v>
      </c>
      <c r="DW130" s="128">
        <f t="shared" si="301"/>
        <v>3000</v>
      </c>
      <c r="DX130" s="128">
        <f t="shared" si="302"/>
        <v>136843.62517372804</v>
      </c>
      <c r="DY130" s="128">
        <f t="shared" si="303"/>
        <v>0</v>
      </c>
      <c r="DZ130" s="130">
        <f t="shared" si="304"/>
        <v>3.5999999999999997E-2</v>
      </c>
      <c r="EA130" s="128">
        <f t="shared" si="305"/>
        <v>0</v>
      </c>
      <c r="EB130" s="128">
        <f t="shared" si="306"/>
        <v>136843.62517372804</v>
      </c>
    </row>
    <row r="131" spans="1:132">
      <c r="A131" s="212"/>
      <c r="B131" s="188">
        <f t="shared" si="307"/>
        <v>87</v>
      </c>
      <c r="C131" s="128">
        <f t="shared" si="308"/>
        <v>127732.66617626998</v>
      </c>
      <c r="D131" s="128">
        <f t="shared" si="309"/>
        <v>126488.81449560753</v>
      </c>
      <c r="E131" s="128">
        <f t="shared" si="310"/>
        <v>128394.16855631987</v>
      </c>
      <c r="F131" s="128">
        <f t="shared" si="311"/>
        <v>128596.38651717853</v>
      </c>
      <c r="G131" s="128">
        <f t="shared" si="312"/>
        <v>133046.44496301387</v>
      </c>
      <c r="H131" s="128">
        <f t="shared" si="313"/>
        <v>132566.47562562287</v>
      </c>
      <c r="I131" s="128">
        <f t="shared" si="314"/>
        <v>136843.62517372804</v>
      </c>
      <c r="J131" s="128">
        <f t="shared" si="315"/>
        <v>123510.19931436905</v>
      </c>
      <c r="K131" s="128">
        <f t="shared" si="316"/>
        <v>124785.31044587847</v>
      </c>
      <c r="M131" s="36"/>
      <c r="N131" s="32">
        <f t="shared" si="317"/>
        <v>87</v>
      </c>
      <c r="O131" s="25">
        <f t="shared" si="318"/>
        <v>0.27732666176269971</v>
      </c>
      <c r="P131" s="25">
        <f t="shared" si="319"/>
        <v>0.26488814495607516</v>
      </c>
      <c r="Q131" s="25">
        <f t="shared" si="320"/>
        <v>0.28394168556319865</v>
      </c>
      <c r="R131" s="25">
        <f t="shared" si="245"/>
        <v>0.28596386517178529</v>
      </c>
      <c r="S131" s="25">
        <f t="shared" si="246"/>
        <v>0.33046444963013877</v>
      </c>
      <c r="T131" s="25">
        <f t="shared" si="247"/>
        <v>0.3256647562562287</v>
      </c>
      <c r="U131" s="25">
        <f t="shared" si="248"/>
        <v>0.36843625173728034</v>
      </c>
      <c r="V131" s="25">
        <f t="shared" si="249"/>
        <v>0.2351019931436904</v>
      </c>
      <c r="W131" s="25">
        <f t="shared" si="250"/>
        <v>0.24785310445878461</v>
      </c>
      <c r="X131" s="36"/>
      <c r="Y131" s="36"/>
      <c r="AA131" s="124">
        <f t="shared" si="321"/>
        <v>88</v>
      </c>
      <c r="AB131" s="128">
        <f t="shared" si="251"/>
        <v>125105.19340493099</v>
      </c>
      <c r="AC131" s="124">
        <f t="shared" si="322"/>
        <v>88</v>
      </c>
      <c r="AD131" s="130">
        <f t="shared" si="323"/>
        <v>3.7499999999999999E-2</v>
      </c>
      <c r="AE131" s="127">
        <f t="shared" si="324"/>
        <v>1272</v>
      </c>
      <c r="AF131" s="128">
        <f t="shared" si="325"/>
        <v>127076.70000000001</v>
      </c>
      <c r="AG131" s="128">
        <f t="shared" si="348"/>
        <v>127200</v>
      </c>
      <c r="AH131" s="128">
        <f t="shared" si="357"/>
        <v>127200</v>
      </c>
      <c r="AI131" s="130">
        <f t="shared" si="252"/>
        <v>3.7499999999999999E-2</v>
      </c>
      <c r="AJ131" s="128">
        <f t="shared" si="253"/>
        <v>127597.5</v>
      </c>
      <c r="AK131" s="128" t="str">
        <f t="shared" si="254"/>
        <v>nie</v>
      </c>
      <c r="AL131" s="128">
        <f t="shared" si="255"/>
        <v>636</v>
      </c>
      <c r="AM131" s="128">
        <f t="shared" si="361"/>
        <v>127006.815</v>
      </c>
      <c r="AN131" s="128">
        <f t="shared" si="256"/>
        <v>321.97500000000002</v>
      </c>
      <c r="AO131" s="130">
        <f t="shared" si="257"/>
        <v>3.5999999999999997E-2</v>
      </c>
      <c r="AP131" s="128">
        <f t="shared" si="258"/>
        <v>1372.3473938783136</v>
      </c>
      <c r="AQ131" s="128">
        <f t="shared" si="362"/>
        <v>128057.18739387831</v>
      </c>
      <c r="AS131" s="124">
        <f t="shared" si="327"/>
        <v>88</v>
      </c>
      <c r="AT131" s="130">
        <f t="shared" si="328"/>
        <v>3.7499999999999999E-2</v>
      </c>
      <c r="AU131" s="127">
        <f t="shared" si="329"/>
        <v>1222</v>
      </c>
      <c r="AV131" s="128">
        <f t="shared" si="330"/>
        <v>122085.40000000001</v>
      </c>
      <c r="AW131" s="128">
        <f t="shared" si="363"/>
        <v>122200</v>
      </c>
      <c r="AX131" s="128">
        <f t="shared" si="358"/>
        <v>122200</v>
      </c>
      <c r="AY131" s="130">
        <f t="shared" si="259"/>
        <v>3.9E-2</v>
      </c>
      <c r="AZ131" s="128">
        <f t="shared" si="260"/>
        <v>122597.15</v>
      </c>
      <c r="BA131" s="128" t="str">
        <f t="shared" si="261"/>
        <v>nie</v>
      </c>
      <c r="BB131" s="128">
        <f t="shared" si="262"/>
        <v>855.4</v>
      </c>
      <c r="BC131" s="128">
        <f t="shared" si="158"/>
        <v>121828.8175</v>
      </c>
      <c r="BD131" s="128">
        <f t="shared" si="263"/>
        <v>321.6914999999953</v>
      </c>
      <c r="BE131" s="130">
        <f t="shared" si="264"/>
        <v>3.5999999999999997E-2</v>
      </c>
      <c r="BF131" s="128">
        <f t="shared" si="265"/>
        <v>5315.4854986518321</v>
      </c>
      <c r="BG131" s="128">
        <f t="shared" si="159"/>
        <v>126822.61149865184</v>
      </c>
      <c r="BI131" s="124">
        <f t="shared" si="332"/>
        <v>88</v>
      </c>
      <c r="BJ131" s="130">
        <f t="shared" si="354"/>
        <v>3.9100000000000003E-2</v>
      </c>
      <c r="BK131" s="127">
        <f t="shared" si="333"/>
        <v>1237</v>
      </c>
      <c r="BL131" s="128">
        <f t="shared" si="334"/>
        <v>123576.3</v>
      </c>
      <c r="BM131" s="128">
        <f t="shared" si="349"/>
        <v>123700</v>
      </c>
      <c r="BN131" s="128">
        <f t="shared" si="335"/>
        <v>129142.8</v>
      </c>
      <c r="BO131" s="130">
        <f t="shared" si="266"/>
        <v>4.3999999999999997E-2</v>
      </c>
      <c r="BP131" s="128">
        <f t="shared" si="267"/>
        <v>131036.89439999999</v>
      </c>
      <c r="BQ131" s="128" t="str">
        <f t="shared" si="268"/>
        <v>nie</v>
      </c>
      <c r="BR131" s="128">
        <f t="shared" si="269"/>
        <v>1237</v>
      </c>
      <c r="BS131" s="128">
        <f t="shared" si="364"/>
        <v>128640.91446399999</v>
      </c>
      <c r="BT131" s="128">
        <f t="shared" si="356"/>
        <v>0</v>
      </c>
      <c r="BU131" s="130">
        <f t="shared" si="270"/>
        <v>3.5999999999999997E-2</v>
      </c>
      <c r="BV131" s="128">
        <f t="shared" si="271"/>
        <v>137.14065226610592</v>
      </c>
      <c r="BW131" s="128">
        <f t="shared" si="365"/>
        <v>128778.0551162661</v>
      </c>
      <c r="BY131" s="130">
        <f t="shared" si="360"/>
        <v>3.1E-2</v>
      </c>
      <c r="BZ131" s="127">
        <f t="shared" si="337"/>
        <v>1158</v>
      </c>
      <c r="CA131" s="128">
        <f t="shared" si="338"/>
        <v>115696.20000000001</v>
      </c>
      <c r="CB131" s="128">
        <f t="shared" si="366"/>
        <v>115800</v>
      </c>
      <c r="CC131" s="128">
        <f t="shared" si="359"/>
        <v>115800</v>
      </c>
      <c r="CD131" s="130">
        <f t="shared" si="272"/>
        <v>4.5999999999999999E-2</v>
      </c>
      <c r="CE131" s="128">
        <f t="shared" si="273"/>
        <v>117575.6</v>
      </c>
      <c r="CF131" s="128" t="str">
        <f t="shared" si="274"/>
        <v>nie</v>
      </c>
      <c r="CG131" s="128">
        <f t="shared" si="275"/>
        <v>2316</v>
      </c>
      <c r="CH131" s="128">
        <f t="shared" si="160"/>
        <v>115362.276</v>
      </c>
      <c r="CI131" s="128">
        <f t="shared" si="276"/>
        <v>0</v>
      </c>
      <c r="CJ131" s="130">
        <f t="shared" si="277"/>
        <v>3.5999999999999997E-2</v>
      </c>
      <c r="CK131" s="128">
        <f t="shared" si="278"/>
        <v>13626.702134105273</v>
      </c>
      <c r="CL131" s="128">
        <f t="shared" si="279"/>
        <v>128988.97813410527</v>
      </c>
      <c r="CN131" s="127">
        <f t="shared" si="340"/>
        <v>1000</v>
      </c>
      <c r="CO131" s="128">
        <f t="shared" si="341"/>
        <v>100000</v>
      </c>
      <c r="CP131" s="128">
        <f t="shared" si="342"/>
        <v>100000</v>
      </c>
      <c r="CQ131" s="128">
        <f t="shared" si="343"/>
        <v>141987.73656011029</v>
      </c>
      <c r="CR131" s="130">
        <f t="shared" si="280"/>
        <v>5.1000000000000004E-2</v>
      </c>
      <c r="CS131" s="128">
        <f t="shared" si="281"/>
        <v>144401.52808163216</v>
      </c>
      <c r="CT131" s="128" t="str">
        <f t="shared" si="282"/>
        <v>nie</v>
      </c>
      <c r="CU131" s="128">
        <f t="shared" si="283"/>
        <v>3000</v>
      </c>
      <c r="CV131" s="128">
        <f t="shared" si="284"/>
        <v>133535.23774612206</v>
      </c>
      <c r="CW131" s="128">
        <f t="shared" si="285"/>
        <v>0</v>
      </c>
      <c r="CX131" s="130">
        <f t="shared" si="286"/>
        <v>3.5999999999999997E-2</v>
      </c>
      <c r="CY131" s="128">
        <f t="shared" si="287"/>
        <v>0</v>
      </c>
      <c r="CZ131" s="128">
        <f t="shared" si="288"/>
        <v>133535.23774612206</v>
      </c>
      <c r="DA131" s="20"/>
      <c r="DB131" s="127">
        <f t="shared" si="350"/>
        <v>1280</v>
      </c>
      <c r="DC131" s="128">
        <f t="shared" si="351"/>
        <v>128000</v>
      </c>
      <c r="DD131" s="128">
        <f t="shared" si="344"/>
        <v>128000</v>
      </c>
      <c r="DE131" s="128">
        <f t="shared" si="345"/>
        <v>134400</v>
      </c>
      <c r="DF131" s="130">
        <f t="shared" si="289"/>
        <v>5.1000000000000004E-2</v>
      </c>
      <c r="DG131" s="128">
        <f t="shared" si="290"/>
        <v>136684.79999999999</v>
      </c>
      <c r="DH131" s="128" t="str">
        <f t="shared" si="291"/>
        <v>nie</v>
      </c>
      <c r="DI131" s="128">
        <f t="shared" si="292"/>
        <v>2560</v>
      </c>
      <c r="DJ131" s="128">
        <f t="shared" si="355"/>
        <v>132961.08799999999</v>
      </c>
      <c r="DK131" s="128">
        <f t="shared" si="294"/>
        <v>0</v>
      </c>
      <c r="DL131" s="130">
        <f t="shared" si="295"/>
        <v>3.5999999999999997E-2</v>
      </c>
      <c r="DM131" s="128">
        <f t="shared" si="296"/>
        <v>68.225010513125909</v>
      </c>
      <c r="DN131" s="128">
        <f t="shared" si="297"/>
        <v>133029.31301051311</v>
      </c>
      <c r="DP131" s="127">
        <f t="shared" si="352"/>
        <v>1000</v>
      </c>
      <c r="DQ131" s="128">
        <f t="shared" si="353"/>
        <v>100000</v>
      </c>
      <c r="DR131" s="128">
        <f t="shared" si="346"/>
        <v>100000</v>
      </c>
      <c r="DS131" s="128">
        <f t="shared" si="347"/>
        <v>146435.85503412478</v>
      </c>
      <c r="DT131" s="130">
        <f t="shared" si="298"/>
        <v>5.6000000000000001E-2</v>
      </c>
      <c r="DU131" s="128">
        <f t="shared" si="299"/>
        <v>149169.3243280951</v>
      </c>
      <c r="DV131" s="128" t="str">
        <f t="shared" si="300"/>
        <v>nie</v>
      </c>
      <c r="DW131" s="128">
        <f t="shared" si="301"/>
        <v>3000</v>
      </c>
      <c r="DX131" s="128">
        <f t="shared" si="302"/>
        <v>137397.15270575703</v>
      </c>
      <c r="DY131" s="128">
        <f t="shared" si="303"/>
        <v>0</v>
      </c>
      <c r="DZ131" s="130">
        <f t="shared" si="304"/>
        <v>3.5999999999999997E-2</v>
      </c>
      <c r="EA131" s="128">
        <f t="shared" si="305"/>
        <v>0</v>
      </c>
      <c r="EB131" s="128">
        <f t="shared" si="306"/>
        <v>137397.15270575703</v>
      </c>
    </row>
    <row r="132" spans="1:132">
      <c r="A132" s="212"/>
      <c r="B132" s="188">
        <f t="shared" si="307"/>
        <v>88</v>
      </c>
      <c r="C132" s="128">
        <f t="shared" si="308"/>
        <v>128057.18739387831</v>
      </c>
      <c r="D132" s="128">
        <f t="shared" si="309"/>
        <v>126822.61149865184</v>
      </c>
      <c r="E132" s="128">
        <f t="shared" si="310"/>
        <v>128778.0551162661</v>
      </c>
      <c r="F132" s="128">
        <f t="shared" si="311"/>
        <v>128988.97813410527</v>
      </c>
      <c r="G132" s="128">
        <f t="shared" si="312"/>
        <v>133535.23774612206</v>
      </c>
      <c r="H132" s="128">
        <f t="shared" si="313"/>
        <v>133029.31301051311</v>
      </c>
      <c r="I132" s="128">
        <f t="shared" si="314"/>
        <v>137397.15270575703</v>
      </c>
      <c r="J132" s="128">
        <f t="shared" si="315"/>
        <v>123810.32909870296</v>
      </c>
      <c r="K132" s="128">
        <f t="shared" si="316"/>
        <v>125105.19340493099</v>
      </c>
      <c r="M132" s="36"/>
      <c r="N132" s="32">
        <f t="shared" si="317"/>
        <v>88</v>
      </c>
      <c r="O132" s="25">
        <f t="shared" si="318"/>
        <v>0.28057187393878302</v>
      </c>
      <c r="P132" s="25">
        <f t="shared" si="319"/>
        <v>0.26822611498651838</v>
      </c>
      <c r="Q132" s="25">
        <f t="shared" si="320"/>
        <v>0.28778055116266099</v>
      </c>
      <c r="R132" s="25">
        <f t="shared" si="245"/>
        <v>0.28988978134105281</v>
      </c>
      <c r="S132" s="25">
        <f t="shared" si="246"/>
        <v>0.3353523774612206</v>
      </c>
      <c r="T132" s="25">
        <f t="shared" si="247"/>
        <v>0.33029313010513106</v>
      </c>
      <c r="U132" s="25">
        <f t="shared" si="248"/>
        <v>0.37397152705757031</v>
      </c>
      <c r="V132" s="25">
        <f t="shared" si="249"/>
        <v>0.23810329098702954</v>
      </c>
      <c r="W132" s="25">
        <f t="shared" si="250"/>
        <v>0.25105193404931003</v>
      </c>
      <c r="X132" s="36"/>
      <c r="Y132" s="36"/>
      <c r="AA132" s="124">
        <f t="shared" si="321"/>
        <v>89</v>
      </c>
      <c r="AB132" s="128">
        <f t="shared" si="251"/>
        <v>125425.07636398353</v>
      </c>
      <c r="AC132" s="124">
        <f t="shared" si="322"/>
        <v>89</v>
      </c>
      <c r="AD132" s="130">
        <f t="shared" si="323"/>
        <v>3.7499999999999999E-2</v>
      </c>
      <c r="AE132" s="127">
        <f t="shared" si="324"/>
        <v>1272</v>
      </c>
      <c r="AF132" s="128">
        <f t="shared" si="325"/>
        <v>127076.70000000001</v>
      </c>
      <c r="AG132" s="128">
        <f t="shared" si="348"/>
        <v>127200</v>
      </c>
      <c r="AH132" s="128">
        <f t="shared" si="357"/>
        <v>127200</v>
      </c>
      <c r="AI132" s="130">
        <f t="shared" si="252"/>
        <v>3.7499999999999999E-2</v>
      </c>
      <c r="AJ132" s="128">
        <f t="shared" si="253"/>
        <v>127597.5</v>
      </c>
      <c r="AK132" s="128" t="str">
        <f t="shared" si="254"/>
        <v>nie</v>
      </c>
      <c r="AL132" s="128">
        <f t="shared" si="255"/>
        <v>636</v>
      </c>
      <c r="AM132" s="128">
        <f t="shared" si="361"/>
        <v>127006.815</v>
      </c>
      <c r="AN132" s="128">
        <f t="shared" si="256"/>
        <v>321.97500000000002</v>
      </c>
      <c r="AO132" s="130">
        <f t="shared" si="257"/>
        <v>3.5999999999999997E-2</v>
      </c>
      <c r="AP132" s="128">
        <f t="shared" si="258"/>
        <v>1697.6571980454378</v>
      </c>
      <c r="AQ132" s="128">
        <f t="shared" si="362"/>
        <v>128382.49719804544</v>
      </c>
      <c r="AS132" s="124">
        <f t="shared" si="327"/>
        <v>89</v>
      </c>
      <c r="AT132" s="130">
        <f t="shared" si="328"/>
        <v>3.7499999999999999E-2</v>
      </c>
      <c r="AU132" s="127">
        <f t="shared" si="329"/>
        <v>1222</v>
      </c>
      <c r="AV132" s="128">
        <f t="shared" si="330"/>
        <v>122085.40000000001</v>
      </c>
      <c r="AW132" s="128">
        <f t="shared" si="363"/>
        <v>122200</v>
      </c>
      <c r="AX132" s="128">
        <f t="shared" si="358"/>
        <v>122200</v>
      </c>
      <c r="AY132" s="130">
        <f t="shared" si="259"/>
        <v>3.9E-2</v>
      </c>
      <c r="AZ132" s="128">
        <f t="shared" si="260"/>
        <v>122597.15</v>
      </c>
      <c r="BA132" s="128" t="str">
        <f t="shared" si="261"/>
        <v>nie</v>
      </c>
      <c r="BB132" s="128">
        <f t="shared" si="262"/>
        <v>855.4</v>
      </c>
      <c r="BC132" s="128">
        <f t="shared" ref="BC132:BC187" si="367">AZ132-BB132
-(AZ132-AW132-BB132)*podatek_Belki</f>
        <v>121828.8175</v>
      </c>
      <c r="BD132" s="128">
        <f t="shared" si="263"/>
        <v>321.6914999999953</v>
      </c>
      <c r="BE132" s="130">
        <f t="shared" si="264"/>
        <v>3.5999999999999997E-2</v>
      </c>
      <c r="BF132" s="128">
        <f t="shared" si="265"/>
        <v>5650.0936284135514</v>
      </c>
      <c r="BG132" s="128">
        <f t="shared" ref="BG132:BG187" si="368">BF131*(1+BE132/12*(1-podatek_Belki))+BC132</f>
        <v>127157.21962841356</v>
      </c>
      <c r="BI132" s="124">
        <f t="shared" si="332"/>
        <v>89</v>
      </c>
      <c r="BJ132" s="130">
        <f t="shared" si="354"/>
        <v>3.9100000000000003E-2</v>
      </c>
      <c r="BK132" s="127">
        <f t="shared" si="333"/>
        <v>1237</v>
      </c>
      <c r="BL132" s="128">
        <f t="shared" si="334"/>
        <v>123576.3</v>
      </c>
      <c r="BM132" s="128">
        <f t="shared" si="349"/>
        <v>123700</v>
      </c>
      <c r="BN132" s="128">
        <f t="shared" si="335"/>
        <v>129142.8</v>
      </c>
      <c r="BO132" s="130">
        <f t="shared" si="266"/>
        <v>4.3999999999999997E-2</v>
      </c>
      <c r="BP132" s="128">
        <f t="shared" si="267"/>
        <v>131510.41800000001</v>
      </c>
      <c r="BQ132" s="128" t="str">
        <f t="shared" si="268"/>
        <v>nie</v>
      </c>
      <c r="BR132" s="128">
        <f t="shared" si="269"/>
        <v>1237</v>
      </c>
      <c r="BS132" s="128">
        <f t="shared" si="364"/>
        <v>129024.46858</v>
      </c>
      <c r="BT132" s="128">
        <f t="shared" si="356"/>
        <v>0</v>
      </c>
      <c r="BU132" s="130">
        <f t="shared" si="270"/>
        <v>3.5999999999999997E-2</v>
      </c>
      <c r="BV132" s="128">
        <f t="shared" si="271"/>
        <v>137.47390405111256</v>
      </c>
      <c r="BW132" s="128">
        <f t="shared" si="365"/>
        <v>129161.94248405112</v>
      </c>
      <c r="BY132" s="130">
        <f t="shared" si="360"/>
        <v>3.1E-2</v>
      </c>
      <c r="BZ132" s="127">
        <f t="shared" si="337"/>
        <v>1158</v>
      </c>
      <c r="CA132" s="128">
        <f t="shared" si="338"/>
        <v>115696.20000000001</v>
      </c>
      <c r="CB132" s="128">
        <f t="shared" si="366"/>
        <v>115800</v>
      </c>
      <c r="CC132" s="128">
        <f t="shared" si="359"/>
        <v>115800</v>
      </c>
      <c r="CD132" s="130">
        <f t="shared" si="272"/>
        <v>4.5999999999999999E-2</v>
      </c>
      <c r="CE132" s="128">
        <f t="shared" si="273"/>
        <v>118019.49999999999</v>
      </c>
      <c r="CF132" s="128" t="str">
        <f t="shared" si="274"/>
        <v>nie</v>
      </c>
      <c r="CG132" s="128">
        <f t="shared" si="275"/>
        <v>2316</v>
      </c>
      <c r="CH132" s="128">
        <f t="shared" ref="CH132:CH187" si="369">CE132-CG132
-(CE132-CB132-CG132)*podatek_Belki</f>
        <v>115721.83499999999</v>
      </c>
      <c r="CI132" s="128">
        <f t="shared" si="276"/>
        <v>0</v>
      </c>
      <c r="CJ132" s="130">
        <f t="shared" si="277"/>
        <v>3.5999999999999997E-2</v>
      </c>
      <c r="CK132" s="128">
        <f t="shared" si="278"/>
        <v>13659.815020291147</v>
      </c>
      <c r="CL132" s="128">
        <f t="shared" si="279"/>
        <v>129381.65002029114</v>
      </c>
      <c r="CN132" s="127">
        <f t="shared" si="340"/>
        <v>1000</v>
      </c>
      <c r="CO132" s="128">
        <f t="shared" si="341"/>
        <v>100000</v>
      </c>
      <c r="CP132" s="128">
        <f t="shared" si="342"/>
        <v>100000</v>
      </c>
      <c r="CQ132" s="128">
        <f t="shared" si="343"/>
        <v>141987.73656011029</v>
      </c>
      <c r="CR132" s="130">
        <f t="shared" si="280"/>
        <v>5.1000000000000004E-2</v>
      </c>
      <c r="CS132" s="128">
        <f t="shared" si="281"/>
        <v>145004.97596201263</v>
      </c>
      <c r="CT132" s="128" t="str">
        <f t="shared" si="282"/>
        <v>nie</v>
      </c>
      <c r="CU132" s="128">
        <f t="shared" si="283"/>
        <v>3000</v>
      </c>
      <c r="CV132" s="128">
        <f t="shared" si="284"/>
        <v>134024.03052923022</v>
      </c>
      <c r="CW132" s="128">
        <f t="shared" si="285"/>
        <v>0</v>
      </c>
      <c r="CX132" s="130">
        <f t="shared" si="286"/>
        <v>3.5999999999999997E-2</v>
      </c>
      <c r="CY132" s="128">
        <f t="shared" si="287"/>
        <v>0</v>
      </c>
      <c r="CZ132" s="128">
        <f t="shared" si="288"/>
        <v>134024.03052923022</v>
      </c>
      <c r="DA132" s="20"/>
      <c r="DB132" s="127">
        <f t="shared" si="350"/>
        <v>1280</v>
      </c>
      <c r="DC132" s="128">
        <f t="shared" si="351"/>
        <v>128000</v>
      </c>
      <c r="DD132" s="128">
        <f t="shared" si="344"/>
        <v>128000</v>
      </c>
      <c r="DE132" s="128">
        <f t="shared" si="345"/>
        <v>134400</v>
      </c>
      <c r="DF132" s="130">
        <f t="shared" si="289"/>
        <v>5.1000000000000004E-2</v>
      </c>
      <c r="DG132" s="128">
        <f t="shared" si="290"/>
        <v>137256</v>
      </c>
      <c r="DH132" s="128" t="str">
        <f t="shared" si="291"/>
        <v>nie</v>
      </c>
      <c r="DI132" s="128">
        <f t="shared" si="292"/>
        <v>2560</v>
      </c>
      <c r="DJ132" s="128">
        <f t="shared" si="355"/>
        <v>133423.76</v>
      </c>
      <c r="DK132" s="128">
        <f t="shared" si="294"/>
        <v>0</v>
      </c>
      <c r="DL132" s="130">
        <f t="shared" si="295"/>
        <v>3.5999999999999997E-2</v>
      </c>
      <c r="DM132" s="128">
        <f t="shared" si="296"/>
        <v>68.3907972886728</v>
      </c>
      <c r="DN132" s="128">
        <f t="shared" si="297"/>
        <v>133492.15079728869</v>
      </c>
      <c r="DP132" s="127">
        <f t="shared" si="352"/>
        <v>1000</v>
      </c>
      <c r="DQ132" s="128">
        <f t="shared" si="353"/>
        <v>100000</v>
      </c>
      <c r="DR132" s="128">
        <f t="shared" si="346"/>
        <v>100000</v>
      </c>
      <c r="DS132" s="128">
        <f t="shared" si="347"/>
        <v>146435.85503412478</v>
      </c>
      <c r="DT132" s="130">
        <f t="shared" si="298"/>
        <v>5.6000000000000001E-2</v>
      </c>
      <c r="DU132" s="128">
        <f t="shared" si="299"/>
        <v>149852.69165158769</v>
      </c>
      <c r="DV132" s="128" t="str">
        <f t="shared" si="300"/>
        <v>nie</v>
      </c>
      <c r="DW132" s="128">
        <f t="shared" si="301"/>
        <v>3000</v>
      </c>
      <c r="DX132" s="128">
        <f t="shared" si="302"/>
        <v>137950.68023778603</v>
      </c>
      <c r="DY132" s="128">
        <f t="shared" si="303"/>
        <v>0</v>
      </c>
      <c r="DZ132" s="130">
        <f t="shared" si="304"/>
        <v>3.5999999999999997E-2</v>
      </c>
      <c r="EA132" s="128">
        <f t="shared" si="305"/>
        <v>0</v>
      </c>
      <c r="EB132" s="128">
        <f t="shared" si="306"/>
        <v>137950.68023778603</v>
      </c>
    </row>
    <row r="133" spans="1:132">
      <c r="A133" s="212"/>
      <c r="B133" s="188">
        <f t="shared" si="307"/>
        <v>89</v>
      </c>
      <c r="C133" s="128">
        <f t="shared" si="308"/>
        <v>128382.49719804544</v>
      </c>
      <c r="D133" s="128">
        <f t="shared" si="309"/>
        <v>127157.21962841356</v>
      </c>
      <c r="E133" s="128">
        <f t="shared" si="310"/>
        <v>129161.94248405112</v>
      </c>
      <c r="F133" s="128">
        <f t="shared" si="311"/>
        <v>129381.65002029114</v>
      </c>
      <c r="G133" s="128">
        <f t="shared" si="312"/>
        <v>134024.03052923022</v>
      </c>
      <c r="H133" s="128">
        <f t="shared" si="313"/>
        <v>133492.15079728869</v>
      </c>
      <c r="I133" s="128">
        <f t="shared" si="314"/>
        <v>137950.68023778603</v>
      </c>
      <c r="J133" s="128">
        <f t="shared" si="315"/>
        <v>124111.1881984128</v>
      </c>
      <c r="K133" s="128">
        <f t="shared" si="316"/>
        <v>125425.07636398353</v>
      </c>
      <c r="M133" s="36"/>
      <c r="N133" s="32">
        <f t="shared" si="317"/>
        <v>89</v>
      </c>
      <c r="O133" s="25">
        <f t="shared" si="318"/>
        <v>0.28382497198045442</v>
      </c>
      <c r="P133" s="25">
        <f t="shared" si="319"/>
        <v>0.27157219628413554</v>
      </c>
      <c r="Q133" s="25">
        <f t="shared" si="320"/>
        <v>0.29161942484051129</v>
      </c>
      <c r="R133" s="25">
        <f t="shared" si="245"/>
        <v>0.29381650020291139</v>
      </c>
      <c r="S133" s="25">
        <f t="shared" si="246"/>
        <v>0.3402403052923022</v>
      </c>
      <c r="T133" s="25">
        <f t="shared" si="247"/>
        <v>0.33492150797288689</v>
      </c>
      <c r="U133" s="25">
        <f t="shared" si="248"/>
        <v>0.37950680237786028</v>
      </c>
      <c r="V133" s="25">
        <f t="shared" si="249"/>
        <v>0.24111188198412803</v>
      </c>
      <c r="W133" s="25">
        <f t="shared" si="250"/>
        <v>0.25425076363983545</v>
      </c>
      <c r="X133" s="36"/>
      <c r="Y133" s="36"/>
      <c r="AA133" s="124">
        <f t="shared" si="321"/>
        <v>90</v>
      </c>
      <c r="AB133" s="128">
        <f t="shared" si="251"/>
        <v>125744.95932303606</v>
      </c>
      <c r="AC133" s="124">
        <f t="shared" si="322"/>
        <v>90</v>
      </c>
      <c r="AD133" s="130">
        <f t="shared" si="323"/>
        <v>3.7499999999999999E-2</v>
      </c>
      <c r="AE133" s="127">
        <f t="shared" si="324"/>
        <v>1272</v>
      </c>
      <c r="AF133" s="128">
        <f t="shared" si="325"/>
        <v>127076.70000000001</v>
      </c>
      <c r="AG133" s="128">
        <f t="shared" si="348"/>
        <v>127200</v>
      </c>
      <c r="AH133" s="128">
        <f t="shared" si="357"/>
        <v>127200</v>
      </c>
      <c r="AI133" s="130">
        <f t="shared" si="252"/>
        <v>3.7499999999999999E-2</v>
      </c>
      <c r="AJ133" s="128">
        <f t="shared" si="253"/>
        <v>127597.5</v>
      </c>
      <c r="AK133" s="128" t="str">
        <f t="shared" si="254"/>
        <v>nie</v>
      </c>
      <c r="AL133" s="128">
        <f t="shared" si="255"/>
        <v>636</v>
      </c>
      <c r="AM133" s="128">
        <f t="shared" si="361"/>
        <v>127006.815</v>
      </c>
      <c r="AN133" s="128">
        <f t="shared" si="256"/>
        <v>321.97500000000002</v>
      </c>
      <c r="AO133" s="130">
        <f t="shared" si="257"/>
        <v>3.5999999999999997E-2</v>
      </c>
      <c r="AP133" s="128">
        <f t="shared" si="258"/>
        <v>2023.7575050366881</v>
      </c>
      <c r="AQ133" s="128">
        <f t="shared" si="362"/>
        <v>128708.59750503668</v>
      </c>
      <c r="AS133" s="124">
        <f t="shared" si="327"/>
        <v>90</v>
      </c>
      <c r="AT133" s="130">
        <f t="shared" si="328"/>
        <v>3.7499999999999999E-2</v>
      </c>
      <c r="AU133" s="127">
        <f t="shared" si="329"/>
        <v>1222</v>
      </c>
      <c r="AV133" s="128">
        <f t="shared" si="330"/>
        <v>122085.40000000001</v>
      </c>
      <c r="AW133" s="128">
        <f t="shared" si="363"/>
        <v>122200</v>
      </c>
      <c r="AX133" s="128">
        <f t="shared" si="358"/>
        <v>122200</v>
      </c>
      <c r="AY133" s="130">
        <f t="shared" si="259"/>
        <v>3.9E-2</v>
      </c>
      <c r="AZ133" s="128">
        <f t="shared" si="260"/>
        <v>122597.15</v>
      </c>
      <c r="BA133" s="128" t="str">
        <f t="shared" si="261"/>
        <v>nie</v>
      </c>
      <c r="BB133" s="128">
        <f t="shared" si="262"/>
        <v>855.4</v>
      </c>
      <c r="BC133" s="128">
        <f t="shared" si="367"/>
        <v>121828.8175</v>
      </c>
      <c r="BD133" s="128">
        <f t="shared" si="263"/>
        <v>321.6914999999953</v>
      </c>
      <c r="BE133" s="130">
        <f t="shared" si="264"/>
        <v>3.5999999999999997E-2</v>
      </c>
      <c r="BF133" s="128">
        <f t="shared" si="265"/>
        <v>5985.5148559305917</v>
      </c>
      <c r="BG133" s="128">
        <f t="shared" si="368"/>
        <v>127492.6408559306</v>
      </c>
      <c r="BI133" s="124">
        <f t="shared" si="332"/>
        <v>90</v>
      </c>
      <c r="BJ133" s="130">
        <f t="shared" si="354"/>
        <v>3.9100000000000003E-2</v>
      </c>
      <c r="BK133" s="127">
        <f t="shared" si="333"/>
        <v>1237</v>
      </c>
      <c r="BL133" s="128">
        <f t="shared" si="334"/>
        <v>123576.3</v>
      </c>
      <c r="BM133" s="128">
        <f t="shared" si="349"/>
        <v>123700</v>
      </c>
      <c r="BN133" s="128">
        <f t="shared" si="335"/>
        <v>129142.8</v>
      </c>
      <c r="BO133" s="130">
        <f t="shared" si="266"/>
        <v>4.3999999999999997E-2</v>
      </c>
      <c r="BP133" s="128">
        <f t="shared" si="267"/>
        <v>131983.94159999999</v>
      </c>
      <c r="BQ133" s="128" t="str">
        <f t="shared" si="268"/>
        <v>nie</v>
      </c>
      <c r="BR133" s="128">
        <f t="shared" si="269"/>
        <v>1237</v>
      </c>
      <c r="BS133" s="128">
        <f t="shared" si="364"/>
        <v>129408.022696</v>
      </c>
      <c r="BT133" s="128">
        <f t="shared" si="356"/>
        <v>0</v>
      </c>
      <c r="BU133" s="130">
        <f t="shared" si="270"/>
        <v>3.5999999999999997E-2</v>
      </c>
      <c r="BV133" s="128">
        <f t="shared" si="271"/>
        <v>137.80796563795676</v>
      </c>
      <c r="BW133" s="128">
        <f t="shared" si="365"/>
        <v>129545.83066163796</v>
      </c>
      <c r="BY133" s="130">
        <f t="shared" si="360"/>
        <v>3.1E-2</v>
      </c>
      <c r="BZ133" s="127">
        <f t="shared" si="337"/>
        <v>1158</v>
      </c>
      <c r="CA133" s="128">
        <f t="shared" si="338"/>
        <v>115696.20000000001</v>
      </c>
      <c r="CB133" s="128">
        <f t="shared" si="366"/>
        <v>115800</v>
      </c>
      <c r="CC133" s="128">
        <f t="shared" si="359"/>
        <v>115800</v>
      </c>
      <c r="CD133" s="130">
        <f t="shared" si="272"/>
        <v>4.5999999999999999E-2</v>
      </c>
      <c r="CE133" s="128">
        <f t="shared" si="273"/>
        <v>118463.4</v>
      </c>
      <c r="CF133" s="128" t="str">
        <f t="shared" si="274"/>
        <v>nie</v>
      </c>
      <c r="CG133" s="128">
        <f t="shared" si="275"/>
        <v>2316</v>
      </c>
      <c r="CH133" s="128">
        <f t="shared" si="369"/>
        <v>116081.394</v>
      </c>
      <c r="CI133" s="128">
        <f t="shared" si="276"/>
        <v>0</v>
      </c>
      <c r="CJ133" s="130">
        <f t="shared" si="277"/>
        <v>3.5999999999999997E-2</v>
      </c>
      <c r="CK133" s="128">
        <f t="shared" si="278"/>
        <v>13693.008370790454</v>
      </c>
      <c r="CL133" s="128">
        <f t="shared" si="279"/>
        <v>129774.40237079046</v>
      </c>
      <c r="CN133" s="127">
        <f t="shared" si="340"/>
        <v>1000</v>
      </c>
      <c r="CO133" s="128">
        <f t="shared" si="341"/>
        <v>100000</v>
      </c>
      <c r="CP133" s="128">
        <f t="shared" si="342"/>
        <v>100000</v>
      </c>
      <c r="CQ133" s="128">
        <f t="shared" si="343"/>
        <v>141987.73656011029</v>
      </c>
      <c r="CR133" s="130">
        <f t="shared" si="280"/>
        <v>5.1000000000000004E-2</v>
      </c>
      <c r="CS133" s="128">
        <f t="shared" si="281"/>
        <v>145608.42384239312</v>
      </c>
      <c r="CT133" s="128" t="str">
        <f t="shared" si="282"/>
        <v>nie</v>
      </c>
      <c r="CU133" s="128">
        <f t="shared" si="283"/>
        <v>3000</v>
      </c>
      <c r="CV133" s="128">
        <f t="shared" si="284"/>
        <v>134512.82331233844</v>
      </c>
      <c r="CW133" s="128">
        <f t="shared" si="285"/>
        <v>0</v>
      </c>
      <c r="CX133" s="130">
        <f t="shared" si="286"/>
        <v>3.5999999999999997E-2</v>
      </c>
      <c r="CY133" s="128">
        <f t="shared" si="287"/>
        <v>0</v>
      </c>
      <c r="CZ133" s="128">
        <f t="shared" si="288"/>
        <v>134512.82331233844</v>
      </c>
      <c r="DA133" s="20"/>
      <c r="DB133" s="127">
        <f t="shared" si="350"/>
        <v>1280</v>
      </c>
      <c r="DC133" s="128">
        <f t="shared" si="351"/>
        <v>128000</v>
      </c>
      <c r="DD133" s="128">
        <f t="shared" si="344"/>
        <v>128000</v>
      </c>
      <c r="DE133" s="128">
        <f t="shared" si="345"/>
        <v>134400</v>
      </c>
      <c r="DF133" s="130">
        <f t="shared" si="289"/>
        <v>5.1000000000000004E-2</v>
      </c>
      <c r="DG133" s="128">
        <f t="shared" si="290"/>
        <v>137827.20000000001</v>
      </c>
      <c r="DH133" s="128" t="str">
        <f t="shared" si="291"/>
        <v>nie</v>
      </c>
      <c r="DI133" s="128">
        <f t="shared" si="292"/>
        <v>2560</v>
      </c>
      <c r="DJ133" s="128">
        <f t="shared" si="355"/>
        <v>133886.432</v>
      </c>
      <c r="DK133" s="128">
        <f t="shared" si="294"/>
        <v>0</v>
      </c>
      <c r="DL133" s="130">
        <f t="shared" si="295"/>
        <v>3.5999999999999997E-2</v>
      </c>
      <c r="DM133" s="128">
        <f t="shared" si="296"/>
        <v>68.556986926084264</v>
      </c>
      <c r="DN133" s="128">
        <f t="shared" si="297"/>
        <v>133954.9889869261</v>
      </c>
      <c r="DP133" s="127">
        <f t="shared" si="352"/>
        <v>1000</v>
      </c>
      <c r="DQ133" s="128">
        <f t="shared" si="353"/>
        <v>100000</v>
      </c>
      <c r="DR133" s="128">
        <f t="shared" si="346"/>
        <v>100000</v>
      </c>
      <c r="DS133" s="128">
        <f t="shared" si="347"/>
        <v>146435.85503412478</v>
      </c>
      <c r="DT133" s="130">
        <f t="shared" si="298"/>
        <v>5.6000000000000001E-2</v>
      </c>
      <c r="DU133" s="128">
        <f t="shared" si="299"/>
        <v>150536.05897508026</v>
      </c>
      <c r="DV133" s="128" t="str">
        <f t="shared" si="300"/>
        <v>nie</v>
      </c>
      <c r="DW133" s="128">
        <f t="shared" si="301"/>
        <v>3000</v>
      </c>
      <c r="DX133" s="128">
        <f t="shared" si="302"/>
        <v>138504.20776981502</v>
      </c>
      <c r="DY133" s="128">
        <f t="shared" si="303"/>
        <v>0</v>
      </c>
      <c r="DZ133" s="130">
        <f t="shared" si="304"/>
        <v>3.5999999999999997E-2</v>
      </c>
      <c r="EA133" s="128">
        <f t="shared" si="305"/>
        <v>0</v>
      </c>
      <c r="EB133" s="128">
        <f t="shared" si="306"/>
        <v>138504.20776981502</v>
      </c>
    </row>
    <row r="134" spans="1:132">
      <c r="A134" s="212"/>
      <c r="B134" s="188">
        <f t="shared" si="307"/>
        <v>90</v>
      </c>
      <c r="C134" s="128">
        <f t="shared" si="308"/>
        <v>128708.59750503668</v>
      </c>
      <c r="D134" s="128">
        <f t="shared" si="309"/>
        <v>127492.6408559306</v>
      </c>
      <c r="E134" s="128">
        <f t="shared" si="310"/>
        <v>129545.83066163796</v>
      </c>
      <c r="F134" s="128">
        <f t="shared" si="311"/>
        <v>129774.40237079046</v>
      </c>
      <c r="G134" s="128">
        <f t="shared" si="312"/>
        <v>134512.82331233844</v>
      </c>
      <c r="H134" s="128">
        <f t="shared" si="313"/>
        <v>133954.9889869261</v>
      </c>
      <c r="I134" s="128">
        <f t="shared" si="314"/>
        <v>138504.20776981502</v>
      </c>
      <c r="J134" s="128">
        <f t="shared" si="315"/>
        <v>124412.77838573493</v>
      </c>
      <c r="K134" s="128">
        <f t="shared" si="316"/>
        <v>125744.95932303606</v>
      </c>
      <c r="M134" s="36"/>
      <c r="N134" s="32">
        <f t="shared" si="317"/>
        <v>90</v>
      </c>
      <c r="O134" s="25">
        <f t="shared" si="318"/>
        <v>0.28708597505036693</v>
      </c>
      <c r="P134" s="25">
        <f t="shared" si="319"/>
        <v>0.27492640855930595</v>
      </c>
      <c r="Q134" s="25">
        <f t="shared" si="320"/>
        <v>0.29545830661637962</v>
      </c>
      <c r="R134" s="25">
        <f t="shared" si="245"/>
        <v>0.29774402370790454</v>
      </c>
      <c r="S134" s="25">
        <f t="shared" si="246"/>
        <v>0.34512823312338448</v>
      </c>
      <c r="T134" s="25">
        <f t="shared" si="247"/>
        <v>0.33954988986926105</v>
      </c>
      <c r="U134" s="25">
        <f t="shared" si="248"/>
        <v>0.38504207769815024</v>
      </c>
      <c r="V134" s="25">
        <f t="shared" si="249"/>
        <v>0.24412778385734923</v>
      </c>
      <c r="W134" s="25">
        <f t="shared" si="250"/>
        <v>0.25744959323036065</v>
      </c>
      <c r="X134" s="36"/>
      <c r="Y134" s="36"/>
      <c r="AA134" s="124">
        <f t="shared" si="321"/>
        <v>91</v>
      </c>
      <c r="AB134" s="128">
        <f t="shared" si="251"/>
        <v>126064.84228208858</v>
      </c>
      <c r="AC134" s="124">
        <f t="shared" si="322"/>
        <v>91</v>
      </c>
      <c r="AD134" s="130">
        <f t="shared" si="323"/>
        <v>3.7499999999999999E-2</v>
      </c>
      <c r="AE134" s="127">
        <f t="shared" si="324"/>
        <v>1272</v>
      </c>
      <c r="AF134" s="128">
        <f t="shared" si="325"/>
        <v>127076.70000000001</v>
      </c>
      <c r="AG134" s="128">
        <f t="shared" si="348"/>
        <v>127200</v>
      </c>
      <c r="AH134" s="128">
        <f t="shared" si="357"/>
        <v>127200</v>
      </c>
      <c r="AI134" s="130">
        <f t="shared" si="252"/>
        <v>3.7499999999999999E-2</v>
      </c>
      <c r="AJ134" s="128">
        <f t="shared" si="253"/>
        <v>127597.5</v>
      </c>
      <c r="AK134" s="128" t="str">
        <f t="shared" si="254"/>
        <v>nie</v>
      </c>
      <c r="AL134" s="128">
        <f t="shared" si="255"/>
        <v>636</v>
      </c>
      <c r="AM134" s="128">
        <f t="shared" si="361"/>
        <v>127006.815</v>
      </c>
      <c r="AN134" s="128">
        <f t="shared" si="256"/>
        <v>321.97500000000002</v>
      </c>
      <c r="AO134" s="130">
        <f t="shared" si="257"/>
        <v>3.5999999999999997E-2</v>
      </c>
      <c r="AP134" s="128">
        <f t="shared" si="258"/>
        <v>2350.6502357739273</v>
      </c>
      <c r="AQ134" s="128">
        <f t="shared" si="362"/>
        <v>129035.49023577393</v>
      </c>
      <c r="AS134" s="124">
        <f t="shared" si="327"/>
        <v>91</v>
      </c>
      <c r="AT134" s="130">
        <f t="shared" si="328"/>
        <v>3.7499999999999999E-2</v>
      </c>
      <c r="AU134" s="127">
        <f t="shared" si="329"/>
        <v>1222</v>
      </c>
      <c r="AV134" s="128">
        <f t="shared" si="330"/>
        <v>122085.40000000001</v>
      </c>
      <c r="AW134" s="128">
        <f t="shared" si="363"/>
        <v>122200</v>
      </c>
      <c r="AX134" s="128">
        <f t="shared" si="358"/>
        <v>122200</v>
      </c>
      <c r="AY134" s="130">
        <f t="shared" si="259"/>
        <v>3.9E-2</v>
      </c>
      <c r="AZ134" s="128">
        <f t="shared" si="260"/>
        <v>122597.15</v>
      </c>
      <c r="BA134" s="128" t="str">
        <f t="shared" si="261"/>
        <v>nie</v>
      </c>
      <c r="BB134" s="128">
        <f t="shared" si="262"/>
        <v>855.4</v>
      </c>
      <c r="BC134" s="128">
        <f t="shared" si="367"/>
        <v>121828.8175</v>
      </c>
      <c r="BD134" s="128">
        <f t="shared" si="263"/>
        <v>321.6914999999953</v>
      </c>
      <c r="BE134" s="130">
        <f t="shared" si="264"/>
        <v>3.5999999999999997E-2</v>
      </c>
      <c r="BF134" s="128">
        <f t="shared" si="265"/>
        <v>6321.7511570304978</v>
      </c>
      <c r="BG134" s="128">
        <f t="shared" si="368"/>
        <v>127828.87715703051</v>
      </c>
      <c r="BI134" s="124">
        <f t="shared" si="332"/>
        <v>91</v>
      </c>
      <c r="BJ134" s="130">
        <f t="shared" si="354"/>
        <v>3.9100000000000003E-2</v>
      </c>
      <c r="BK134" s="127">
        <f t="shared" si="333"/>
        <v>1237</v>
      </c>
      <c r="BL134" s="128">
        <f t="shared" si="334"/>
        <v>123576.3</v>
      </c>
      <c r="BM134" s="128">
        <f t="shared" si="349"/>
        <v>123700</v>
      </c>
      <c r="BN134" s="128">
        <f t="shared" si="335"/>
        <v>129142.8</v>
      </c>
      <c r="BO134" s="130">
        <f t="shared" si="266"/>
        <v>4.3999999999999997E-2</v>
      </c>
      <c r="BP134" s="128">
        <f t="shared" si="267"/>
        <v>132457.46520000001</v>
      </c>
      <c r="BQ134" s="128" t="str">
        <f t="shared" si="268"/>
        <v>nie</v>
      </c>
      <c r="BR134" s="128">
        <f t="shared" si="269"/>
        <v>1237</v>
      </c>
      <c r="BS134" s="128">
        <f t="shared" si="364"/>
        <v>129791.576812</v>
      </c>
      <c r="BT134" s="128">
        <f t="shared" si="356"/>
        <v>0</v>
      </c>
      <c r="BU134" s="130">
        <f t="shared" si="270"/>
        <v>3.5999999999999997E-2</v>
      </c>
      <c r="BV134" s="128">
        <f t="shared" si="271"/>
        <v>138.14283899445698</v>
      </c>
      <c r="BW134" s="128">
        <f t="shared" si="365"/>
        <v>129929.71965099446</v>
      </c>
      <c r="BY134" s="130">
        <f t="shared" si="360"/>
        <v>3.1E-2</v>
      </c>
      <c r="BZ134" s="127">
        <f t="shared" si="337"/>
        <v>1158</v>
      </c>
      <c r="CA134" s="128">
        <f t="shared" si="338"/>
        <v>115696.20000000001</v>
      </c>
      <c r="CB134" s="128">
        <f t="shared" si="366"/>
        <v>115800</v>
      </c>
      <c r="CC134" s="128">
        <f t="shared" si="359"/>
        <v>115800</v>
      </c>
      <c r="CD134" s="130">
        <f t="shared" si="272"/>
        <v>4.5999999999999999E-2</v>
      </c>
      <c r="CE134" s="128">
        <f t="shared" si="273"/>
        <v>118907.29999999999</v>
      </c>
      <c r="CF134" s="128" t="str">
        <f t="shared" si="274"/>
        <v>nie</v>
      </c>
      <c r="CG134" s="128">
        <f t="shared" si="275"/>
        <v>2316</v>
      </c>
      <c r="CH134" s="128">
        <f t="shared" si="369"/>
        <v>116440.95299999999</v>
      </c>
      <c r="CI134" s="128">
        <f t="shared" si="276"/>
        <v>0</v>
      </c>
      <c r="CJ134" s="130">
        <f t="shared" si="277"/>
        <v>3.5999999999999997E-2</v>
      </c>
      <c r="CK134" s="128">
        <f t="shared" si="278"/>
        <v>13726.282381131474</v>
      </c>
      <c r="CL134" s="128">
        <f t="shared" si="279"/>
        <v>130167.23538113147</v>
      </c>
      <c r="CN134" s="127">
        <f t="shared" si="340"/>
        <v>1000</v>
      </c>
      <c r="CO134" s="128">
        <f t="shared" si="341"/>
        <v>100000</v>
      </c>
      <c r="CP134" s="128">
        <f t="shared" si="342"/>
        <v>100000</v>
      </c>
      <c r="CQ134" s="128">
        <f t="shared" si="343"/>
        <v>141987.73656011029</v>
      </c>
      <c r="CR134" s="130">
        <f t="shared" si="280"/>
        <v>5.1000000000000004E-2</v>
      </c>
      <c r="CS134" s="128">
        <f t="shared" si="281"/>
        <v>146211.87172277356</v>
      </c>
      <c r="CT134" s="128" t="str">
        <f t="shared" si="282"/>
        <v>nie</v>
      </c>
      <c r="CU134" s="128">
        <f t="shared" si="283"/>
        <v>3000</v>
      </c>
      <c r="CV134" s="128">
        <f t="shared" si="284"/>
        <v>135001.61609544657</v>
      </c>
      <c r="CW134" s="128">
        <f t="shared" si="285"/>
        <v>0</v>
      </c>
      <c r="CX134" s="130">
        <f t="shared" si="286"/>
        <v>3.5999999999999997E-2</v>
      </c>
      <c r="CY134" s="128">
        <f t="shared" si="287"/>
        <v>0</v>
      </c>
      <c r="CZ134" s="128">
        <f t="shared" si="288"/>
        <v>135001.61609544657</v>
      </c>
      <c r="DA134" s="20"/>
      <c r="DB134" s="127">
        <f t="shared" si="350"/>
        <v>1280</v>
      </c>
      <c r="DC134" s="128">
        <f t="shared" si="351"/>
        <v>128000</v>
      </c>
      <c r="DD134" s="128">
        <f t="shared" si="344"/>
        <v>128000</v>
      </c>
      <c r="DE134" s="128">
        <f t="shared" si="345"/>
        <v>134400</v>
      </c>
      <c r="DF134" s="130">
        <f t="shared" si="289"/>
        <v>5.1000000000000004E-2</v>
      </c>
      <c r="DG134" s="128">
        <f t="shared" si="290"/>
        <v>138398.39999999999</v>
      </c>
      <c r="DH134" s="128" t="str">
        <f t="shared" si="291"/>
        <v>nie</v>
      </c>
      <c r="DI134" s="128">
        <f t="shared" si="292"/>
        <v>2560</v>
      </c>
      <c r="DJ134" s="128">
        <f t="shared" si="355"/>
        <v>134349.10399999999</v>
      </c>
      <c r="DK134" s="128">
        <f t="shared" si="294"/>
        <v>0</v>
      </c>
      <c r="DL134" s="130">
        <f t="shared" si="295"/>
        <v>3.5999999999999997E-2</v>
      </c>
      <c r="DM134" s="128">
        <f t="shared" si="296"/>
        <v>68.723580404314646</v>
      </c>
      <c r="DN134" s="128">
        <f t="shared" si="297"/>
        <v>134417.82758040429</v>
      </c>
      <c r="DP134" s="127">
        <f t="shared" si="352"/>
        <v>1000</v>
      </c>
      <c r="DQ134" s="128">
        <f t="shared" si="353"/>
        <v>100000</v>
      </c>
      <c r="DR134" s="128">
        <f t="shared" si="346"/>
        <v>100000</v>
      </c>
      <c r="DS134" s="128">
        <f t="shared" si="347"/>
        <v>146435.85503412478</v>
      </c>
      <c r="DT134" s="130">
        <f t="shared" si="298"/>
        <v>5.6000000000000001E-2</v>
      </c>
      <c r="DU134" s="128">
        <f t="shared" si="299"/>
        <v>151219.42629857286</v>
      </c>
      <c r="DV134" s="128" t="str">
        <f t="shared" si="300"/>
        <v>nie</v>
      </c>
      <c r="DW134" s="128">
        <f t="shared" si="301"/>
        <v>3000</v>
      </c>
      <c r="DX134" s="128">
        <f t="shared" si="302"/>
        <v>139057.73530184402</v>
      </c>
      <c r="DY134" s="128">
        <f t="shared" si="303"/>
        <v>0</v>
      </c>
      <c r="DZ134" s="130">
        <f t="shared" si="304"/>
        <v>3.5999999999999997E-2</v>
      </c>
      <c r="EA134" s="128">
        <f t="shared" si="305"/>
        <v>0</v>
      </c>
      <c r="EB134" s="128">
        <f t="shared" si="306"/>
        <v>139057.73530184402</v>
      </c>
    </row>
    <row r="135" spans="1:132">
      <c r="A135" s="212"/>
      <c r="B135" s="188">
        <f t="shared" si="307"/>
        <v>91</v>
      </c>
      <c r="C135" s="128">
        <f t="shared" si="308"/>
        <v>129035.49023577393</v>
      </c>
      <c r="D135" s="128">
        <f t="shared" si="309"/>
        <v>127828.87715703051</v>
      </c>
      <c r="E135" s="128">
        <f t="shared" si="310"/>
        <v>129929.71965099446</v>
      </c>
      <c r="F135" s="128">
        <f t="shared" si="311"/>
        <v>130167.23538113147</v>
      </c>
      <c r="G135" s="128">
        <f t="shared" si="312"/>
        <v>135001.61609544657</v>
      </c>
      <c r="H135" s="128">
        <f t="shared" si="313"/>
        <v>134417.82758040429</v>
      </c>
      <c r="I135" s="128">
        <f t="shared" si="314"/>
        <v>139057.73530184402</v>
      </c>
      <c r="J135" s="128">
        <f t="shared" si="315"/>
        <v>124715.10143721226</v>
      </c>
      <c r="K135" s="128">
        <f t="shared" si="316"/>
        <v>126064.84228208858</v>
      </c>
      <c r="M135" s="36"/>
      <c r="N135" s="32">
        <f t="shared" si="317"/>
        <v>91</v>
      </c>
      <c r="O135" s="25">
        <f t="shared" si="318"/>
        <v>0.29035490235773942</v>
      </c>
      <c r="P135" s="25">
        <f t="shared" si="319"/>
        <v>0.27828877157030507</v>
      </c>
      <c r="Q135" s="25">
        <f t="shared" si="320"/>
        <v>0.29929719650994469</v>
      </c>
      <c r="R135" s="25">
        <f t="shared" si="245"/>
        <v>0.30167235381131463</v>
      </c>
      <c r="S135" s="25">
        <f t="shared" si="246"/>
        <v>0.35001616095446564</v>
      </c>
      <c r="T135" s="25">
        <f t="shared" si="247"/>
        <v>0.34417827580404303</v>
      </c>
      <c r="U135" s="25">
        <f t="shared" si="248"/>
        <v>0.39057735301844021</v>
      </c>
      <c r="V135" s="25">
        <f t="shared" si="249"/>
        <v>0.2471510143721225</v>
      </c>
      <c r="W135" s="25">
        <f t="shared" si="250"/>
        <v>0.26064842282088585</v>
      </c>
      <c r="X135" s="36"/>
      <c r="Y135" s="36"/>
      <c r="AA135" s="124">
        <f t="shared" si="321"/>
        <v>92</v>
      </c>
      <c r="AB135" s="128">
        <f t="shared" si="251"/>
        <v>126384.7252411411</v>
      </c>
      <c r="AC135" s="124">
        <f t="shared" si="322"/>
        <v>92</v>
      </c>
      <c r="AD135" s="130">
        <f t="shared" si="323"/>
        <v>3.7499999999999999E-2</v>
      </c>
      <c r="AE135" s="127">
        <f t="shared" si="324"/>
        <v>1272</v>
      </c>
      <c r="AF135" s="128">
        <f t="shared" si="325"/>
        <v>127076.70000000001</v>
      </c>
      <c r="AG135" s="128">
        <f t="shared" si="348"/>
        <v>127200</v>
      </c>
      <c r="AH135" s="128">
        <f t="shared" si="357"/>
        <v>127200</v>
      </c>
      <c r="AI135" s="130">
        <f t="shared" si="252"/>
        <v>3.7499999999999999E-2</v>
      </c>
      <c r="AJ135" s="128">
        <f t="shared" si="253"/>
        <v>127597.5</v>
      </c>
      <c r="AK135" s="128" t="str">
        <f t="shared" si="254"/>
        <v>nie</v>
      </c>
      <c r="AL135" s="128">
        <f t="shared" si="255"/>
        <v>636</v>
      </c>
      <c r="AM135" s="128">
        <f t="shared" si="361"/>
        <v>127006.815</v>
      </c>
      <c r="AN135" s="128">
        <f t="shared" si="256"/>
        <v>321.97500000000002</v>
      </c>
      <c r="AO135" s="130">
        <f t="shared" si="257"/>
        <v>3.5999999999999997E-2</v>
      </c>
      <c r="AP135" s="128">
        <f t="shared" si="258"/>
        <v>2678.3373158468576</v>
      </c>
      <c r="AQ135" s="128">
        <f t="shared" si="362"/>
        <v>129363.17731584686</v>
      </c>
      <c r="AS135" s="124">
        <f t="shared" si="327"/>
        <v>92</v>
      </c>
      <c r="AT135" s="130">
        <f t="shared" si="328"/>
        <v>3.7499999999999999E-2</v>
      </c>
      <c r="AU135" s="127">
        <f t="shared" si="329"/>
        <v>1222</v>
      </c>
      <c r="AV135" s="128">
        <f t="shared" si="330"/>
        <v>122085.40000000001</v>
      </c>
      <c r="AW135" s="128">
        <f t="shared" si="363"/>
        <v>122200</v>
      </c>
      <c r="AX135" s="128">
        <f t="shared" si="358"/>
        <v>122200</v>
      </c>
      <c r="AY135" s="130">
        <f t="shared" si="259"/>
        <v>3.9E-2</v>
      </c>
      <c r="AZ135" s="128">
        <f t="shared" si="260"/>
        <v>122597.15</v>
      </c>
      <c r="BA135" s="128" t="str">
        <f t="shared" si="261"/>
        <v>nie</v>
      </c>
      <c r="BB135" s="128">
        <f t="shared" si="262"/>
        <v>855.4</v>
      </c>
      <c r="BC135" s="128">
        <f t="shared" si="367"/>
        <v>121828.8175</v>
      </c>
      <c r="BD135" s="128">
        <f t="shared" si="263"/>
        <v>321.6914999999953</v>
      </c>
      <c r="BE135" s="130">
        <f t="shared" si="264"/>
        <v>3.5999999999999997E-2</v>
      </c>
      <c r="BF135" s="128">
        <f t="shared" si="265"/>
        <v>6658.804512342077</v>
      </c>
      <c r="BG135" s="128">
        <f t="shared" si="368"/>
        <v>128165.93051234209</v>
      </c>
      <c r="BI135" s="124">
        <f t="shared" si="332"/>
        <v>92</v>
      </c>
      <c r="BJ135" s="130">
        <f t="shared" si="354"/>
        <v>3.9100000000000003E-2</v>
      </c>
      <c r="BK135" s="127">
        <f t="shared" si="333"/>
        <v>1237</v>
      </c>
      <c r="BL135" s="128">
        <f t="shared" si="334"/>
        <v>123576.3</v>
      </c>
      <c r="BM135" s="128">
        <f t="shared" si="349"/>
        <v>123700</v>
      </c>
      <c r="BN135" s="128">
        <f t="shared" si="335"/>
        <v>129142.8</v>
      </c>
      <c r="BO135" s="130">
        <f t="shared" si="266"/>
        <v>4.3999999999999997E-2</v>
      </c>
      <c r="BP135" s="128">
        <f t="shared" si="267"/>
        <v>132930.98880000002</v>
      </c>
      <c r="BQ135" s="128" t="str">
        <f t="shared" si="268"/>
        <v>nie</v>
      </c>
      <c r="BR135" s="128">
        <f t="shared" si="269"/>
        <v>1237</v>
      </c>
      <c r="BS135" s="128">
        <f t="shared" si="364"/>
        <v>130175.13092800001</v>
      </c>
      <c r="BT135" s="128">
        <f t="shared" si="356"/>
        <v>0</v>
      </c>
      <c r="BU135" s="130">
        <f t="shared" si="270"/>
        <v>3.5999999999999997E-2</v>
      </c>
      <c r="BV135" s="128">
        <f t="shared" si="271"/>
        <v>138.4785260932135</v>
      </c>
      <c r="BW135" s="128">
        <f t="shared" si="365"/>
        <v>130313.60945409322</v>
      </c>
      <c r="BY135" s="130">
        <f t="shared" si="360"/>
        <v>3.1E-2</v>
      </c>
      <c r="BZ135" s="127">
        <f t="shared" si="337"/>
        <v>1158</v>
      </c>
      <c r="CA135" s="128">
        <f t="shared" si="338"/>
        <v>115696.20000000001</v>
      </c>
      <c r="CB135" s="128">
        <f t="shared" si="366"/>
        <v>115800</v>
      </c>
      <c r="CC135" s="128">
        <f t="shared" si="359"/>
        <v>115800</v>
      </c>
      <c r="CD135" s="130">
        <f t="shared" si="272"/>
        <v>4.5999999999999999E-2</v>
      </c>
      <c r="CE135" s="128">
        <f t="shared" si="273"/>
        <v>119351.2</v>
      </c>
      <c r="CF135" s="128" t="str">
        <f t="shared" si="274"/>
        <v>nie</v>
      </c>
      <c r="CG135" s="128">
        <f t="shared" si="275"/>
        <v>2316</v>
      </c>
      <c r="CH135" s="128">
        <f t="shared" si="369"/>
        <v>116800.512</v>
      </c>
      <c r="CI135" s="128">
        <f t="shared" si="276"/>
        <v>0</v>
      </c>
      <c r="CJ135" s="130">
        <f t="shared" si="277"/>
        <v>3.5999999999999997E-2</v>
      </c>
      <c r="CK135" s="128">
        <f t="shared" si="278"/>
        <v>13759.637247317622</v>
      </c>
      <c r="CL135" s="128">
        <f t="shared" si="279"/>
        <v>130560.14924731762</v>
      </c>
      <c r="CN135" s="127">
        <f t="shared" si="340"/>
        <v>1000</v>
      </c>
      <c r="CO135" s="128">
        <f t="shared" si="341"/>
        <v>100000</v>
      </c>
      <c r="CP135" s="128">
        <f t="shared" si="342"/>
        <v>100000</v>
      </c>
      <c r="CQ135" s="128">
        <f t="shared" si="343"/>
        <v>141987.73656011029</v>
      </c>
      <c r="CR135" s="130">
        <f t="shared" si="280"/>
        <v>5.1000000000000004E-2</v>
      </c>
      <c r="CS135" s="128">
        <f t="shared" si="281"/>
        <v>146815.31960315406</v>
      </c>
      <c r="CT135" s="128" t="str">
        <f t="shared" si="282"/>
        <v>nie</v>
      </c>
      <c r="CU135" s="128">
        <f t="shared" si="283"/>
        <v>3000</v>
      </c>
      <c r="CV135" s="128">
        <f t="shared" si="284"/>
        <v>135490.40887855479</v>
      </c>
      <c r="CW135" s="128">
        <f t="shared" si="285"/>
        <v>0</v>
      </c>
      <c r="CX135" s="130">
        <f t="shared" si="286"/>
        <v>3.5999999999999997E-2</v>
      </c>
      <c r="CY135" s="128">
        <f t="shared" si="287"/>
        <v>0</v>
      </c>
      <c r="CZ135" s="128">
        <f t="shared" si="288"/>
        <v>135490.40887855479</v>
      </c>
      <c r="DA135" s="20"/>
      <c r="DB135" s="127">
        <f t="shared" si="350"/>
        <v>1280</v>
      </c>
      <c r="DC135" s="128">
        <f t="shared" si="351"/>
        <v>128000</v>
      </c>
      <c r="DD135" s="128">
        <f t="shared" si="344"/>
        <v>128000</v>
      </c>
      <c r="DE135" s="128">
        <f t="shared" si="345"/>
        <v>134400</v>
      </c>
      <c r="DF135" s="130">
        <f t="shared" si="289"/>
        <v>5.1000000000000004E-2</v>
      </c>
      <c r="DG135" s="128">
        <f t="shared" si="290"/>
        <v>138969.60000000001</v>
      </c>
      <c r="DH135" s="128" t="str">
        <f t="shared" si="291"/>
        <v>nie</v>
      </c>
      <c r="DI135" s="128">
        <f t="shared" si="292"/>
        <v>2560</v>
      </c>
      <c r="DJ135" s="128">
        <f t="shared" si="355"/>
        <v>134811.77600000001</v>
      </c>
      <c r="DK135" s="128">
        <f t="shared" si="294"/>
        <v>0</v>
      </c>
      <c r="DL135" s="130">
        <f t="shared" si="295"/>
        <v>3.5999999999999997E-2</v>
      </c>
      <c r="DM135" s="128">
        <f t="shared" si="296"/>
        <v>68.89057870469712</v>
      </c>
      <c r="DN135" s="128">
        <f t="shared" si="297"/>
        <v>134880.66657870472</v>
      </c>
      <c r="DP135" s="127">
        <f t="shared" si="352"/>
        <v>1000</v>
      </c>
      <c r="DQ135" s="128">
        <f t="shared" si="353"/>
        <v>100000</v>
      </c>
      <c r="DR135" s="128">
        <f t="shared" si="346"/>
        <v>100000</v>
      </c>
      <c r="DS135" s="128">
        <f t="shared" si="347"/>
        <v>146435.85503412478</v>
      </c>
      <c r="DT135" s="130">
        <f t="shared" si="298"/>
        <v>5.6000000000000001E-2</v>
      </c>
      <c r="DU135" s="128">
        <f t="shared" si="299"/>
        <v>151902.79362206545</v>
      </c>
      <c r="DV135" s="128" t="str">
        <f t="shared" si="300"/>
        <v>nie</v>
      </c>
      <c r="DW135" s="128">
        <f t="shared" si="301"/>
        <v>3000</v>
      </c>
      <c r="DX135" s="128">
        <f t="shared" si="302"/>
        <v>139611.26283387301</v>
      </c>
      <c r="DY135" s="128">
        <f t="shared" si="303"/>
        <v>0</v>
      </c>
      <c r="DZ135" s="130">
        <f t="shared" si="304"/>
        <v>3.5999999999999997E-2</v>
      </c>
      <c r="EA135" s="128">
        <f t="shared" si="305"/>
        <v>0</v>
      </c>
      <c r="EB135" s="128">
        <f t="shared" si="306"/>
        <v>139611.26283387301</v>
      </c>
    </row>
    <row r="136" spans="1:132">
      <c r="A136" s="212"/>
      <c r="B136" s="188">
        <f t="shared" si="307"/>
        <v>92</v>
      </c>
      <c r="C136" s="128">
        <f t="shared" si="308"/>
        <v>129363.17731584686</v>
      </c>
      <c r="D136" s="128">
        <f t="shared" si="309"/>
        <v>128165.93051234209</v>
      </c>
      <c r="E136" s="128">
        <f t="shared" si="310"/>
        <v>130313.60945409322</v>
      </c>
      <c r="F136" s="128">
        <f t="shared" si="311"/>
        <v>130560.14924731762</v>
      </c>
      <c r="G136" s="128">
        <f t="shared" si="312"/>
        <v>135490.40887855479</v>
      </c>
      <c r="H136" s="128">
        <f t="shared" si="313"/>
        <v>134880.66657870472</v>
      </c>
      <c r="I136" s="128">
        <f t="shared" si="314"/>
        <v>139611.26283387301</v>
      </c>
      <c r="J136" s="128">
        <f t="shared" si="315"/>
        <v>125018.15913370467</v>
      </c>
      <c r="K136" s="128">
        <f t="shared" si="316"/>
        <v>126384.7252411411</v>
      </c>
      <c r="M136" s="36"/>
      <c r="N136" s="32">
        <f t="shared" si="317"/>
        <v>92</v>
      </c>
      <c r="O136" s="25">
        <f t="shared" si="318"/>
        <v>0.29363177315846856</v>
      </c>
      <c r="P136" s="25">
        <f t="shared" si="319"/>
        <v>0.28165930512342086</v>
      </c>
      <c r="Q136" s="25">
        <f t="shared" si="320"/>
        <v>0.30313609454093227</v>
      </c>
      <c r="R136" s="25">
        <f t="shared" si="245"/>
        <v>0.30560149247317625</v>
      </c>
      <c r="S136" s="25">
        <f t="shared" si="246"/>
        <v>0.35490408878554791</v>
      </c>
      <c r="T136" s="25">
        <f t="shared" si="247"/>
        <v>0.34880666578704722</v>
      </c>
      <c r="U136" s="25">
        <f t="shared" si="248"/>
        <v>0.39611262833873018</v>
      </c>
      <c r="V136" s="25">
        <f t="shared" si="249"/>
        <v>0.25018159133704665</v>
      </c>
      <c r="W136" s="25">
        <f t="shared" si="250"/>
        <v>0.26384725241141105</v>
      </c>
      <c r="X136" s="36"/>
      <c r="Y136" s="36"/>
      <c r="AA136" s="124">
        <f t="shared" si="321"/>
        <v>93</v>
      </c>
      <c r="AB136" s="128">
        <f t="shared" si="251"/>
        <v>126704.60820019364</v>
      </c>
      <c r="AC136" s="124">
        <f t="shared" si="322"/>
        <v>93</v>
      </c>
      <c r="AD136" s="130">
        <f t="shared" si="323"/>
        <v>3.7499999999999999E-2</v>
      </c>
      <c r="AE136" s="127">
        <f t="shared" si="324"/>
        <v>1272</v>
      </c>
      <c r="AF136" s="128">
        <f t="shared" si="325"/>
        <v>127076.70000000001</v>
      </c>
      <c r="AG136" s="128">
        <f t="shared" si="348"/>
        <v>127200</v>
      </c>
      <c r="AH136" s="128">
        <f t="shared" si="357"/>
        <v>127200</v>
      </c>
      <c r="AI136" s="130">
        <f t="shared" si="252"/>
        <v>3.7499999999999999E-2</v>
      </c>
      <c r="AJ136" s="128">
        <f t="shared" si="253"/>
        <v>127597.5</v>
      </c>
      <c r="AK136" s="128" t="str">
        <f t="shared" si="254"/>
        <v>nie</v>
      </c>
      <c r="AL136" s="128">
        <f t="shared" si="255"/>
        <v>636</v>
      </c>
      <c r="AM136" s="128">
        <f t="shared" si="361"/>
        <v>127006.815</v>
      </c>
      <c r="AN136" s="128">
        <f t="shared" si="256"/>
        <v>321.97500000000002</v>
      </c>
      <c r="AO136" s="130">
        <f t="shared" si="257"/>
        <v>3.5999999999999997E-2</v>
      </c>
      <c r="AP136" s="128">
        <f t="shared" si="258"/>
        <v>3006.820675524365</v>
      </c>
      <c r="AQ136" s="128">
        <f t="shared" si="362"/>
        <v>129691.66067552437</v>
      </c>
      <c r="AS136" s="124">
        <f t="shared" si="327"/>
        <v>93</v>
      </c>
      <c r="AT136" s="130">
        <f t="shared" si="328"/>
        <v>3.7499999999999999E-2</v>
      </c>
      <c r="AU136" s="127">
        <f t="shared" si="329"/>
        <v>1222</v>
      </c>
      <c r="AV136" s="128">
        <f t="shared" si="330"/>
        <v>122085.40000000001</v>
      </c>
      <c r="AW136" s="128">
        <f t="shared" si="363"/>
        <v>122200</v>
      </c>
      <c r="AX136" s="128">
        <f t="shared" si="358"/>
        <v>122200</v>
      </c>
      <c r="AY136" s="130">
        <f t="shared" si="259"/>
        <v>3.9E-2</v>
      </c>
      <c r="AZ136" s="128">
        <f t="shared" si="260"/>
        <v>122597.15</v>
      </c>
      <c r="BA136" s="128" t="str">
        <f t="shared" si="261"/>
        <v>nie</v>
      </c>
      <c r="BB136" s="128">
        <f t="shared" si="262"/>
        <v>855.4</v>
      </c>
      <c r="BC136" s="128">
        <f t="shared" si="367"/>
        <v>121828.8175</v>
      </c>
      <c r="BD136" s="128">
        <f t="shared" si="263"/>
        <v>321.6914999999953</v>
      </c>
      <c r="BE136" s="130">
        <f t="shared" si="264"/>
        <v>3.5999999999999997E-2</v>
      </c>
      <c r="BF136" s="128">
        <f t="shared" si="265"/>
        <v>6996.6769073070636</v>
      </c>
      <c r="BG136" s="128">
        <f t="shared" si="368"/>
        <v>128503.80290730708</v>
      </c>
      <c r="BI136" s="124">
        <f t="shared" si="332"/>
        <v>93</v>
      </c>
      <c r="BJ136" s="130">
        <f t="shared" si="354"/>
        <v>3.9100000000000003E-2</v>
      </c>
      <c r="BK136" s="127">
        <f t="shared" si="333"/>
        <v>1237</v>
      </c>
      <c r="BL136" s="128">
        <f t="shared" si="334"/>
        <v>123576.3</v>
      </c>
      <c r="BM136" s="128">
        <f t="shared" si="349"/>
        <v>123700</v>
      </c>
      <c r="BN136" s="128">
        <f t="shared" si="335"/>
        <v>129142.8</v>
      </c>
      <c r="BO136" s="130">
        <f t="shared" si="266"/>
        <v>4.3999999999999997E-2</v>
      </c>
      <c r="BP136" s="128">
        <f t="shared" si="267"/>
        <v>133404.51240000001</v>
      </c>
      <c r="BQ136" s="128" t="str">
        <f t="shared" si="268"/>
        <v>nie</v>
      </c>
      <c r="BR136" s="128">
        <f t="shared" si="269"/>
        <v>1237</v>
      </c>
      <c r="BS136" s="128">
        <f t="shared" si="364"/>
        <v>130558.68504400001</v>
      </c>
      <c r="BT136" s="128">
        <f t="shared" si="356"/>
        <v>0</v>
      </c>
      <c r="BU136" s="130">
        <f t="shared" si="270"/>
        <v>3.5999999999999997E-2</v>
      </c>
      <c r="BV136" s="128">
        <f t="shared" si="271"/>
        <v>138.81502891162</v>
      </c>
      <c r="BW136" s="128">
        <f t="shared" si="365"/>
        <v>130697.50007291163</v>
      </c>
      <c r="BY136" s="130">
        <f t="shared" si="360"/>
        <v>3.1E-2</v>
      </c>
      <c r="BZ136" s="127">
        <f t="shared" si="337"/>
        <v>1158</v>
      </c>
      <c r="CA136" s="128">
        <f t="shared" si="338"/>
        <v>115696.20000000001</v>
      </c>
      <c r="CB136" s="128">
        <f t="shared" si="366"/>
        <v>115800</v>
      </c>
      <c r="CC136" s="128">
        <f t="shared" si="359"/>
        <v>115800</v>
      </c>
      <c r="CD136" s="130">
        <f t="shared" si="272"/>
        <v>4.5999999999999999E-2</v>
      </c>
      <c r="CE136" s="128">
        <f t="shared" si="273"/>
        <v>119795.09999999999</v>
      </c>
      <c r="CF136" s="128" t="str">
        <f t="shared" si="274"/>
        <v>nie</v>
      </c>
      <c r="CG136" s="128">
        <f t="shared" si="275"/>
        <v>2316</v>
      </c>
      <c r="CH136" s="128">
        <f t="shared" si="369"/>
        <v>117160.071</v>
      </c>
      <c r="CI136" s="128">
        <f t="shared" si="276"/>
        <v>0</v>
      </c>
      <c r="CJ136" s="130">
        <f t="shared" si="277"/>
        <v>3.5999999999999997E-2</v>
      </c>
      <c r="CK136" s="128">
        <f t="shared" si="278"/>
        <v>13793.073165828602</v>
      </c>
      <c r="CL136" s="128">
        <f t="shared" si="279"/>
        <v>130953.14416582859</v>
      </c>
      <c r="CN136" s="127">
        <f t="shared" si="340"/>
        <v>1000</v>
      </c>
      <c r="CO136" s="128">
        <f t="shared" si="341"/>
        <v>100000</v>
      </c>
      <c r="CP136" s="128">
        <f t="shared" si="342"/>
        <v>100000</v>
      </c>
      <c r="CQ136" s="128">
        <f t="shared" si="343"/>
        <v>141987.73656011029</v>
      </c>
      <c r="CR136" s="130">
        <f t="shared" si="280"/>
        <v>5.1000000000000004E-2</v>
      </c>
      <c r="CS136" s="128">
        <f t="shared" si="281"/>
        <v>147418.7674835345</v>
      </c>
      <c r="CT136" s="128" t="str">
        <f t="shared" si="282"/>
        <v>nie</v>
      </c>
      <c r="CU136" s="128">
        <f t="shared" si="283"/>
        <v>3000</v>
      </c>
      <c r="CV136" s="128">
        <f t="shared" si="284"/>
        <v>135979.20166166296</v>
      </c>
      <c r="CW136" s="128">
        <f t="shared" si="285"/>
        <v>0</v>
      </c>
      <c r="CX136" s="130">
        <f t="shared" si="286"/>
        <v>3.5999999999999997E-2</v>
      </c>
      <c r="CY136" s="128">
        <f t="shared" si="287"/>
        <v>0</v>
      </c>
      <c r="CZ136" s="128">
        <f t="shared" si="288"/>
        <v>135979.20166166296</v>
      </c>
      <c r="DA136" s="20"/>
      <c r="DB136" s="127">
        <f t="shared" si="350"/>
        <v>1280</v>
      </c>
      <c r="DC136" s="128">
        <f t="shared" si="351"/>
        <v>128000</v>
      </c>
      <c r="DD136" s="128">
        <f t="shared" si="344"/>
        <v>128000</v>
      </c>
      <c r="DE136" s="128">
        <f t="shared" si="345"/>
        <v>134400</v>
      </c>
      <c r="DF136" s="130">
        <f t="shared" si="289"/>
        <v>5.1000000000000004E-2</v>
      </c>
      <c r="DG136" s="128">
        <f t="shared" si="290"/>
        <v>139540.79999999999</v>
      </c>
      <c r="DH136" s="128" t="str">
        <f t="shared" si="291"/>
        <v>nie</v>
      </c>
      <c r="DI136" s="128">
        <f t="shared" si="292"/>
        <v>2560</v>
      </c>
      <c r="DJ136" s="128">
        <f t="shared" si="355"/>
        <v>135274.448</v>
      </c>
      <c r="DK136" s="128">
        <f t="shared" si="294"/>
        <v>0</v>
      </c>
      <c r="DL136" s="130">
        <f t="shared" si="295"/>
        <v>3.5999999999999997E-2</v>
      </c>
      <c r="DM136" s="128">
        <f t="shared" si="296"/>
        <v>69.057982810949525</v>
      </c>
      <c r="DN136" s="128">
        <f t="shared" si="297"/>
        <v>135343.50598281095</v>
      </c>
      <c r="DP136" s="127">
        <f t="shared" si="352"/>
        <v>1000</v>
      </c>
      <c r="DQ136" s="128">
        <f t="shared" si="353"/>
        <v>100000</v>
      </c>
      <c r="DR136" s="128">
        <f t="shared" si="346"/>
        <v>100000</v>
      </c>
      <c r="DS136" s="128">
        <f t="shared" si="347"/>
        <v>146435.85503412478</v>
      </c>
      <c r="DT136" s="130">
        <f t="shared" si="298"/>
        <v>5.6000000000000001E-2</v>
      </c>
      <c r="DU136" s="128">
        <f t="shared" si="299"/>
        <v>152586.16094555802</v>
      </c>
      <c r="DV136" s="128" t="str">
        <f t="shared" si="300"/>
        <v>nie</v>
      </c>
      <c r="DW136" s="128">
        <f t="shared" si="301"/>
        <v>3000</v>
      </c>
      <c r="DX136" s="128">
        <f t="shared" si="302"/>
        <v>140164.79036590201</v>
      </c>
      <c r="DY136" s="128">
        <f t="shared" si="303"/>
        <v>0</v>
      </c>
      <c r="DZ136" s="130">
        <f t="shared" si="304"/>
        <v>3.5999999999999997E-2</v>
      </c>
      <c r="EA136" s="128">
        <f t="shared" si="305"/>
        <v>0</v>
      </c>
      <c r="EB136" s="128">
        <f t="shared" si="306"/>
        <v>140164.79036590201</v>
      </c>
    </row>
    <row r="137" spans="1:132">
      <c r="A137" s="212"/>
      <c r="B137" s="188">
        <f t="shared" si="307"/>
        <v>93</v>
      </c>
      <c r="C137" s="128">
        <f t="shared" si="308"/>
        <v>129691.66067552437</v>
      </c>
      <c r="D137" s="128">
        <f t="shared" si="309"/>
        <v>128503.80290730708</v>
      </c>
      <c r="E137" s="128">
        <f t="shared" si="310"/>
        <v>130697.50007291163</v>
      </c>
      <c r="F137" s="128">
        <f t="shared" si="311"/>
        <v>130953.14416582859</v>
      </c>
      <c r="G137" s="128">
        <f t="shared" si="312"/>
        <v>135979.20166166296</v>
      </c>
      <c r="H137" s="128">
        <f t="shared" si="313"/>
        <v>135343.50598281095</v>
      </c>
      <c r="I137" s="128">
        <f t="shared" si="314"/>
        <v>140164.79036590201</v>
      </c>
      <c r="J137" s="128">
        <f t="shared" si="315"/>
        <v>125321.95326039956</v>
      </c>
      <c r="K137" s="128">
        <f t="shared" si="316"/>
        <v>126704.60820019364</v>
      </c>
      <c r="M137" s="36"/>
      <c r="N137" s="32">
        <f t="shared" si="317"/>
        <v>93</v>
      </c>
      <c r="O137" s="25">
        <f t="shared" si="318"/>
        <v>0.29691660675524378</v>
      </c>
      <c r="P137" s="25">
        <f t="shared" si="319"/>
        <v>0.28503802907307074</v>
      </c>
      <c r="Q137" s="25">
        <f t="shared" si="320"/>
        <v>0.30697500072911632</v>
      </c>
      <c r="R137" s="25">
        <f t="shared" si="245"/>
        <v>0.30953144165828594</v>
      </c>
      <c r="S137" s="25">
        <f t="shared" si="246"/>
        <v>0.35979201661662952</v>
      </c>
      <c r="T137" s="25">
        <f t="shared" si="247"/>
        <v>0.35343505982810952</v>
      </c>
      <c r="U137" s="25">
        <f t="shared" si="248"/>
        <v>0.40164790365902014</v>
      </c>
      <c r="V137" s="25">
        <f t="shared" si="249"/>
        <v>0.25321953260399566</v>
      </c>
      <c r="W137" s="25">
        <f t="shared" si="250"/>
        <v>0.26704608200193647</v>
      </c>
      <c r="X137" s="36"/>
      <c r="Y137" s="36"/>
      <c r="AA137" s="124">
        <f t="shared" si="321"/>
        <v>94</v>
      </c>
      <c r="AB137" s="128">
        <f t="shared" si="251"/>
        <v>127024.49115924617</v>
      </c>
      <c r="AC137" s="124">
        <f t="shared" si="322"/>
        <v>94</v>
      </c>
      <c r="AD137" s="130">
        <f t="shared" si="323"/>
        <v>3.7499999999999999E-2</v>
      </c>
      <c r="AE137" s="127">
        <f t="shared" si="324"/>
        <v>1272</v>
      </c>
      <c r="AF137" s="128">
        <f t="shared" si="325"/>
        <v>127076.70000000001</v>
      </c>
      <c r="AG137" s="128">
        <f t="shared" si="348"/>
        <v>127200</v>
      </c>
      <c r="AH137" s="128">
        <f t="shared" si="357"/>
        <v>127200</v>
      </c>
      <c r="AI137" s="130">
        <f t="shared" si="252"/>
        <v>3.7499999999999999E-2</v>
      </c>
      <c r="AJ137" s="128">
        <f t="shared" si="253"/>
        <v>127597.5</v>
      </c>
      <c r="AK137" s="128" t="str">
        <f t="shared" si="254"/>
        <v>nie</v>
      </c>
      <c r="AL137" s="128">
        <f t="shared" si="255"/>
        <v>636</v>
      </c>
      <c r="AM137" s="128">
        <f t="shared" si="361"/>
        <v>127006.815</v>
      </c>
      <c r="AN137" s="128">
        <f t="shared" si="256"/>
        <v>321.97500000000002</v>
      </c>
      <c r="AO137" s="130">
        <f t="shared" si="257"/>
        <v>3.5999999999999997E-2</v>
      </c>
      <c r="AP137" s="128">
        <f t="shared" si="258"/>
        <v>3336.1022497658887</v>
      </c>
      <c r="AQ137" s="128">
        <f t="shared" si="362"/>
        <v>130020.9422497659</v>
      </c>
      <c r="AS137" s="124">
        <f t="shared" si="327"/>
        <v>94</v>
      </c>
      <c r="AT137" s="130">
        <f t="shared" si="328"/>
        <v>3.7499999999999999E-2</v>
      </c>
      <c r="AU137" s="127">
        <f t="shared" si="329"/>
        <v>1222</v>
      </c>
      <c r="AV137" s="128">
        <f t="shared" si="330"/>
        <v>122085.40000000001</v>
      </c>
      <c r="AW137" s="128">
        <f t="shared" si="363"/>
        <v>122200</v>
      </c>
      <c r="AX137" s="128">
        <f t="shared" si="358"/>
        <v>122200</v>
      </c>
      <c r="AY137" s="130">
        <f t="shared" si="259"/>
        <v>3.9E-2</v>
      </c>
      <c r="AZ137" s="128">
        <f t="shared" si="260"/>
        <v>122597.15</v>
      </c>
      <c r="BA137" s="128" t="str">
        <f t="shared" si="261"/>
        <v>nie</v>
      </c>
      <c r="BB137" s="128">
        <f t="shared" si="262"/>
        <v>855.4</v>
      </c>
      <c r="BC137" s="128">
        <f t="shared" si="367"/>
        <v>121828.8175</v>
      </c>
      <c r="BD137" s="128">
        <f t="shared" si="263"/>
        <v>321.6914999999953</v>
      </c>
      <c r="BE137" s="130">
        <f t="shared" si="264"/>
        <v>3.5999999999999997E-2</v>
      </c>
      <c r="BF137" s="128">
        <f t="shared" si="265"/>
        <v>7335.3703321918147</v>
      </c>
      <c r="BG137" s="128">
        <f t="shared" si="368"/>
        <v>128842.49633219182</v>
      </c>
      <c r="BI137" s="124">
        <f t="shared" si="332"/>
        <v>94</v>
      </c>
      <c r="BJ137" s="130">
        <f t="shared" si="354"/>
        <v>3.9100000000000003E-2</v>
      </c>
      <c r="BK137" s="127">
        <f t="shared" si="333"/>
        <v>1237</v>
      </c>
      <c r="BL137" s="128">
        <f t="shared" si="334"/>
        <v>123576.3</v>
      </c>
      <c r="BM137" s="128">
        <f t="shared" si="349"/>
        <v>123700</v>
      </c>
      <c r="BN137" s="128">
        <f t="shared" si="335"/>
        <v>129142.8</v>
      </c>
      <c r="BO137" s="130">
        <f t="shared" si="266"/>
        <v>4.3999999999999997E-2</v>
      </c>
      <c r="BP137" s="128">
        <f t="shared" si="267"/>
        <v>133878.03599999999</v>
      </c>
      <c r="BQ137" s="128" t="str">
        <f t="shared" si="268"/>
        <v>nie</v>
      </c>
      <c r="BR137" s="128">
        <f t="shared" si="269"/>
        <v>1237</v>
      </c>
      <c r="BS137" s="128">
        <f t="shared" si="364"/>
        <v>130942.23916</v>
      </c>
      <c r="BT137" s="128">
        <f t="shared" si="356"/>
        <v>0</v>
      </c>
      <c r="BU137" s="130">
        <f t="shared" si="270"/>
        <v>3.5999999999999997E-2</v>
      </c>
      <c r="BV137" s="128">
        <f t="shared" si="271"/>
        <v>139.15234943187522</v>
      </c>
      <c r="BW137" s="128">
        <f t="shared" si="365"/>
        <v>131081.39150943188</v>
      </c>
      <c r="BY137" s="130">
        <f t="shared" si="360"/>
        <v>3.1E-2</v>
      </c>
      <c r="BZ137" s="127">
        <f t="shared" si="337"/>
        <v>1158</v>
      </c>
      <c r="CA137" s="128">
        <f t="shared" si="338"/>
        <v>115696.20000000001</v>
      </c>
      <c r="CB137" s="128">
        <f t="shared" si="366"/>
        <v>115800</v>
      </c>
      <c r="CC137" s="128">
        <f t="shared" si="359"/>
        <v>115800</v>
      </c>
      <c r="CD137" s="130">
        <f t="shared" si="272"/>
        <v>4.5999999999999999E-2</v>
      </c>
      <c r="CE137" s="128">
        <f t="shared" si="273"/>
        <v>120239</v>
      </c>
      <c r="CF137" s="128" t="str">
        <f t="shared" si="274"/>
        <v>nie</v>
      </c>
      <c r="CG137" s="128">
        <f t="shared" si="275"/>
        <v>2316</v>
      </c>
      <c r="CH137" s="128">
        <f t="shared" si="369"/>
        <v>117519.63</v>
      </c>
      <c r="CI137" s="128">
        <f t="shared" si="276"/>
        <v>0</v>
      </c>
      <c r="CJ137" s="130">
        <f t="shared" si="277"/>
        <v>3.5999999999999997E-2</v>
      </c>
      <c r="CK137" s="128">
        <f t="shared" si="278"/>
        <v>13826.590333621565</v>
      </c>
      <c r="CL137" s="128">
        <f t="shared" si="279"/>
        <v>131346.22033362158</v>
      </c>
      <c r="CN137" s="127">
        <f t="shared" si="340"/>
        <v>1000</v>
      </c>
      <c r="CO137" s="128">
        <f t="shared" si="341"/>
        <v>100000</v>
      </c>
      <c r="CP137" s="128">
        <f t="shared" si="342"/>
        <v>100000</v>
      </c>
      <c r="CQ137" s="128">
        <f t="shared" si="343"/>
        <v>141987.73656011029</v>
      </c>
      <c r="CR137" s="130">
        <f t="shared" si="280"/>
        <v>5.1000000000000004E-2</v>
      </c>
      <c r="CS137" s="128">
        <f t="shared" si="281"/>
        <v>148022.21536391499</v>
      </c>
      <c r="CT137" s="128" t="str">
        <f t="shared" si="282"/>
        <v>nie</v>
      </c>
      <c r="CU137" s="128">
        <f t="shared" si="283"/>
        <v>3000</v>
      </c>
      <c r="CV137" s="128">
        <f t="shared" si="284"/>
        <v>136467.99444477115</v>
      </c>
      <c r="CW137" s="128">
        <f t="shared" si="285"/>
        <v>0</v>
      </c>
      <c r="CX137" s="130">
        <f t="shared" si="286"/>
        <v>3.5999999999999997E-2</v>
      </c>
      <c r="CY137" s="128">
        <f t="shared" si="287"/>
        <v>0</v>
      </c>
      <c r="CZ137" s="128">
        <f t="shared" si="288"/>
        <v>136467.99444477115</v>
      </c>
      <c r="DA137" s="20"/>
      <c r="DB137" s="127">
        <f t="shared" si="350"/>
        <v>1280</v>
      </c>
      <c r="DC137" s="128">
        <f t="shared" si="351"/>
        <v>128000</v>
      </c>
      <c r="DD137" s="128">
        <f t="shared" si="344"/>
        <v>128000</v>
      </c>
      <c r="DE137" s="128">
        <f t="shared" si="345"/>
        <v>134400</v>
      </c>
      <c r="DF137" s="130">
        <f t="shared" si="289"/>
        <v>5.1000000000000004E-2</v>
      </c>
      <c r="DG137" s="128">
        <f t="shared" si="290"/>
        <v>140112</v>
      </c>
      <c r="DH137" s="128" t="str">
        <f t="shared" si="291"/>
        <v>nie</v>
      </c>
      <c r="DI137" s="128">
        <f t="shared" si="292"/>
        <v>2560</v>
      </c>
      <c r="DJ137" s="128">
        <f t="shared" si="355"/>
        <v>135737.12</v>
      </c>
      <c r="DK137" s="128">
        <f t="shared" si="294"/>
        <v>0</v>
      </c>
      <c r="DL137" s="130">
        <f t="shared" si="295"/>
        <v>3.5999999999999997E-2</v>
      </c>
      <c r="DM137" s="128">
        <f t="shared" si="296"/>
        <v>69.225793709180124</v>
      </c>
      <c r="DN137" s="128">
        <f t="shared" si="297"/>
        <v>135806.34579370919</v>
      </c>
      <c r="DP137" s="127">
        <f t="shared" si="352"/>
        <v>1000</v>
      </c>
      <c r="DQ137" s="128">
        <f t="shared" si="353"/>
        <v>100000</v>
      </c>
      <c r="DR137" s="128">
        <f t="shared" si="346"/>
        <v>100000</v>
      </c>
      <c r="DS137" s="128">
        <f t="shared" si="347"/>
        <v>146435.85503412478</v>
      </c>
      <c r="DT137" s="130">
        <f t="shared" si="298"/>
        <v>5.6000000000000001E-2</v>
      </c>
      <c r="DU137" s="128">
        <f t="shared" si="299"/>
        <v>153269.52826905058</v>
      </c>
      <c r="DV137" s="128" t="str">
        <f t="shared" si="300"/>
        <v>nie</v>
      </c>
      <c r="DW137" s="128">
        <f t="shared" si="301"/>
        <v>3000</v>
      </c>
      <c r="DX137" s="128">
        <f t="shared" si="302"/>
        <v>140718.31789793097</v>
      </c>
      <c r="DY137" s="128">
        <f t="shared" si="303"/>
        <v>0</v>
      </c>
      <c r="DZ137" s="130">
        <f t="shared" si="304"/>
        <v>3.5999999999999997E-2</v>
      </c>
      <c r="EA137" s="128">
        <f t="shared" si="305"/>
        <v>0</v>
      </c>
      <c r="EB137" s="128">
        <f t="shared" si="306"/>
        <v>140718.31789793097</v>
      </c>
    </row>
    <row r="138" spans="1:132">
      <c r="A138" s="212"/>
      <c r="B138" s="188">
        <f t="shared" si="307"/>
        <v>94</v>
      </c>
      <c r="C138" s="128">
        <f t="shared" si="308"/>
        <v>130020.9422497659</v>
      </c>
      <c r="D138" s="128">
        <f t="shared" si="309"/>
        <v>128842.49633219182</v>
      </c>
      <c r="E138" s="128">
        <f t="shared" si="310"/>
        <v>131081.39150943188</v>
      </c>
      <c r="F138" s="128">
        <f t="shared" si="311"/>
        <v>131346.22033362158</v>
      </c>
      <c r="G138" s="128">
        <f t="shared" si="312"/>
        <v>136467.99444477115</v>
      </c>
      <c r="H138" s="128">
        <f t="shared" si="313"/>
        <v>135806.34579370919</v>
      </c>
      <c r="I138" s="128">
        <f t="shared" si="314"/>
        <v>140718.31789793097</v>
      </c>
      <c r="J138" s="128">
        <f t="shared" si="315"/>
        <v>125626.48560682233</v>
      </c>
      <c r="K138" s="128">
        <f t="shared" si="316"/>
        <v>127024.49115924617</v>
      </c>
      <c r="M138" s="36"/>
      <c r="N138" s="32">
        <f t="shared" si="317"/>
        <v>94</v>
      </c>
      <c r="O138" s="25">
        <f t="shared" si="318"/>
        <v>0.30020942249765903</v>
      </c>
      <c r="P138" s="25">
        <f t="shared" si="319"/>
        <v>0.28842496332191825</v>
      </c>
      <c r="Q138" s="25">
        <f t="shared" si="320"/>
        <v>0.31081391509431877</v>
      </c>
      <c r="R138" s="25">
        <f t="shared" si="245"/>
        <v>0.31346220333621577</v>
      </c>
      <c r="S138" s="25">
        <f t="shared" si="246"/>
        <v>0.36467994444771157</v>
      </c>
      <c r="T138" s="25">
        <f t="shared" si="247"/>
        <v>0.35806345793709182</v>
      </c>
      <c r="U138" s="25">
        <f t="shared" si="248"/>
        <v>0.40718317897930967</v>
      </c>
      <c r="V138" s="25">
        <f t="shared" si="249"/>
        <v>0.25626485606822325</v>
      </c>
      <c r="W138" s="25">
        <f t="shared" si="250"/>
        <v>0.27024491159246167</v>
      </c>
      <c r="X138" s="36"/>
      <c r="Y138" s="36"/>
      <c r="AA138" s="124">
        <f t="shared" si="321"/>
        <v>95</v>
      </c>
      <c r="AB138" s="128">
        <f t="shared" si="251"/>
        <v>127344.37411829871</v>
      </c>
      <c r="AC138" s="124">
        <f t="shared" si="322"/>
        <v>95</v>
      </c>
      <c r="AD138" s="130">
        <f t="shared" si="323"/>
        <v>3.7499999999999999E-2</v>
      </c>
      <c r="AE138" s="127">
        <f t="shared" si="324"/>
        <v>1272</v>
      </c>
      <c r="AF138" s="128">
        <f t="shared" si="325"/>
        <v>127076.70000000001</v>
      </c>
      <c r="AG138" s="128">
        <f t="shared" si="348"/>
        <v>127200</v>
      </c>
      <c r="AH138" s="128">
        <f t="shared" si="357"/>
        <v>127200</v>
      </c>
      <c r="AI138" s="130">
        <f t="shared" si="252"/>
        <v>3.7499999999999999E-2</v>
      </c>
      <c r="AJ138" s="128">
        <f t="shared" si="253"/>
        <v>127597.5</v>
      </c>
      <c r="AK138" s="128" t="str">
        <f t="shared" si="254"/>
        <v>nie</v>
      </c>
      <c r="AL138" s="128">
        <f t="shared" si="255"/>
        <v>636</v>
      </c>
      <c r="AM138" s="128">
        <f t="shared" si="361"/>
        <v>127006.815</v>
      </c>
      <c r="AN138" s="128">
        <f t="shared" si="256"/>
        <v>321.97500000000002</v>
      </c>
      <c r="AO138" s="130">
        <f t="shared" si="257"/>
        <v>3.5999999999999997E-2</v>
      </c>
      <c r="AP138" s="128">
        <f t="shared" si="258"/>
        <v>3666.1839782328193</v>
      </c>
      <c r="AQ138" s="128">
        <f t="shared" si="362"/>
        <v>130351.02397823283</v>
      </c>
      <c r="AS138" s="124">
        <f t="shared" si="327"/>
        <v>95</v>
      </c>
      <c r="AT138" s="130">
        <f t="shared" si="328"/>
        <v>3.7499999999999999E-2</v>
      </c>
      <c r="AU138" s="127">
        <f t="shared" si="329"/>
        <v>1222</v>
      </c>
      <c r="AV138" s="128">
        <f t="shared" si="330"/>
        <v>122085.40000000001</v>
      </c>
      <c r="AW138" s="128">
        <f t="shared" si="363"/>
        <v>122200</v>
      </c>
      <c r="AX138" s="128">
        <f t="shared" si="358"/>
        <v>122200</v>
      </c>
      <c r="AY138" s="130">
        <f t="shared" si="259"/>
        <v>3.9E-2</v>
      </c>
      <c r="AZ138" s="128">
        <f t="shared" si="260"/>
        <v>122597.15</v>
      </c>
      <c r="BA138" s="128" t="str">
        <f t="shared" si="261"/>
        <v>nie</v>
      </c>
      <c r="BB138" s="128">
        <f t="shared" si="262"/>
        <v>855.4</v>
      </c>
      <c r="BC138" s="128">
        <f t="shared" si="367"/>
        <v>121828.8175</v>
      </c>
      <c r="BD138" s="128">
        <f t="shared" si="263"/>
        <v>321.6914999999953</v>
      </c>
      <c r="BE138" s="130">
        <f t="shared" si="264"/>
        <v>3.5999999999999997E-2</v>
      </c>
      <c r="BF138" s="128">
        <f t="shared" si="265"/>
        <v>7674.8867820990354</v>
      </c>
      <c r="BG138" s="128">
        <f t="shared" si="368"/>
        <v>129182.01278209905</v>
      </c>
      <c r="BI138" s="124">
        <f t="shared" si="332"/>
        <v>95</v>
      </c>
      <c r="BJ138" s="130">
        <f t="shared" si="354"/>
        <v>3.9100000000000003E-2</v>
      </c>
      <c r="BK138" s="127">
        <f t="shared" si="333"/>
        <v>1237</v>
      </c>
      <c r="BL138" s="128">
        <f t="shared" si="334"/>
        <v>123576.3</v>
      </c>
      <c r="BM138" s="128">
        <f t="shared" si="349"/>
        <v>123700</v>
      </c>
      <c r="BN138" s="128">
        <f t="shared" si="335"/>
        <v>129142.8</v>
      </c>
      <c r="BO138" s="130">
        <f t="shared" si="266"/>
        <v>4.3999999999999997E-2</v>
      </c>
      <c r="BP138" s="128">
        <f t="shared" si="267"/>
        <v>134351.55960000001</v>
      </c>
      <c r="BQ138" s="128" t="str">
        <f t="shared" si="268"/>
        <v>nie</v>
      </c>
      <c r="BR138" s="128">
        <f t="shared" si="269"/>
        <v>1237</v>
      </c>
      <c r="BS138" s="128">
        <f t="shared" si="364"/>
        <v>131325.79327600001</v>
      </c>
      <c r="BT138" s="128">
        <f t="shared" si="356"/>
        <v>0</v>
      </c>
      <c r="BU138" s="130">
        <f t="shared" si="270"/>
        <v>3.5999999999999997E-2</v>
      </c>
      <c r="BV138" s="128">
        <f t="shared" si="271"/>
        <v>139.49048964099467</v>
      </c>
      <c r="BW138" s="128">
        <f t="shared" si="365"/>
        <v>131465.28376564101</v>
      </c>
      <c r="BY138" s="130">
        <f t="shared" si="360"/>
        <v>3.1E-2</v>
      </c>
      <c r="BZ138" s="127">
        <f t="shared" si="337"/>
        <v>1158</v>
      </c>
      <c r="CA138" s="128">
        <f t="shared" si="338"/>
        <v>115696.20000000001</v>
      </c>
      <c r="CB138" s="128">
        <f t="shared" si="366"/>
        <v>115800</v>
      </c>
      <c r="CC138" s="128">
        <f t="shared" si="359"/>
        <v>115800</v>
      </c>
      <c r="CD138" s="130">
        <f t="shared" si="272"/>
        <v>4.5999999999999999E-2</v>
      </c>
      <c r="CE138" s="128">
        <f t="shared" si="273"/>
        <v>120682.90000000001</v>
      </c>
      <c r="CF138" s="128" t="str">
        <f t="shared" si="274"/>
        <v>nie</v>
      </c>
      <c r="CG138" s="128">
        <f t="shared" si="275"/>
        <v>2316</v>
      </c>
      <c r="CH138" s="128">
        <f t="shared" si="369"/>
        <v>117879.18900000001</v>
      </c>
      <c r="CI138" s="128">
        <f t="shared" si="276"/>
        <v>0</v>
      </c>
      <c r="CJ138" s="130">
        <f t="shared" si="277"/>
        <v>3.5999999999999997E-2</v>
      </c>
      <c r="CK138" s="128">
        <f t="shared" si="278"/>
        <v>13860.188948132265</v>
      </c>
      <c r="CL138" s="128">
        <f t="shared" si="279"/>
        <v>131739.37794813229</v>
      </c>
      <c r="CN138" s="127">
        <f t="shared" si="340"/>
        <v>1000</v>
      </c>
      <c r="CO138" s="128">
        <f t="shared" si="341"/>
        <v>100000</v>
      </c>
      <c r="CP138" s="128">
        <f t="shared" si="342"/>
        <v>100000</v>
      </c>
      <c r="CQ138" s="128">
        <f t="shared" si="343"/>
        <v>141987.73656011029</v>
      </c>
      <c r="CR138" s="130">
        <f t="shared" si="280"/>
        <v>5.1000000000000004E-2</v>
      </c>
      <c r="CS138" s="128">
        <f t="shared" si="281"/>
        <v>148625.66324429546</v>
      </c>
      <c r="CT138" s="128" t="str">
        <f t="shared" si="282"/>
        <v>nie</v>
      </c>
      <c r="CU138" s="128">
        <f t="shared" si="283"/>
        <v>3000</v>
      </c>
      <c r="CV138" s="128">
        <f t="shared" si="284"/>
        <v>136956.78722787931</v>
      </c>
      <c r="CW138" s="128">
        <f t="shared" si="285"/>
        <v>0</v>
      </c>
      <c r="CX138" s="130">
        <f t="shared" si="286"/>
        <v>3.5999999999999997E-2</v>
      </c>
      <c r="CY138" s="128">
        <f t="shared" si="287"/>
        <v>0</v>
      </c>
      <c r="CZ138" s="128">
        <f t="shared" si="288"/>
        <v>136956.78722787931</v>
      </c>
      <c r="DA138" s="20"/>
      <c r="DB138" s="127">
        <f t="shared" si="350"/>
        <v>1280</v>
      </c>
      <c r="DC138" s="128">
        <f t="shared" si="351"/>
        <v>128000</v>
      </c>
      <c r="DD138" s="128">
        <f t="shared" si="344"/>
        <v>128000</v>
      </c>
      <c r="DE138" s="128">
        <f t="shared" si="345"/>
        <v>134400</v>
      </c>
      <c r="DF138" s="130">
        <f t="shared" si="289"/>
        <v>5.1000000000000004E-2</v>
      </c>
      <c r="DG138" s="128">
        <f t="shared" si="290"/>
        <v>140683.20000000001</v>
      </c>
      <c r="DH138" s="128" t="str">
        <f t="shared" si="291"/>
        <v>nie</v>
      </c>
      <c r="DI138" s="128">
        <f t="shared" si="292"/>
        <v>2560</v>
      </c>
      <c r="DJ138" s="128">
        <f t="shared" si="355"/>
        <v>136199.79200000002</v>
      </c>
      <c r="DK138" s="128">
        <f t="shared" si="294"/>
        <v>0</v>
      </c>
      <c r="DL138" s="130">
        <f t="shared" si="295"/>
        <v>3.5999999999999997E-2</v>
      </c>
      <c r="DM138" s="128">
        <f t="shared" si="296"/>
        <v>69.394012387893426</v>
      </c>
      <c r="DN138" s="128">
        <f t="shared" si="297"/>
        <v>136269.18601238792</v>
      </c>
      <c r="DP138" s="127">
        <f t="shared" si="352"/>
        <v>1000</v>
      </c>
      <c r="DQ138" s="128">
        <f t="shared" si="353"/>
        <v>100000</v>
      </c>
      <c r="DR138" s="128">
        <f t="shared" si="346"/>
        <v>100000</v>
      </c>
      <c r="DS138" s="128">
        <f t="shared" si="347"/>
        <v>146435.85503412478</v>
      </c>
      <c r="DT138" s="130">
        <f t="shared" si="298"/>
        <v>5.6000000000000001E-2</v>
      </c>
      <c r="DU138" s="128">
        <f t="shared" si="299"/>
        <v>153952.89559254318</v>
      </c>
      <c r="DV138" s="128" t="str">
        <f t="shared" si="300"/>
        <v>nie</v>
      </c>
      <c r="DW138" s="128">
        <f t="shared" si="301"/>
        <v>3000</v>
      </c>
      <c r="DX138" s="128">
        <f t="shared" si="302"/>
        <v>141271.84542995997</v>
      </c>
      <c r="DY138" s="128">
        <f t="shared" si="303"/>
        <v>0</v>
      </c>
      <c r="DZ138" s="130">
        <f t="shared" si="304"/>
        <v>3.5999999999999997E-2</v>
      </c>
      <c r="EA138" s="128">
        <f t="shared" si="305"/>
        <v>0</v>
      </c>
      <c r="EB138" s="128">
        <f t="shared" si="306"/>
        <v>141271.84542995997</v>
      </c>
    </row>
    <row r="139" spans="1:132" ht="14.25" customHeight="1">
      <c r="A139" s="212"/>
      <c r="B139" s="188">
        <f t="shared" si="307"/>
        <v>95</v>
      </c>
      <c r="C139" s="128">
        <f t="shared" si="308"/>
        <v>130351.02397823283</v>
      </c>
      <c r="D139" s="128">
        <f t="shared" si="309"/>
        <v>129182.01278209905</v>
      </c>
      <c r="E139" s="128">
        <f t="shared" si="310"/>
        <v>131465.28376564101</v>
      </c>
      <c r="F139" s="128">
        <f t="shared" si="311"/>
        <v>131739.37794813229</v>
      </c>
      <c r="G139" s="128">
        <f t="shared" si="312"/>
        <v>136956.78722787931</v>
      </c>
      <c r="H139" s="128">
        <f t="shared" si="313"/>
        <v>136269.18601238792</v>
      </c>
      <c r="I139" s="128">
        <f t="shared" si="314"/>
        <v>141271.84542995997</v>
      </c>
      <c r="J139" s="128">
        <f t="shared" si="315"/>
        <v>125931.7579668469</v>
      </c>
      <c r="K139" s="128">
        <f t="shared" si="316"/>
        <v>127344.37411829871</v>
      </c>
      <c r="M139" s="36"/>
      <c r="N139" s="32">
        <f t="shared" si="317"/>
        <v>95</v>
      </c>
      <c r="O139" s="25">
        <f t="shared" si="318"/>
        <v>0.30351023978232838</v>
      </c>
      <c r="P139" s="25">
        <f t="shared" si="319"/>
        <v>0.29182012782099043</v>
      </c>
      <c r="Q139" s="25">
        <f t="shared" si="320"/>
        <v>0.31465283765641017</v>
      </c>
      <c r="R139" s="25">
        <f t="shared" si="245"/>
        <v>0.31739377948132286</v>
      </c>
      <c r="S139" s="25">
        <f t="shared" si="246"/>
        <v>0.36956787227879317</v>
      </c>
      <c r="T139" s="25">
        <f t="shared" si="247"/>
        <v>0.36269186012387911</v>
      </c>
      <c r="U139" s="25">
        <f t="shared" si="248"/>
        <v>0.41271845429959964</v>
      </c>
      <c r="V139" s="25">
        <f t="shared" si="249"/>
        <v>0.25931757966846902</v>
      </c>
      <c r="W139" s="25">
        <f t="shared" si="250"/>
        <v>0.27344374118298709</v>
      </c>
      <c r="X139" s="36"/>
      <c r="Y139" s="36"/>
      <c r="AA139" s="124">
        <f t="shared" si="321"/>
        <v>96</v>
      </c>
      <c r="AB139" s="128">
        <f t="shared" si="251"/>
        <v>127664.25707735121</v>
      </c>
      <c r="AC139" s="124">
        <f t="shared" si="322"/>
        <v>96</v>
      </c>
      <c r="AD139" s="130">
        <f t="shared" si="323"/>
        <v>3.7499999999999999E-2</v>
      </c>
      <c r="AE139" s="127">
        <f t="shared" si="324"/>
        <v>1272</v>
      </c>
      <c r="AF139" s="128">
        <f t="shared" si="325"/>
        <v>127076.70000000001</v>
      </c>
      <c r="AG139" s="128">
        <f t="shared" si="348"/>
        <v>127200</v>
      </c>
      <c r="AH139" s="128">
        <f t="shared" si="357"/>
        <v>127200</v>
      </c>
      <c r="AI139" s="130">
        <f t="shared" si="252"/>
        <v>3.7499999999999999E-2</v>
      </c>
      <c r="AJ139" s="128">
        <f t="shared" si="253"/>
        <v>127597.5</v>
      </c>
      <c r="AK139" s="128" t="str">
        <f t="shared" si="254"/>
        <v>tak</v>
      </c>
      <c r="AL139" s="128">
        <f t="shared" si="255"/>
        <v>0</v>
      </c>
      <c r="AM139" s="128">
        <f t="shared" si="361"/>
        <v>127521.97500000001</v>
      </c>
      <c r="AN139" s="128">
        <f t="shared" si="256"/>
        <v>449.67499999999279</v>
      </c>
      <c r="AO139" s="130">
        <f t="shared" si="257"/>
        <v>3.5999999999999997E-2</v>
      </c>
      <c r="AP139" s="128">
        <f t="shared" si="258"/>
        <v>4124.7678052999172</v>
      </c>
      <c r="AQ139" s="128">
        <f t="shared" si="362"/>
        <v>131197.06780529994</v>
      </c>
      <c r="AS139" s="124">
        <f t="shared" si="327"/>
        <v>96</v>
      </c>
      <c r="AT139" s="130">
        <f t="shared" si="328"/>
        <v>3.7499999999999999E-2</v>
      </c>
      <c r="AU139" s="127">
        <f t="shared" si="329"/>
        <v>1222</v>
      </c>
      <c r="AV139" s="128">
        <f t="shared" si="330"/>
        <v>122085.40000000001</v>
      </c>
      <c r="AW139" s="128">
        <f t="shared" si="363"/>
        <v>122200</v>
      </c>
      <c r="AX139" s="128">
        <f t="shared" si="358"/>
        <v>122200</v>
      </c>
      <c r="AY139" s="130">
        <f t="shared" si="259"/>
        <v>3.9E-2</v>
      </c>
      <c r="AZ139" s="128">
        <f t="shared" si="260"/>
        <v>122597.15</v>
      </c>
      <c r="BA139" s="128" t="str">
        <f t="shared" si="261"/>
        <v>tak</v>
      </c>
      <c r="BB139" s="128">
        <f t="shared" si="262"/>
        <v>0</v>
      </c>
      <c r="BC139" s="128">
        <f t="shared" si="367"/>
        <v>122521.6915</v>
      </c>
      <c r="BD139" s="128">
        <f t="shared" si="263"/>
        <v>444.39149999998835</v>
      </c>
      <c r="BE139" s="130">
        <f t="shared" si="264"/>
        <v>3.5999999999999997E-2</v>
      </c>
      <c r="BF139" s="128">
        <f t="shared" si="265"/>
        <v>8137.9282569795232</v>
      </c>
      <c r="BG139" s="128">
        <f t="shared" si="368"/>
        <v>130215.22825697954</v>
      </c>
      <c r="BI139" s="124">
        <f t="shared" si="332"/>
        <v>96</v>
      </c>
      <c r="BJ139" s="130">
        <f t="shared" si="354"/>
        <v>3.9100000000000003E-2</v>
      </c>
      <c r="BK139" s="127">
        <f t="shared" si="333"/>
        <v>1237</v>
      </c>
      <c r="BL139" s="128">
        <f t="shared" si="334"/>
        <v>123576.3</v>
      </c>
      <c r="BM139" s="128">
        <f t="shared" si="349"/>
        <v>123700</v>
      </c>
      <c r="BN139" s="128">
        <f t="shared" si="335"/>
        <v>129142.8</v>
      </c>
      <c r="BO139" s="130">
        <f t="shared" si="266"/>
        <v>4.3999999999999997E-2</v>
      </c>
      <c r="BP139" s="128">
        <f t="shared" si="267"/>
        <v>134825.08319999999</v>
      </c>
      <c r="BQ139" s="128" t="str">
        <f t="shared" si="268"/>
        <v>nie</v>
      </c>
      <c r="BR139" s="128">
        <f t="shared" si="269"/>
        <v>1237</v>
      </c>
      <c r="BS139" s="128">
        <f t="shared" si="364"/>
        <v>131709.347392</v>
      </c>
      <c r="BT139" s="128">
        <f t="shared" si="356"/>
        <v>0</v>
      </c>
      <c r="BU139" s="130">
        <f t="shared" si="270"/>
        <v>3.5999999999999997E-2</v>
      </c>
      <c r="BV139" s="128">
        <f t="shared" si="271"/>
        <v>139.82945153082227</v>
      </c>
      <c r="BW139" s="128">
        <f t="shared" si="365"/>
        <v>131849.17684353082</v>
      </c>
      <c r="BY139" s="130">
        <f t="shared" si="360"/>
        <v>3.1E-2</v>
      </c>
      <c r="BZ139" s="127">
        <f t="shared" si="337"/>
        <v>1158</v>
      </c>
      <c r="CA139" s="128">
        <f t="shared" si="338"/>
        <v>115696.20000000001</v>
      </c>
      <c r="CB139" s="128">
        <f t="shared" si="366"/>
        <v>115800</v>
      </c>
      <c r="CC139" s="128">
        <f t="shared" si="359"/>
        <v>115800</v>
      </c>
      <c r="CD139" s="130">
        <f t="shared" si="272"/>
        <v>4.5999999999999999E-2</v>
      </c>
      <c r="CE139" s="128">
        <f t="shared" si="273"/>
        <v>121126.8</v>
      </c>
      <c r="CF139" s="128" t="str">
        <f t="shared" si="274"/>
        <v>tak</v>
      </c>
      <c r="CG139" s="128">
        <f t="shared" si="275"/>
        <v>0</v>
      </c>
      <c r="CH139" s="128">
        <f t="shared" si="369"/>
        <v>120114.708</v>
      </c>
      <c r="CI139" s="128">
        <f t="shared" si="276"/>
        <v>34.907999999995809</v>
      </c>
      <c r="CJ139" s="130">
        <f t="shared" si="277"/>
        <v>3.5999999999999997E-2</v>
      </c>
      <c r="CK139" s="128">
        <f t="shared" si="278"/>
        <v>13928.777207276222</v>
      </c>
      <c r="CL139" s="128">
        <f t="shared" si="279"/>
        <v>134008.57720727622</v>
      </c>
      <c r="CN139" s="127">
        <f t="shared" si="340"/>
        <v>1000</v>
      </c>
      <c r="CO139" s="128">
        <f t="shared" si="341"/>
        <v>100000</v>
      </c>
      <c r="CP139" s="128">
        <f t="shared" si="342"/>
        <v>100000</v>
      </c>
      <c r="CQ139" s="128">
        <f t="shared" si="343"/>
        <v>141987.73656011029</v>
      </c>
      <c r="CR139" s="130">
        <f t="shared" si="280"/>
        <v>5.1000000000000004E-2</v>
      </c>
      <c r="CS139" s="128">
        <f t="shared" si="281"/>
        <v>149229.1111246759</v>
      </c>
      <c r="CT139" s="128" t="str">
        <f t="shared" si="282"/>
        <v>nie</v>
      </c>
      <c r="CU139" s="128">
        <f t="shared" si="283"/>
        <v>3000</v>
      </c>
      <c r="CV139" s="128">
        <f t="shared" si="284"/>
        <v>137445.58001098747</v>
      </c>
      <c r="CW139" s="128">
        <f t="shared" si="285"/>
        <v>0</v>
      </c>
      <c r="CX139" s="130">
        <f t="shared" si="286"/>
        <v>3.5999999999999997E-2</v>
      </c>
      <c r="CY139" s="128">
        <f t="shared" si="287"/>
        <v>0</v>
      </c>
      <c r="CZ139" s="128">
        <f t="shared" si="288"/>
        <v>137445.58001098747</v>
      </c>
      <c r="DA139" s="20"/>
      <c r="DB139" s="127">
        <f t="shared" si="350"/>
        <v>1280</v>
      </c>
      <c r="DC139" s="128">
        <f t="shared" si="351"/>
        <v>128000</v>
      </c>
      <c r="DD139" s="128">
        <f t="shared" si="344"/>
        <v>128000</v>
      </c>
      <c r="DE139" s="128">
        <f t="shared" si="345"/>
        <v>134400</v>
      </c>
      <c r="DF139" s="130">
        <f t="shared" si="289"/>
        <v>5.1000000000000004E-2</v>
      </c>
      <c r="DG139" s="128">
        <f t="shared" si="290"/>
        <v>141254.39999999999</v>
      </c>
      <c r="DH139" s="128" t="str">
        <f t="shared" si="291"/>
        <v>nie</v>
      </c>
      <c r="DI139" s="128">
        <f t="shared" si="292"/>
        <v>2560</v>
      </c>
      <c r="DJ139" s="128">
        <f t="shared" si="355"/>
        <v>136662.46400000001</v>
      </c>
      <c r="DK139" s="128">
        <f t="shared" si="294"/>
        <v>0</v>
      </c>
      <c r="DL139" s="130">
        <f t="shared" si="295"/>
        <v>3.5999999999999997E-2</v>
      </c>
      <c r="DM139" s="128">
        <f t="shared" si="296"/>
        <v>69.562639837996002</v>
      </c>
      <c r="DN139" s="128">
        <f t="shared" si="297"/>
        <v>136732.026639838</v>
      </c>
      <c r="DP139" s="127">
        <f t="shared" si="352"/>
        <v>1000</v>
      </c>
      <c r="DQ139" s="128">
        <f t="shared" si="353"/>
        <v>100000</v>
      </c>
      <c r="DR139" s="128">
        <f t="shared" si="346"/>
        <v>100000</v>
      </c>
      <c r="DS139" s="128">
        <f t="shared" si="347"/>
        <v>146435.85503412478</v>
      </c>
      <c r="DT139" s="130">
        <f t="shared" si="298"/>
        <v>5.6000000000000001E-2</v>
      </c>
      <c r="DU139" s="128">
        <f t="shared" si="299"/>
        <v>154636.26291603578</v>
      </c>
      <c r="DV139" s="128" t="str">
        <f t="shared" si="300"/>
        <v>nie</v>
      </c>
      <c r="DW139" s="128">
        <f t="shared" si="301"/>
        <v>3000</v>
      </c>
      <c r="DX139" s="128">
        <f t="shared" si="302"/>
        <v>141825.37296198896</v>
      </c>
      <c r="DY139" s="128">
        <f t="shared" si="303"/>
        <v>0</v>
      </c>
      <c r="DZ139" s="130">
        <f t="shared" si="304"/>
        <v>3.5999999999999997E-2</v>
      </c>
      <c r="EA139" s="128">
        <f t="shared" si="305"/>
        <v>0</v>
      </c>
      <c r="EB139" s="128">
        <f t="shared" si="306"/>
        <v>141825.37296198896</v>
      </c>
    </row>
    <row r="140" spans="1:132">
      <c r="A140" s="212"/>
      <c r="B140" s="188">
        <f t="shared" si="307"/>
        <v>96</v>
      </c>
      <c r="C140" s="128">
        <f t="shared" si="308"/>
        <v>131197.06780529994</v>
      </c>
      <c r="D140" s="128">
        <f t="shared" si="309"/>
        <v>130215.22825697954</v>
      </c>
      <c r="E140" s="128">
        <f t="shared" si="310"/>
        <v>131849.17684353082</v>
      </c>
      <c r="F140" s="128">
        <f t="shared" si="311"/>
        <v>134008.57720727622</v>
      </c>
      <c r="G140" s="128">
        <f t="shared" si="312"/>
        <v>137445.58001098747</v>
      </c>
      <c r="H140" s="128">
        <f t="shared" si="313"/>
        <v>136732.026639838</v>
      </c>
      <c r="I140" s="128">
        <f t="shared" si="314"/>
        <v>141825.37296198896</v>
      </c>
      <c r="J140" s="128">
        <f t="shared" si="315"/>
        <v>126237.77213870632</v>
      </c>
      <c r="K140" s="128">
        <f t="shared" si="316"/>
        <v>127664.25707735121</v>
      </c>
      <c r="M140" s="36"/>
      <c r="N140" s="32">
        <f t="shared" si="317"/>
        <v>96</v>
      </c>
      <c r="O140" s="25">
        <f t="shared" si="318"/>
        <v>0.31197067805299938</v>
      </c>
      <c r="P140" s="25">
        <f t="shared" si="319"/>
        <v>0.30215228256979532</v>
      </c>
      <c r="Q140" s="25">
        <f t="shared" si="320"/>
        <v>0.31849176843530813</v>
      </c>
      <c r="R140" s="25">
        <f t="shared" ref="R140:R171" si="370">F140/zakup_domyslny_wartosc-1</f>
        <v>0.34008577207276214</v>
      </c>
      <c r="S140" s="25">
        <f t="shared" ref="S140:S171" si="371">G140/zakup_domyslny_wartosc-1</f>
        <v>0.37445580010987478</v>
      </c>
      <c r="T140" s="25">
        <f t="shared" ref="T140:T171" si="372">H140/zakup_domyslny_wartosc-1</f>
        <v>0.36732026639838011</v>
      </c>
      <c r="U140" s="25">
        <f t="shared" ref="U140:U171" si="373">I140/zakup_domyslny_wartosc-1</f>
        <v>0.4182537296198896</v>
      </c>
      <c r="V140" s="25">
        <f t="shared" ref="V140:V171" si="374">J140/zakup_domyslny_wartosc-1</f>
        <v>0.26237772138706328</v>
      </c>
      <c r="W140" s="25">
        <f t="shared" ref="W140:W171" si="375">K140/zakup_domyslny_wartosc-1</f>
        <v>0.27664257077351206</v>
      </c>
      <c r="X140" s="36"/>
      <c r="Y140" s="36"/>
      <c r="AA140" s="124">
        <f t="shared" si="321"/>
        <v>97</v>
      </c>
      <c r="AB140" s="128">
        <f t="shared" ref="AB140:AB171" si="376">zakup_domyslny_wartosc*IFERROR((INDEX(scenariusz_I_inflacja_skumulowana,MATCH(ROUNDDOWN(AA140/12,0),scenariusz_I_rok,0))+1),1)
*(1+MOD(AA140,12)*INDEX(scenariusz_I_inflacja,MATCH(ROUNDUP(AA140/12,0),scenariusz_I_rok,0))/12)</f>
        <v>127994.05640813438</v>
      </c>
      <c r="AC140" s="124">
        <f t="shared" si="322"/>
        <v>97</v>
      </c>
      <c r="AD140" s="130">
        <f t="shared" si="323"/>
        <v>3.7499999999999999E-2</v>
      </c>
      <c r="AE140" s="127">
        <f t="shared" si="324"/>
        <v>1317</v>
      </c>
      <c r="AF140" s="128">
        <f t="shared" si="325"/>
        <v>131572.40000000002</v>
      </c>
      <c r="AG140" s="128">
        <f t="shared" si="348"/>
        <v>131700</v>
      </c>
      <c r="AH140" s="128">
        <f t="shared" si="357"/>
        <v>131700</v>
      </c>
      <c r="AI140" s="130">
        <f t="shared" ref="AI140:AI171" si="377">IF(AND(MOD($AA140,zapadalnosc_ROR)&lt;=zmiana_oprocentowania_co_ile_mc_ROR,MOD($AA140,zapadalnosc_ROR)&lt;&gt;0),proc_I_okres_ROR,(marza_ROR+AD140))</f>
        <v>0.04</v>
      </c>
      <c r="AJ140" s="128">
        <f t="shared" ref="AJ140:AJ171" si="378">AH140*(1+AI140*IF(MOD($AA140,wyplata_odsetek_ROR)&lt;&gt;0,MOD($AA140,wyplata_odsetek_ROR),wyplata_odsetek_ROR)/12)</f>
        <v>132139</v>
      </c>
      <c r="AK140" s="128" t="str">
        <f t="shared" ref="AK140:AK171" si="379">IF(MOD($AA140,zapadalnosc_ROR)=0,"tak","nie")</f>
        <v>nie</v>
      </c>
      <c r="AL140" s="128">
        <f t="shared" ref="AL140:AL171" si="380">IF(MOD($AA140,zapadalnosc_ROR)=0,0,
IF(AND(MOD($AA140,zapadalnosc_ROR)&lt;zapadalnosc_ROR,MOD($AA140,zapadalnosc_ROR)&lt;=koszt_wczesniejszy_wykup_ochrona_ROR),
MIN(AJ140-AG140,AE140*koszt_wczesniejszy_wykup_ROR),AE140*koszt_wczesniejszy_wykup_ROR))</f>
        <v>439</v>
      </c>
      <c r="AM140" s="128">
        <f t="shared" si="361"/>
        <v>131700</v>
      </c>
      <c r="AN140" s="128">
        <f t="shared" ref="AN140:AN171" si="381">IF(MOD($AA140,wyplata_odsetek_ROR)=0, (AJ140-AG140)*(1-podatek_Belki),0)
+IF(AK140="tak",ROUNDDOWN(AJ140/zamiana_ROR,0)*(100-zamiana_ROR),0)</f>
        <v>355.59000000000003</v>
      </c>
      <c r="AO140" s="130">
        <f t="shared" ref="AO140:AO171" si="382">INDEX(scenariusz_I_konto,MATCH(ROUNDUP($AA140/12,0),scenariusz_I_rok,0))</f>
        <v>3.5999999999999997E-2</v>
      </c>
      <c r="AP140" s="128">
        <f t="shared" ref="AP140:AP171" si="383">(AP139-IF(AK139="tak",ROUNDDOWN(AP139/100,0)*100,0))*
(1+AO140/12*(1-podatek_Belki))+AN140</f>
        <v>380.41799106679605</v>
      </c>
      <c r="AQ140" s="128">
        <f t="shared" si="362"/>
        <v>135834.79099106681</v>
      </c>
      <c r="AS140" s="124">
        <f t="shared" si="327"/>
        <v>97</v>
      </c>
      <c r="AT140" s="130">
        <f t="shared" si="328"/>
        <v>3.7499999999999999E-2</v>
      </c>
      <c r="AU140" s="127">
        <f t="shared" si="329"/>
        <v>1307</v>
      </c>
      <c r="AV140" s="128">
        <f t="shared" si="330"/>
        <v>130577.40000000001</v>
      </c>
      <c r="AW140" s="128">
        <f t="shared" si="363"/>
        <v>130700</v>
      </c>
      <c r="AX140" s="128">
        <f t="shared" si="358"/>
        <v>130700</v>
      </c>
      <c r="AY140" s="130">
        <f t="shared" ref="AY140:AY171" si="384">IF(AND(MOD($AA140,zapadalnosc_DOR)&lt;=zmiana_oprocentowania_co_ile_mc_DOR,MOD($AA140,zapadalnosc_DOR)&lt;&gt;0),proc_I_okres_DOR,(marza_DOR+AT140))</f>
        <v>4.1500000000000002E-2</v>
      </c>
      <c r="AZ140" s="128">
        <f t="shared" ref="AZ140:AZ171" si="385">AX140*(1+AY140*IF(MOD($AA140,wyplata_odsetek_DOR)&lt;&gt;0,MOD($AA140,wyplata_odsetek_DOR),wyplata_odsetek_DOR)/12)</f>
        <v>131152.00416666668</v>
      </c>
      <c r="BA140" s="128" t="str">
        <f t="shared" ref="BA140:BA171" si="386">IF(MOD($AA140,zapadalnosc_DOR)=0,"tak","nie")</f>
        <v>nie</v>
      </c>
      <c r="BB140" s="128">
        <f t="shared" ref="BB140:BB171" si="387">IF(MOD($AA140,zapadalnosc_DOR)=0,0,
IF(AND(MOD($AA140,zapadalnosc_DOR)&lt;zapadalnosc_DOR,MOD($AA140,zapadalnosc_DOR)&lt;=koszt_wczesniejszy_wykup_ochrona_DOR),
MIN(AZ140-AW140,AU140*koszt_wczesniejszy_wykup_DOR),AU140*koszt_wczesniejszy_wykup_DOR))</f>
        <v>452.00416666668025</v>
      </c>
      <c r="BC140" s="128">
        <f t="shared" si="367"/>
        <v>130700</v>
      </c>
      <c r="BD140" s="128">
        <f t="shared" ref="BD140:BD171" si="388">IF(MOD($AA140,wyplata_odsetek_DOR)=0, (AZ140-AW140)*(1-podatek_Belki),0)
+IF(BA140="tak",ROUNDDOWN(AZ140/zamiana_DOR,0)*(100-zamiana_DOR),0)</f>
        <v>366.12337500001104</v>
      </c>
      <c r="BE140" s="130">
        <f t="shared" si="264"/>
        <v>3.5999999999999997E-2</v>
      </c>
      <c r="BF140" s="128">
        <f t="shared" ref="BF140:BF171" si="389">(BF139-IF(BA139="tak",ROUNDDOWN(BF139/100,0)*100,0))*
(1+BE140/12*(1-podatek_Belki))+BD140</f>
        <v>404.1437976439945</v>
      </c>
      <c r="BG140" s="128">
        <f t="shared" si="368"/>
        <v>138857.70342264397</v>
      </c>
      <c r="BI140" s="124">
        <f t="shared" si="332"/>
        <v>97</v>
      </c>
      <c r="BJ140" s="130">
        <f t="shared" si="354"/>
        <v>3.9100000000000003E-2</v>
      </c>
      <c r="BK140" s="127">
        <f t="shared" si="333"/>
        <v>1237</v>
      </c>
      <c r="BL140" s="128">
        <f t="shared" si="334"/>
        <v>123576.3</v>
      </c>
      <c r="BM140" s="128">
        <f t="shared" si="349"/>
        <v>123700</v>
      </c>
      <c r="BN140" s="128">
        <f t="shared" si="335"/>
        <v>134825.08319999999</v>
      </c>
      <c r="BO140" s="130">
        <f t="shared" ref="BO140:BO171" si="390">IF(AND(MOD($AA140,zapadalnosc_TOS)&lt;=12,MOD($AA140,zapadalnosc_TOS)&lt;&gt;0),proc_I_okres_TOS,(marza_TOS+proc_I_okres_TOS))</f>
        <v>4.3999999999999997E-2</v>
      </c>
      <c r="BP140" s="128">
        <f t="shared" ref="BP140:BP171" si="391">BN140*(1+BO140*IF(MOD($AA140,12)&lt;&gt;0,MOD($AA140,12),12)/12)</f>
        <v>135319.4418384</v>
      </c>
      <c r="BQ140" s="128" t="str">
        <f t="shared" ref="BQ140:BQ171" si="392">IF(MOD($AA140,zapadalnosc_TOS)=0,"tak","nie")</f>
        <v>nie</v>
      </c>
      <c r="BR140" s="128">
        <f t="shared" ref="BR140:BR171" si="393">IF(MOD($AA140,zapadalnosc_TOS)=0,0,
IF(AND(MOD($AA140,zapadalnosc_TOS)&lt;zapadalnosc_TOS,MOD($AA140,zapadalnosc_TOS)&lt;=koszt_wczesniejszy_wykup_ochrona_TOS),
MIN(BP140-BM140,BK140*koszt_wczesniejszy_wykup_TOS),BK140*koszt_wczesniejszy_wykup_TOS))</f>
        <v>1237</v>
      </c>
      <c r="BS140" s="128">
        <f t="shared" si="364"/>
        <v>132109.77788910401</v>
      </c>
      <c r="BT140" s="128">
        <f>IF(AND(BQ140="tak",BL141&lt;&gt;""),
 BS140-BL141,
0)</f>
        <v>0</v>
      </c>
      <c r="BU140" s="130">
        <f t="shared" ref="BU140:BU171" si="394">INDEX(scenariusz_I_konto,MATCH(ROUNDUP($AA140/12,0),scenariusz_I_rok,0))</f>
        <v>3.5999999999999997E-2</v>
      </c>
      <c r="BV140" s="128">
        <f t="shared" si="271"/>
        <v>140.16923709804215</v>
      </c>
      <c r="BW140" s="128">
        <f t="shared" si="365"/>
        <v>132249.94712620205</v>
      </c>
      <c r="BY140" s="130">
        <f t="shared" si="360"/>
        <v>3.1E-2</v>
      </c>
      <c r="BZ140" s="127">
        <f t="shared" si="337"/>
        <v>1341</v>
      </c>
      <c r="CA140" s="128">
        <f t="shared" si="338"/>
        <v>133979.79999999999</v>
      </c>
      <c r="CB140" s="128">
        <f t="shared" si="366"/>
        <v>134100</v>
      </c>
      <c r="CC140" s="128">
        <f t="shared" si="359"/>
        <v>134100</v>
      </c>
      <c r="CD140" s="130">
        <f t="shared" ref="CD140:CD171" si="395">IF(AND(MOD($AA140,zapadalnosc_COI)&lt;=zmiana_oprocentowania_co_ile_mc_COI,MOD($AA140,zapadalnosc_COI)&lt;&gt;0),proc_I_okres_COI,(marza_COI+BY140))</f>
        <v>4.7500000000000001E-2</v>
      </c>
      <c r="CE140" s="128">
        <f t="shared" ref="CE140:CE171" si="396">CC140*(1+CD140*IF(MOD($AA140,wyplata_odsetek_COI)&lt;&gt;0,MOD($AA140,wyplata_odsetek_COI),wyplata_odsetek_COI)/12)</f>
        <v>134630.8125</v>
      </c>
      <c r="CF140" s="128" t="str">
        <f t="shared" ref="CF140:CF171" si="397">IF(MOD($AA140,zapadalnosc_COI)=0,"tak","nie")</f>
        <v>nie</v>
      </c>
      <c r="CG140" s="128">
        <f t="shared" ref="CG140:CG171" si="398">IF(MOD($AA140,zapadalnosc_COI)=0,0,
IF(AND(MOD($AA140,zapadalnosc_COI)&lt;zapadalnosc_COI,MOD($AA140,zapadalnosc_COI)&lt;=koszt_wczesniejszy_wykup_ochrona_COI),
MIN(CE140-CB140,BZ140*koszt_wczesniejszy_wykup_COI),BZ140*koszt_wczesniejszy_wykup_COI))</f>
        <v>530.8125</v>
      </c>
      <c r="CH140" s="128">
        <f t="shared" si="369"/>
        <v>134100</v>
      </c>
      <c r="CI140" s="128">
        <f t="shared" ref="CI140:CI171" si="399" xml:space="preserve"> IF(CF140="tak",
CH140-ROUNDDOWN(CH140/zamiana_COI,0)*zamiana_COI,
IF(MOD($AA140,wyplata_odsetek_COI)=0, (CE140-CB140)*(1-podatek_Belki),0))</f>
        <v>0</v>
      </c>
      <c r="CJ140" s="130">
        <f t="shared" si="277"/>
        <v>3.5999999999999997E-2</v>
      </c>
      <c r="CK140" s="128">
        <f t="shared" ref="CK140:CK171" si="400">(CK139-IF(CF139="tak",ROUNDDOWN(CK139/100,0)*100,0))*
(1+CJ140/12*(1-podatek_Belki))+CI140</f>
        <v>28.847135889903033</v>
      </c>
      <c r="CL140" s="128">
        <f t="shared" ref="CL140:CL171" si="401">(CK139-IF(MOD($AA139,zapadalnosc_COI)=0,ROUNDDOWN(CK139/100,0)*100,0))*(1+CJ140/12*(1-podatek_Belki))+CH140</f>
        <v>134128.8471358899</v>
      </c>
      <c r="CN140" s="127">
        <f t="shared" si="340"/>
        <v>1000</v>
      </c>
      <c r="CO140" s="128">
        <f t="shared" si="341"/>
        <v>100000</v>
      </c>
      <c r="CP140" s="128">
        <f t="shared" si="342"/>
        <v>100000</v>
      </c>
      <c r="CQ140" s="128">
        <f t="shared" si="343"/>
        <v>149229.1111246759</v>
      </c>
      <c r="CR140" s="130">
        <f t="shared" ref="CR140:CR171" si="402">IF(AND(MOD($AA140,zapadalnosc_EDO)&lt;=12,MOD($AA140,zapadalnosc_EDO)&lt;&gt;0),proc_I_okres_EDO,(marza_EDO+$BY140))</f>
        <v>5.1000000000000004E-2</v>
      </c>
      <c r="CS140" s="128">
        <f t="shared" ref="CS140:CS171" si="403">CQ140*(1+CR140*IF(MOD($AA140,12)&lt;&gt;0,MOD($AA140,12),12)/12)</f>
        <v>149863.33484695578</v>
      </c>
      <c r="CT140" s="128" t="str">
        <f t="shared" ref="CT140:CT171" si="404">IF(MOD($AA140,zapadalnosc_EDO)=0,"tak","nie")</f>
        <v>nie</v>
      </c>
      <c r="CU140" s="128">
        <f t="shared" ref="CU140:CU171" si="405">IF(AND(MOD($AA140,zapadalnosc_EDO)&lt;zapadalnosc_EDO,MOD($AA140,zapadalnosc_EDO)&lt;&gt;0),MIN(CS140-CP140,CN140*koszt_wczesniejszy_wykup_EDO),0)</f>
        <v>3000</v>
      </c>
      <c r="CV140" s="128">
        <f t="shared" ref="CV140:CV171" si="406">CS140-CU140
-(CS140-CP140-CU140)*podatek_Belki</f>
        <v>137959.30122603418</v>
      </c>
      <c r="CW140" s="128">
        <f t="shared" si="285"/>
        <v>0</v>
      </c>
      <c r="CX140" s="130">
        <f t="shared" ref="CX140:CX171" si="407">INDEX(scenariusz_I_konto,MATCH(ROUNDUP($AA140/12,0),scenariusz_I_rok,0))</f>
        <v>3.5999999999999997E-2</v>
      </c>
      <c r="CY140" s="128">
        <f t="shared" ref="CY140:CY171" si="408">CY139*(1+CX140/12*(1-podatek_Belki))+CW140</f>
        <v>0</v>
      </c>
      <c r="CZ140" s="128">
        <f t="shared" ref="CZ140:CZ171" si="409">CY139*(1+CX140/12*(1-podatek_Belki))+CV140</f>
        <v>137959.30122603418</v>
      </c>
      <c r="DA140" s="20"/>
      <c r="DB140" s="127">
        <f t="shared" si="350"/>
        <v>1280</v>
      </c>
      <c r="DC140" s="128">
        <f t="shared" si="351"/>
        <v>128000</v>
      </c>
      <c r="DD140" s="128">
        <f t="shared" si="344"/>
        <v>128000</v>
      </c>
      <c r="DE140" s="128">
        <f t="shared" si="345"/>
        <v>141254.39999999999</v>
      </c>
      <c r="DF140" s="130">
        <f t="shared" ref="DF140:DF171" si="410">IF(AND(MOD($AA140,zapadalnosc_ROS)&lt;=12,MOD($AA140,zapadalnosc_ROS)&lt;&gt;0),proc_I_okres_ROS,(marza_ROS+$BY140))</f>
        <v>5.1000000000000004E-2</v>
      </c>
      <c r="DG140" s="128">
        <f t="shared" ref="DG140:DG171" si="411">DE140*(1+DF140*IF(MOD($AA140,12)&lt;&gt;0,MOD($AA140,12),12)/12)</f>
        <v>141854.73120000001</v>
      </c>
      <c r="DH140" s="128" t="str">
        <f t="shared" ref="DH140:DH171" si="412">IF(MOD($AA140,zapadalnosc_ROS)=0,"tak","nie")</f>
        <v>nie</v>
      </c>
      <c r="DI140" s="128">
        <f t="shared" ref="DI140:DI171" si="413">IF(AND(MOD($AA140,zapadalnosc_ROS)&lt;zapadalnosc_ROS,MOD($AA140,zapadalnosc_ROS)&lt;&gt;0),MIN(DG140-DD140,DB140*koszt_wczesniejszy_wykup_ROS),0)</f>
        <v>2560</v>
      </c>
      <c r="DJ140" s="128">
        <f t="shared" si="355"/>
        <v>137148.73227199999</v>
      </c>
      <c r="DK140" s="128">
        <f t="shared" si="294"/>
        <v>0</v>
      </c>
      <c r="DL140" s="130">
        <f t="shared" ref="DL140:DL171" si="414">INDEX(scenariusz_I_konto,MATCH(ROUNDUP($AA140/12,0),scenariusz_I_rok,0))</f>
        <v>3.5999999999999997E-2</v>
      </c>
      <c r="DM140" s="128">
        <f t="shared" ref="DM140:DM171" si="415">DM139*(1+DL140/12*(1-podatek_Belki))+DK140</f>
        <v>69.731677052802326</v>
      </c>
      <c r="DN140" s="128">
        <f t="shared" ref="DN140:DN171" si="416">DM139*(1+DL140/12*(1-podatek_Belki))+DJ140</f>
        <v>137218.46394905279</v>
      </c>
      <c r="DP140" s="127">
        <f t="shared" si="352"/>
        <v>1000</v>
      </c>
      <c r="DQ140" s="128">
        <f t="shared" si="353"/>
        <v>100000</v>
      </c>
      <c r="DR140" s="128">
        <f t="shared" si="346"/>
        <v>100000</v>
      </c>
      <c r="DS140" s="128">
        <f t="shared" si="347"/>
        <v>154636.26291603578</v>
      </c>
      <c r="DT140" s="130">
        <f t="shared" ref="DT140:DT171" si="417">IF(AND(MOD($AA140,zapadalnosc_ROD)&lt;=12,MOD($AA140,zapadalnosc_ROD)&lt;&gt;0),proc_I_okres_ROD,(marza_ROD+$BY140))</f>
        <v>5.6000000000000001E-2</v>
      </c>
      <c r="DU140" s="128">
        <f t="shared" ref="DU140:DU171" si="418">DS140*(1+DT140*IF(MOD($AA140,12)&lt;&gt;0,MOD($AA140,12),12)/12)</f>
        <v>155357.89880964393</v>
      </c>
      <c r="DV140" s="128" t="str">
        <f t="shared" ref="DV140:DV171" si="419">IF(MOD($AA140,zapadalnosc_ROD)=0,"tak","nie")</f>
        <v>nie</v>
      </c>
      <c r="DW140" s="128">
        <f t="shared" ref="DW140:DW171" si="420">IF(AND(MOD($AA140,zapadalnosc_ROD)&lt;zapadalnosc_ROD,MOD($AA140,zapadalnosc_ROD)&lt;&gt;0),MIN(DU140-DR140,DP140*koszt_wczesniejszy_wykup_ROD),0)</f>
        <v>3000</v>
      </c>
      <c r="DX140" s="128">
        <f t="shared" si="302"/>
        <v>142409.89803581158</v>
      </c>
      <c r="DY140" s="128">
        <f t="shared" si="303"/>
        <v>0</v>
      </c>
      <c r="DZ140" s="130">
        <f t="shared" ref="DZ140:DZ171" si="421">INDEX(scenariusz_I_konto,MATCH(ROUNDUP($AA140/12,0),scenariusz_I_rok,0))</f>
        <v>3.5999999999999997E-2</v>
      </c>
      <c r="EA140" s="128">
        <f t="shared" ref="EA140:EA171" si="422">EA139*(1+DZ140/12*(1-podatek_Belki))+DY140</f>
        <v>0</v>
      </c>
      <c r="EB140" s="128">
        <f t="shared" ref="EB140:EB171" si="423">EA139*(1+DZ140/12*(1-podatek_Belki))+DX140</f>
        <v>142409.89803581158</v>
      </c>
    </row>
    <row r="141" spans="1:132">
      <c r="A141" s="212">
        <f>ROUNDUP(B152/12,0)</f>
        <v>9</v>
      </c>
      <c r="B141" s="188">
        <f t="shared" ref="B141:B172" si="424">AA140</f>
        <v>97</v>
      </c>
      <c r="C141" s="128">
        <f t="shared" ref="C141:C172" si="425">AQ140</f>
        <v>135834.79099106681</v>
      </c>
      <c r="D141" s="128">
        <f t="shared" ref="D141:D172" si="426">BG140</f>
        <v>138857.70342264397</v>
      </c>
      <c r="E141" s="128">
        <f t="shared" ref="E141:E172" si="427">BW140</f>
        <v>132249.94712620205</v>
      </c>
      <c r="F141" s="128">
        <f t="shared" ref="F141:F172" si="428">CL140</f>
        <v>134128.8471358899</v>
      </c>
      <c r="G141" s="128">
        <f t="shared" ref="G141:G172" si="429">CZ140</f>
        <v>137959.30122603418</v>
      </c>
      <c r="H141" s="128">
        <f t="shared" ref="H141:H172" si="430">DN140</f>
        <v>137218.46394905279</v>
      </c>
      <c r="I141" s="128">
        <f t="shared" ref="I141:I172" si="431">EB140</f>
        <v>142409.89803581158</v>
      </c>
      <c r="J141" s="128">
        <f t="shared" ref="J141:J172" si="432">FV(INDEX(scenariusz_I_konto,MATCH(ROUNDUP(B141/12,0),scenariusz_I_rok,0))/12*(1-podatek_Belki),1,0,-J140,1)</f>
        <v>126544.52992500337</v>
      </c>
      <c r="K141" s="128">
        <f t="shared" ref="K141:K172" si="433">AB140</f>
        <v>127994.05640813438</v>
      </c>
      <c r="M141" s="36"/>
      <c r="N141" s="32">
        <f t="shared" ref="N141:N172" si="434">B141</f>
        <v>97</v>
      </c>
      <c r="O141" s="25">
        <f t="shared" si="318"/>
        <v>0.35834790991066812</v>
      </c>
      <c r="P141" s="25">
        <f t="shared" si="319"/>
        <v>0.38857703422643963</v>
      </c>
      <c r="Q141" s="25">
        <f t="shared" si="320"/>
        <v>0.32249947126202061</v>
      </c>
      <c r="R141" s="25">
        <f t="shared" si="370"/>
        <v>0.34128847135889906</v>
      </c>
      <c r="S141" s="25">
        <f t="shared" si="371"/>
        <v>0.3795930122603417</v>
      </c>
      <c r="T141" s="25">
        <f t="shared" si="372"/>
        <v>0.37218463949052794</v>
      </c>
      <c r="U141" s="25">
        <f t="shared" si="373"/>
        <v>0.42409898035811588</v>
      </c>
      <c r="V141" s="25">
        <f t="shared" si="374"/>
        <v>0.26544529925003379</v>
      </c>
      <c r="W141" s="25">
        <f t="shared" si="375"/>
        <v>0.27994056408134371</v>
      </c>
      <c r="X141" s="36"/>
      <c r="Y141" s="36"/>
      <c r="AA141" s="124">
        <f t="shared" si="321"/>
        <v>98</v>
      </c>
      <c r="AB141" s="128">
        <f t="shared" si="376"/>
        <v>128323.85573891754</v>
      </c>
      <c r="AC141" s="124">
        <f t="shared" si="322"/>
        <v>98</v>
      </c>
      <c r="AD141" s="130">
        <f t="shared" ref="AD141:AD172" si="435">MAX(INDEX(scenariusz_I_stopa_NBP,MATCH(ROUNDUP(AC141/12,0),scenariusz_I_rok,0)),0)</f>
        <v>3.7499999999999999E-2</v>
      </c>
      <c r="AE141" s="127">
        <f t="shared" ref="AE141:AE172" si="436">IF(AK140="tak",
ROUNDDOWN(AM140/zamiana_ROR,0)+ROUNDDOWN(AP140/100,0),
AE140)</f>
        <v>1317</v>
      </c>
      <c r="AF141" s="128">
        <f t="shared" ref="AF141:AF172" si="437">IF(AK140="tak",
ROUNDDOWN(AM140/zamiana_ROR,0)*zamiana_ROR+ROUNDDOWN(AP140/100,0)*100,
AF140)</f>
        <v>131572.40000000002</v>
      </c>
      <c r="AG141" s="128">
        <f t="shared" si="348"/>
        <v>131700</v>
      </c>
      <c r="AH141" s="128">
        <f t="shared" si="357"/>
        <v>131700</v>
      </c>
      <c r="AI141" s="130">
        <f t="shared" si="377"/>
        <v>3.7499999999999999E-2</v>
      </c>
      <c r="AJ141" s="128">
        <f t="shared" si="378"/>
        <v>132111.5625</v>
      </c>
      <c r="AK141" s="128" t="str">
        <f t="shared" si="379"/>
        <v>nie</v>
      </c>
      <c r="AL141" s="128">
        <f t="shared" si="380"/>
        <v>658.5</v>
      </c>
      <c r="AM141" s="128">
        <f t="shared" si="361"/>
        <v>131499.980625</v>
      </c>
      <c r="AN141" s="128">
        <f t="shared" si="381"/>
        <v>333.36562500000002</v>
      </c>
      <c r="AO141" s="130">
        <f t="shared" si="382"/>
        <v>3.5999999999999997E-2</v>
      </c>
      <c r="AP141" s="128">
        <f t="shared" si="383"/>
        <v>714.70803178508834</v>
      </c>
      <c r="AQ141" s="128">
        <f t="shared" si="362"/>
        <v>131881.32303178508</v>
      </c>
      <c r="AS141" s="124">
        <f t="shared" si="327"/>
        <v>98</v>
      </c>
      <c r="AT141" s="130">
        <f t="shared" si="328"/>
        <v>3.7499999999999999E-2</v>
      </c>
      <c r="AU141" s="127">
        <f t="shared" ref="AU141:AU172" si="438">IF(BA140="tak",
ROUNDDOWN(BC140/zamiana_DOR,0)+ROUNDDOWN(BF140/100,0),
AU140)</f>
        <v>1307</v>
      </c>
      <c r="AV141" s="128">
        <f t="shared" ref="AV141:AV172" si="439">IF(BA140="tak",
ROUNDDOWN(BC140/zamiana_DOR,0)*zamiana_DOR+ROUNDDOWN(BF140/100,0)*100,
AV140)</f>
        <v>130577.40000000001</v>
      </c>
      <c r="AW141" s="128">
        <f t="shared" si="363"/>
        <v>130700</v>
      </c>
      <c r="AX141" s="128">
        <f t="shared" si="358"/>
        <v>130700</v>
      </c>
      <c r="AY141" s="130">
        <f t="shared" si="384"/>
        <v>3.9E-2</v>
      </c>
      <c r="AZ141" s="128">
        <f t="shared" si="385"/>
        <v>131124.77499999999</v>
      </c>
      <c r="BA141" s="128" t="str">
        <f t="shared" si="386"/>
        <v>nie</v>
      </c>
      <c r="BB141" s="128">
        <f t="shared" si="387"/>
        <v>914.9</v>
      </c>
      <c r="BC141" s="128">
        <f t="shared" si="367"/>
        <v>130302.99875</v>
      </c>
      <c r="BD141" s="128">
        <f t="shared" si="388"/>
        <v>344.06774999999533</v>
      </c>
      <c r="BE141" s="130">
        <f t="shared" si="264"/>
        <v>3.5999999999999997E-2</v>
      </c>
      <c r="BF141" s="128">
        <f t="shared" si="389"/>
        <v>749.19361707226471</v>
      </c>
      <c r="BG141" s="128">
        <f t="shared" si="368"/>
        <v>130708.12461707227</v>
      </c>
      <c r="BI141" s="124">
        <f t="shared" si="332"/>
        <v>98</v>
      </c>
      <c r="BJ141" s="130">
        <f t="shared" si="354"/>
        <v>3.9100000000000003E-2</v>
      </c>
      <c r="BK141" s="127">
        <f t="shared" ref="BK141:BK172" si="440">IF(BQ140="tak",
ROUNDDOWN(BS140/zamiana_TOS,0),
BK140)</f>
        <v>1237</v>
      </c>
      <c r="BL141" s="128">
        <f t="shared" ref="BL141:BL172" si="441">IF(BQ140="tak",
BK141*zamiana_TOS,
BL140)</f>
        <v>123576.3</v>
      </c>
      <c r="BM141" s="128">
        <f t="shared" si="349"/>
        <v>123700</v>
      </c>
      <c r="BN141" s="128">
        <f t="shared" ref="BN141:BN172" si="442">IF(BQ140="tak",
 BM141,
IF(MOD($AA141,kapitalizacja_odsetek_mc_ROS)&lt;&gt;1,BN140,BP140))</f>
        <v>134825.08319999999</v>
      </c>
      <c r="BO141" s="130">
        <f t="shared" si="390"/>
        <v>4.3999999999999997E-2</v>
      </c>
      <c r="BP141" s="128">
        <f t="shared" si="391"/>
        <v>135813.80047680001</v>
      </c>
      <c r="BQ141" s="128" t="str">
        <f t="shared" si="392"/>
        <v>nie</v>
      </c>
      <c r="BR141" s="128">
        <f t="shared" si="393"/>
        <v>1237</v>
      </c>
      <c r="BS141" s="128">
        <f t="shared" si="364"/>
        <v>132510.20838620802</v>
      </c>
      <c r="BT141" s="128">
        <f t="shared" ref="BT141:BT165" si="443">IF(AND(BQ141="tak",BL142&lt;&gt;""),
 BS141-BL142,
0)</f>
        <v>0</v>
      </c>
      <c r="BU141" s="130">
        <f t="shared" si="394"/>
        <v>3.5999999999999997E-2</v>
      </c>
      <c r="BV141" s="128">
        <f t="shared" si="271"/>
        <v>140.50984834419037</v>
      </c>
      <c r="BW141" s="128">
        <f t="shared" si="365"/>
        <v>132650.71823455222</v>
      </c>
      <c r="BY141" s="130">
        <f t="shared" si="360"/>
        <v>3.1E-2</v>
      </c>
      <c r="BZ141" s="127">
        <f t="shared" ref="BZ141:BZ172" si="444">IF(CF140="tak",
ROUNDDOWN(CH140/zamiana_COI,0)+ROUNDDOWN(CK140/100,0),
BZ140)</f>
        <v>1341</v>
      </c>
      <c r="CA141" s="128">
        <f t="shared" ref="CA141:CA172" si="445">IF(CF140="tak",
ROUNDDOWN(CH140/zamiana_COI,0)*zamiana_COI+ROUNDDOWN(CK140/100,0)*100,
CA140)</f>
        <v>133979.79999999999</v>
      </c>
      <c r="CB141" s="128">
        <f t="shared" si="366"/>
        <v>134100</v>
      </c>
      <c r="CC141" s="128">
        <f t="shared" si="359"/>
        <v>134100</v>
      </c>
      <c r="CD141" s="130">
        <f t="shared" si="395"/>
        <v>4.7500000000000001E-2</v>
      </c>
      <c r="CE141" s="128">
        <f t="shared" si="396"/>
        <v>135161.625</v>
      </c>
      <c r="CF141" s="128" t="str">
        <f t="shared" si="397"/>
        <v>nie</v>
      </c>
      <c r="CG141" s="128">
        <f t="shared" si="398"/>
        <v>1061.625</v>
      </c>
      <c r="CH141" s="128">
        <f t="shared" si="369"/>
        <v>134100</v>
      </c>
      <c r="CI141" s="128">
        <f t="shared" si="399"/>
        <v>0</v>
      </c>
      <c r="CJ141" s="130">
        <f t="shared" si="277"/>
        <v>3.5999999999999997E-2</v>
      </c>
      <c r="CK141" s="128">
        <f t="shared" si="400"/>
        <v>28.917234430115496</v>
      </c>
      <c r="CL141" s="128">
        <f t="shared" si="401"/>
        <v>134128.91723443012</v>
      </c>
      <c r="CN141" s="127">
        <f t="shared" ref="CN141:CN172" si="446">IF(CT140="tak",
ROUNDDOWN(CV140/zamiana_EDO,0),
CN140)</f>
        <v>1000</v>
      </c>
      <c r="CO141" s="128">
        <f t="shared" ref="CO141:CO172" si="447">IF(CT140="tak",
CN141*zamiana_EDO,
CO140)</f>
        <v>100000</v>
      </c>
      <c r="CP141" s="128">
        <f t="shared" si="342"/>
        <v>100000</v>
      </c>
      <c r="CQ141" s="128">
        <f t="shared" ref="CQ141:CQ172" si="448">IF(CT140="tak",
 CP141,
IF(MOD($AA141,kapitalizacja_odsetek_mc_EDO)&lt;&gt;1,CQ140,CS140))</f>
        <v>149229.1111246759</v>
      </c>
      <c r="CR141" s="130">
        <f t="shared" si="402"/>
        <v>5.1000000000000004E-2</v>
      </c>
      <c r="CS141" s="128">
        <f t="shared" si="403"/>
        <v>150497.55856923564</v>
      </c>
      <c r="CT141" s="128" t="str">
        <f t="shared" si="404"/>
        <v>nie</v>
      </c>
      <c r="CU141" s="128">
        <f t="shared" si="405"/>
        <v>3000</v>
      </c>
      <c r="CV141" s="128">
        <f t="shared" si="406"/>
        <v>138473.02244108086</v>
      </c>
      <c r="CW141" s="128">
        <f t="shared" si="285"/>
        <v>0</v>
      </c>
      <c r="CX141" s="130">
        <f t="shared" si="407"/>
        <v>3.5999999999999997E-2</v>
      </c>
      <c r="CY141" s="128">
        <f t="shared" si="408"/>
        <v>0</v>
      </c>
      <c r="CZ141" s="128">
        <f t="shared" si="409"/>
        <v>138473.02244108086</v>
      </c>
      <c r="DA141" s="20"/>
      <c r="DB141" s="127">
        <f t="shared" si="350"/>
        <v>1280</v>
      </c>
      <c r="DC141" s="128">
        <f t="shared" si="351"/>
        <v>128000</v>
      </c>
      <c r="DD141" s="128">
        <f t="shared" si="344"/>
        <v>128000</v>
      </c>
      <c r="DE141" s="128">
        <f t="shared" ref="DE141:DE172" si="449">IF(DH140="tak",
 DD141,
IF(MOD($AA141,kapitalizacja_odsetek_mc_ROS)&lt;&gt;1,DE140,DG140))</f>
        <v>141254.39999999999</v>
      </c>
      <c r="DF141" s="130">
        <f t="shared" si="410"/>
        <v>5.1000000000000004E-2</v>
      </c>
      <c r="DG141" s="128">
        <f t="shared" si="411"/>
        <v>142455.0624</v>
      </c>
      <c r="DH141" s="128" t="str">
        <f t="shared" si="412"/>
        <v>nie</v>
      </c>
      <c r="DI141" s="128">
        <f t="shared" si="413"/>
        <v>2560</v>
      </c>
      <c r="DJ141" s="128">
        <f t="shared" si="355"/>
        <v>137635.00054400001</v>
      </c>
      <c r="DK141" s="128">
        <f t="shared" si="294"/>
        <v>0</v>
      </c>
      <c r="DL141" s="130">
        <f t="shared" si="414"/>
        <v>3.5999999999999997E-2</v>
      </c>
      <c r="DM141" s="128">
        <f t="shared" si="415"/>
        <v>69.901125028040624</v>
      </c>
      <c r="DN141" s="128">
        <f t="shared" si="416"/>
        <v>137704.90166902804</v>
      </c>
      <c r="DP141" s="127">
        <f t="shared" si="352"/>
        <v>1000</v>
      </c>
      <c r="DQ141" s="128">
        <f t="shared" si="353"/>
        <v>100000</v>
      </c>
      <c r="DR141" s="128">
        <f t="shared" si="346"/>
        <v>100000</v>
      </c>
      <c r="DS141" s="128">
        <f t="shared" ref="DS141:DS172" si="450">IF(DV140="tak",
 DR141,
IF(MOD($AA141,kapitalizacja_odsetek_mc_ROD)&lt;&gt;1,DS140,DU140))</f>
        <v>154636.26291603578</v>
      </c>
      <c r="DT141" s="130">
        <f t="shared" si="417"/>
        <v>5.6000000000000001E-2</v>
      </c>
      <c r="DU141" s="128">
        <f t="shared" si="418"/>
        <v>156079.53470325211</v>
      </c>
      <c r="DV141" s="128" t="str">
        <f t="shared" si="419"/>
        <v>nie</v>
      </c>
      <c r="DW141" s="128">
        <f t="shared" si="420"/>
        <v>3000</v>
      </c>
      <c r="DX141" s="128">
        <f t="shared" si="302"/>
        <v>142994.4231096342</v>
      </c>
      <c r="DY141" s="128">
        <f t="shared" si="303"/>
        <v>0</v>
      </c>
      <c r="DZ141" s="130">
        <f t="shared" si="421"/>
        <v>3.5999999999999997E-2</v>
      </c>
      <c r="EA141" s="128">
        <f t="shared" si="422"/>
        <v>0</v>
      </c>
      <c r="EB141" s="128">
        <f t="shared" si="423"/>
        <v>142994.4231096342</v>
      </c>
    </row>
    <row r="142" spans="1:132">
      <c r="A142" s="212"/>
      <c r="B142" s="188">
        <f t="shared" si="424"/>
        <v>98</v>
      </c>
      <c r="C142" s="128">
        <f t="shared" si="425"/>
        <v>131881.32303178508</v>
      </c>
      <c r="D142" s="128">
        <f t="shared" si="426"/>
        <v>130708.12461707227</v>
      </c>
      <c r="E142" s="128">
        <f t="shared" si="427"/>
        <v>132650.71823455222</v>
      </c>
      <c r="F142" s="128">
        <f t="shared" si="428"/>
        <v>134128.91723443012</v>
      </c>
      <c r="G142" s="128">
        <f t="shared" si="429"/>
        <v>138473.02244108086</v>
      </c>
      <c r="H142" s="128">
        <f t="shared" si="430"/>
        <v>137704.90166902804</v>
      </c>
      <c r="I142" s="128">
        <f t="shared" si="431"/>
        <v>142994.4231096342</v>
      </c>
      <c r="J142" s="128">
        <f t="shared" si="432"/>
        <v>126852.03313272112</v>
      </c>
      <c r="K142" s="128">
        <f t="shared" si="433"/>
        <v>128323.85573891754</v>
      </c>
      <c r="M142" s="36"/>
      <c r="N142" s="32">
        <f t="shared" si="434"/>
        <v>98</v>
      </c>
      <c r="O142" s="25">
        <f t="shared" si="318"/>
        <v>0.3188132303178508</v>
      </c>
      <c r="P142" s="25">
        <f t="shared" si="319"/>
        <v>0.30708124617072263</v>
      </c>
      <c r="Q142" s="25">
        <f t="shared" si="320"/>
        <v>0.32650718234552212</v>
      </c>
      <c r="R142" s="25">
        <f t="shared" si="370"/>
        <v>0.34128917234430123</v>
      </c>
      <c r="S142" s="25">
        <f t="shared" si="371"/>
        <v>0.38473022441080862</v>
      </c>
      <c r="T142" s="25">
        <f t="shared" si="372"/>
        <v>0.37704901669028046</v>
      </c>
      <c r="U142" s="25">
        <f t="shared" si="373"/>
        <v>0.42994423109634194</v>
      </c>
      <c r="V142" s="25">
        <f t="shared" si="374"/>
        <v>0.26852033132721109</v>
      </c>
      <c r="W142" s="25">
        <f t="shared" si="375"/>
        <v>0.28323855738917536</v>
      </c>
      <c r="X142" s="36"/>
      <c r="Y142" s="36"/>
      <c r="AA142" s="124">
        <f t="shared" si="321"/>
        <v>99</v>
      </c>
      <c r="AB142" s="128">
        <f t="shared" si="376"/>
        <v>128653.65506970068</v>
      </c>
      <c r="AC142" s="124">
        <f t="shared" si="322"/>
        <v>99</v>
      </c>
      <c r="AD142" s="130">
        <f t="shared" si="435"/>
        <v>3.7499999999999999E-2</v>
      </c>
      <c r="AE142" s="127">
        <f t="shared" si="436"/>
        <v>1317</v>
      </c>
      <c r="AF142" s="128">
        <f t="shared" si="437"/>
        <v>131572.40000000002</v>
      </c>
      <c r="AG142" s="128">
        <f t="shared" si="348"/>
        <v>131700</v>
      </c>
      <c r="AH142" s="128">
        <f t="shared" si="357"/>
        <v>131700</v>
      </c>
      <c r="AI142" s="130">
        <f t="shared" si="377"/>
        <v>3.7499999999999999E-2</v>
      </c>
      <c r="AJ142" s="128">
        <f t="shared" si="378"/>
        <v>132111.5625</v>
      </c>
      <c r="AK142" s="128" t="str">
        <f t="shared" si="379"/>
        <v>nie</v>
      </c>
      <c r="AL142" s="128">
        <f t="shared" si="380"/>
        <v>658.5</v>
      </c>
      <c r="AM142" s="128">
        <f t="shared" si="361"/>
        <v>131499.980625</v>
      </c>
      <c r="AN142" s="128">
        <f t="shared" si="381"/>
        <v>333.36562500000002</v>
      </c>
      <c r="AO142" s="130">
        <f t="shared" si="382"/>
        <v>3.5999999999999997E-2</v>
      </c>
      <c r="AP142" s="128">
        <f t="shared" si="383"/>
        <v>1049.8103973023262</v>
      </c>
      <c r="AQ142" s="128">
        <f t="shared" si="362"/>
        <v>132216.42539730232</v>
      </c>
      <c r="AS142" s="124">
        <f t="shared" si="327"/>
        <v>99</v>
      </c>
      <c r="AT142" s="130">
        <f t="shared" si="328"/>
        <v>3.7499999999999999E-2</v>
      </c>
      <c r="AU142" s="127">
        <f t="shared" si="438"/>
        <v>1307</v>
      </c>
      <c r="AV142" s="128">
        <f t="shared" si="439"/>
        <v>130577.40000000001</v>
      </c>
      <c r="AW142" s="128">
        <f t="shared" si="363"/>
        <v>130700</v>
      </c>
      <c r="AX142" s="128">
        <f t="shared" si="358"/>
        <v>130700</v>
      </c>
      <c r="AY142" s="130">
        <f t="shared" si="384"/>
        <v>3.9E-2</v>
      </c>
      <c r="AZ142" s="128">
        <f t="shared" si="385"/>
        <v>131124.77499999999</v>
      </c>
      <c r="BA142" s="128" t="str">
        <f t="shared" si="386"/>
        <v>nie</v>
      </c>
      <c r="BB142" s="128">
        <f t="shared" si="387"/>
        <v>914.9</v>
      </c>
      <c r="BC142" s="128">
        <f t="shared" si="367"/>
        <v>130302.99875</v>
      </c>
      <c r="BD142" s="128">
        <f t="shared" si="388"/>
        <v>344.06774999999533</v>
      </c>
      <c r="BE142" s="130">
        <f t="shared" si="264"/>
        <v>3.5999999999999997E-2</v>
      </c>
      <c r="BF142" s="128">
        <f t="shared" si="389"/>
        <v>1095.0819075617455</v>
      </c>
      <c r="BG142" s="128">
        <f t="shared" si="368"/>
        <v>131054.01290756174</v>
      </c>
      <c r="BI142" s="124">
        <f t="shared" si="332"/>
        <v>99</v>
      </c>
      <c r="BJ142" s="130">
        <f t="shared" si="354"/>
        <v>3.9100000000000003E-2</v>
      </c>
      <c r="BK142" s="127">
        <f t="shared" si="440"/>
        <v>1237</v>
      </c>
      <c r="BL142" s="128">
        <f t="shared" si="441"/>
        <v>123576.3</v>
      </c>
      <c r="BM142" s="128">
        <f t="shared" si="349"/>
        <v>123700</v>
      </c>
      <c r="BN142" s="128">
        <f t="shared" si="442"/>
        <v>134825.08319999999</v>
      </c>
      <c r="BO142" s="130">
        <f t="shared" si="390"/>
        <v>4.3999999999999997E-2</v>
      </c>
      <c r="BP142" s="128">
        <f t="shared" si="391"/>
        <v>136308.15911519999</v>
      </c>
      <c r="BQ142" s="128" t="str">
        <f t="shared" si="392"/>
        <v>nie</v>
      </c>
      <c r="BR142" s="128">
        <f t="shared" si="393"/>
        <v>1237</v>
      </c>
      <c r="BS142" s="128">
        <f t="shared" si="364"/>
        <v>132910.638883312</v>
      </c>
      <c r="BT142" s="128">
        <f t="shared" si="443"/>
        <v>0</v>
      </c>
      <c r="BU142" s="130">
        <f t="shared" si="394"/>
        <v>3.5999999999999997E-2</v>
      </c>
      <c r="BV142" s="128">
        <f t="shared" si="271"/>
        <v>140.85128727566675</v>
      </c>
      <c r="BW142" s="128">
        <f t="shared" si="365"/>
        <v>133051.49017058767</v>
      </c>
      <c r="BY142" s="130">
        <f t="shared" si="360"/>
        <v>3.1E-2</v>
      </c>
      <c r="BZ142" s="127">
        <f t="shared" si="444"/>
        <v>1341</v>
      </c>
      <c r="CA142" s="128">
        <f t="shared" si="445"/>
        <v>133979.79999999999</v>
      </c>
      <c r="CB142" s="128">
        <f t="shared" si="366"/>
        <v>134100</v>
      </c>
      <c r="CC142" s="128">
        <f t="shared" si="359"/>
        <v>134100</v>
      </c>
      <c r="CD142" s="130">
        <f t="shared" si="395"/>
        <v>4.7500000000000001E-2</v>
      </c>
      <c r="CE142" s="128">
        <f t="shared" si="396"/>
        <v>135692.4375</v>
      </c>
      <c r="CF142" s="128" t="str">
        <f t="shared" si="397"/>
        <v>nie</v>
      </c>
      <c r="CG142" s="128">
        <f t="shared" si="398"/>
        <v>1592.4375</v>
      </c>
      <c r="CH142" s="128">
        <f t="shared" si="369"/>
        <v>134100</v>
      </c>
      <c r="CI142" s="128">
        <f t="shared" si="399"/>
        <v>0</v>
      </c>
      <c r="CJ142" s="130">
        <f t="shared" si="277"/>
        <v>3.5999999999999997E-2</v>
      </c>
      <c r="CK142" s="128">
        <f t="shared" si="400"/>
        <v>28.987503309780674</v>
      </c>
      <c r="CL142" s="128">
        <f t="shared" si="401"/>
        <v>134128.98750330979</v>
      </c>
      <c r="CN142" s="127">
        <f t="shared" si="446"/>
        <v>1000</v>
      </c>
      <c r="CO142" s="128">
        <f t="shared" si="447"/>
        <v>100000</v>
      </c>
      <c r="CP142" s="128">
        <f t="shared" si="342"/>
        <v>100000</v>
      </c>
      <c r="CQ142" s="128">
        <f t="shared" si="448"/>
        <v>149229.1111246759</v>
      </c>
      <c r="CR142" s="130">
        <f t="shared" si="402"/>
        <v>5.1000000000000004E-2</v>
      </c>
      <c r="CS142" s="128">
        <f t="shared" si="403"/>
        <v>151131.78229151553</v>
      </c>
      <c r="CT142" s="128" t="str">
        <f t="shared" si="404"/>
        <v>nie</v>
      </c>
      <c r="CU142" s="128">
        <f t="shared" si="405"/>
        <v>3000</v>
      </c>
      <c r="CV142" s="128">
        <f t="shared" si="406"/>
        <v>138986.74365612757</v>
      </c>
      <c r="CW142" s="128">
        <f t="shared" si="285"/>
        <v>0</v>
      </c>
      <c r="CX142" s="130">
        <f t="shared" si="407"/>
        <v>3.5999999999999997E-2</v>
      </c>
      <c r="CY142" s="128">
        <f t="shared" si="408"/>
        <v>0</v>
      </c>
      <c r="CZ142" s="128">
        <f t="shared" si="409"/>
        <v>138986.74365612757</v>
      </c>
      <c r="DA142" s="20"/>
      <c r="DB142" s="127">
        <f t="shared" si="350"/>
        <v>1280</v>
      </c>
      <c r="DC142" s="128">
        <f t="shared" si="351"/>
        <v>128000</v>
      </c>
      <c r="DD142" s="128">
        <f t="shared" si="344"/>
        <v>128000</v>
      </c>
      <c r="DE142" s="128">
        <f t="shared" si="449"/>
        <v>141254.39999999999</v>
      </c>
      <c r="DF142" s="130">
        <f t="shared" si="410"/>
        <v>5.1000000000000004E-2</v>
      </c>
      <c r="DG142" s="128">
        <f t="shared" si="411"/>
        <v>143055.39360000001</v>
      </c>
      <c r="DH142" s="128" t="str">
        <f t="shared" si="412"/>
        <v>nie</v>
      </c>
      <c r="DI142" s="128">
        <f t="shared" si="413"/>
        <v>2560</v>
      </c>
      <c r="DJ142" s="128">
        <f t="shared" si="355"/>
        <v>138121.268816</v>
      </c>
      <c r="DK142" s="128">
        <f t="shared" si="294"/>
        <v>0</v>
      </c>
      <c r="DL142" s="130">
        <f t="shared" si="414"/>
        <v>3.5999999999999997E-2</v>
      </c>
      <c r="DM142" s="128">
        <f t="shared" si="415"/>
        <v>70.070984761858753</v>
      </c>
      <c r="DN142" s="128">
        <f t="shared" si="416"/>
        <v>138191.33980076187</v>
      </c>
      <c r="DP142" s="127">
        <f t="shared" si="352"/>
        <v>1000</v>
      </c>
      <c r="DQ142" s="128">
        <f t="shared" si="353"/>
        <v>100000</v>
      </c>
      <c r="DR142" s="128">
        <f t="shared" si="346"/>
        <v>100000</v>
      </c>
      <c r="DS142" s="128">
        <f t="shared" si="450"/>
        <v>154636.26291603578</v>
      </c>
      <c r="DT142" s="130">
        <f t="shared" si="417"/>
        <v>5.6000000000000001E-2</v>
      </c>
      <c r="DU142" s="128">
        <f t="shared" si="418"/>
        <v>156801.17059686029</v>
      </c>
      <c r="DV142" s="128" t="str">
        <f t="shared" si="419"/>
        <v>nie</v>
      </c>
      <c r="DW142" s="128">
        <f t="shared" si="420"/>
        <v>3000</v>
      </c>
      <c r="DX142" s="128">
        <f t="shared" si="302"/>
        <v>143578.94818345684</v>
      </c>
      <c r="DY142" s="128">
        <f t="shared" si="303"/>
        <v>0</v>
      </c>
      <c r="DZ142" s="130">
        <f t="shared" si="421"/>
        <v>3.5999999999999997E-2</v>
      </c>
      <c r="EA142" s="128">
        <f t="shared" si="422"/>
        <v>0</v>
      </c>
      <c r="EB142" s="128">
        <f t="shared" si="423"/>
        <v>143578.94818345684</v>
      </c>
    </row>
    <row r="143" spans="1:132">
      <c r="A143" s="212"/>
      <c r="B143" s="188">
        <f t="shared" si="424"/>
        <v>99</v>
      </c>
      <c r="C143" s="128">
        <f t="shared" si="425"/>
        <v>132216.42539730232</v>
      </c>
      <c r="D143" s="128">
        <f t="shared" si="426"/>
        <v>131054.01290756174</v>
      </c>
      <c r="E143" s="128">
        <f t="shared" si="427"/>
        <v>133051.49017058767</v>
      </c>
      <c r="F143" s="128">
        <f t="shared" si="428"/>
        <v>134128.98750330979</v>
      </c>
      <c r="G143" s="128">
        <f t="shared" si="429"/>
        <v>138986.74365612757</v>
      </c>
      <c r="H143" s="128">
        <f t="shared" si="430"/>
        <v>138191.33980076187</v>
      </c>
      <c r="I143" s="128">
        <f t="shared" si="431"/>
        <v>143578.94818345684</v>
      </c>
      <c r="J143" s="128">
        <f t="shared" si="432"/>
        <v>127160.28357323362</v>
      </c>
      <c r="K143" s="128">
        <f t="shared" si="433"/>
        <v>128653.65506970068</v>
      </c>
      <c r="M143" s="36"/>
      <c r="N143" s="32">
        <f t="shared" si="434"/>
        <v>99</v>
      </c>
      <c r="O143" s="25">
        <f t="shared" si="318"/>
        <v>0.32216425397302317</v>
      </c>
      <c r="P143" s="25">
        <f t="shared" si="319"/>
        <v>0.31054012907561734</v>
      </c>
      <c r="Q143" s="25">
        <f t="shared" si="320"/>
        <v>0.33051490170587661</v>
      </c>
      <c r="R143" s="25">
        <f t="shared" si="370"/>
        <v>0.34128987503309793</v>
      </c>
      <c r="S143" s="25">
        <f t="shared" si="371"/>
        <v>0.38986743656127576</v>
      </c>
      <c r="T143" s="25">
        <f t="shared" si="372"/>
        <v>0.38191339800761859</v>
      </c>
      <c r="U143" s="25">
        <f t="shared" si="373"/>
        <v>0.43578948183456845</v>
      </c>
      <c r="V143" s="25">
        <f t="shared" si="374"/>
        <v>0.27160283573233635</v>
      </c>
      <c r="W143" s="25">
        <f t="shared" si="375"/>
        <v>0.28653655069700679</v>
      </c>
      <c r="X143" s="36"/>
      <c r="Y143" s="36"/>
      <c r="AA143" s="124">
        <f t="shared" si="321"/>
        <v>100</v>
      </c>
      <c r="AB143" s="128">
        <f t="shared" si="376"/>
        <v>128983.45440048384</v>
      </c>
      <c r="AC143" s="124">
        <f t="shared" si="322"/>
        <v>100</v>
      </c>
      <c r="AD143" s="130">
        <f t="shared" si="435"/>
        <v>3.7499999999999999E-2</v>
      </c>
      <c r="AE143" s="127">
        <f t="shared" si="436"/>
        <v>1317</v>
      </c>
      <c r="AF143" s="128">
        <f t="shared" si="437"/>
        <v>131572.40000000002</v>
      </c>
      <c r="AG143" s="128">
        <f t="shared" si="348"/>
        <v>131700</v>
      </c>
      <c r="AH143" s="128">
        <f t="shared" si="357"/>
        <v>131700</v>
      </c>
      <c r="AI143" s="130">
        <f t="shared" si="377"/>
        <v>3.7499999999999999E-2</v>
      </c>
      <c r="AJ143" s="128">
        <f t="shared" si="378"/>
        <v>132111.5625</v>
      </c>
      <c r="AK143" s="128" t="str">
        <f t="shared" si="379"/>
        <v>nie</v>
      </c>
      <c r="AL143" s="128">
        <f t="shared" si="380"/>
        <v>658.5</v>
      </c>
      <c r="AM143" s="128">
        <f t="shared" si="361"/>
        <v>131499.980625</v>
      </c>
      <c r="AN143" s="128">
        <f t="shared" si="381"/>
        <v>333.36562500000002</v>
      </c>
      <c r="AO143" s="130">
        <f t="shared" si="382"/>
        <v>3.5999999999999997E-2</v>
      </c>
      <c r="AP143" s="128">
        <f t="shared" si="383"/>
        <v>1385.7270615677708</v>
      </c>
      <c r="AQ143" s="128">
        <f t="shared" si="362"/>
        <v>132552.34206156776</v>
      </c>
      <c r="AS143" s="124">
        <f t="shared" si="327"/>
        <v>100</v>
      </c>
      <c r="AT143" s="130">
        <f t="shared" si="328"/>
        <v>3.7499999999999999E-2</v>
      </c>
      <c r="AU143" s="127">
        <f t="shared" si="438"/>
        <v>1307</v>
      </c>
      <c r="AV143" s="128">
        <f t="shared" si="439"/>
        <v>130577.40000000001</v>
      </c>
      <c r="AW143" s="128">
        <f t="shared" si="363"/>
        <v>130700</v>
      </c>
      <c r="AX143" s="128">
        <f t="shared" si="358"/>
        <v>130700</v>
      </c>
      <c r="AY143" s="130">
        <f t="shared" si="384"/>
        <v>3.9E-2</v>
      </c>
      <c r="AZ143" s="128">
        <f t="shared" si="385"/>
        <v>131124.77499999999</v>
      </c>
      <c r="BA143" s="128" t="str">
        <f t="shared" si="386"/>
        <v>nie</v>
      </c>
      <c r="BB143" s="128">
        <f t="shared" si="387"/>
        <v>914.9</v>
      </c>
      <c r="BC143" s="128">
        <f t="shared" si="367"/>
        <v>130302.99875</v>
      </c>
      <c r="BD143" s="128">
        <f t="shared" si="388"/>
        <v>344.06774999999533</v>
      </c>
      <c r="BE143" s="130">
        <f t="shared" si="264"/>
        <v>3.5999999999999997E-2</v>
      </c>
      <c r="BF143" s="128">
        <f t="shared" si="389"/>
        <v>1441.810706597116</v>
      </c>
      <c r="BG143" s="128">
        <f t="shared" si="368"/>
        <v>131400.74170659712</v>
      </c>
      <c r="BI143" s="124">
        <f t="shared" si="332"/>
        <v>100</v>
      </c>
      <c r="BJ143" s="130">
        <f t="shared" si="354"/>
        <v>3.9100000000000003E-2</v>
      </c>
      <c r="BK143" s="127">
        <f t="shared" si="440"/>
        <v>1237</v>
      </c>
      <c r="BL143" s="128">
        <f t="shared" si="441"/>
        <v>123576.3</v>
      </c>
      <c r="BM143" s="128">
        <f t="shared" si="349"/>
        <v>123700</v>
      </c>
      <c r="BN143" s="128">
        <f t="shared" si="442"/>
        <v>134825.08319999999</v>
      </c>
      <c r="BO143" s="130">
        <f t="shared" si="390"/>
        <v>4.3999999999999997E-2</v>
      </c>
      <c r="BP143" s="128">
        <f t="shared" si="391"/>
        <v>136802.5177536</v>
      </c>
      <c r="BQ143" s="128" t="str">
        <f t="shared" si="392"/>
        <v>nie</v>
      </c>
      <c r="BR143" s="128">
        <f t="shared" si="393"/>
        <v>1237</v>
      </c>
      <c r="BS143" s="128">
        <f t="shared" si="364"/>
        <v>133311.06938041601</v>
      </c>
      <c r="BT143" s="128">
        <f t="shared" si="443"/>
        <v>0</v>
      </c>
      <c r="BU143" s="130">
        <f t="shared" si="394"/>
        <v>3.5999999999999997E-2</v>
      </c>
      <c r="BV143" s="128">
        <f t="shared" si="271"/>
        <v>141.19355590374661</v>
      </c>
      <c r="BW143" s="128">
        <f t="shared" si="365"/>
        <v>133452.26293631975</v>
      </c>
      <c r="BY143" s="130">
        <f t="shared" si="360"/>
        <v>3.1E-2</v>
      </c>
      <c r="BZ143" s="127">
        <f t="shared" si="444"/>
        <v>1341</v>
      </c>
      <c r="CA143" s="128">
        <f t="shared" si="445"/>
        <v>133979.79999999999</v>
      </c>
      <c r="CB143" s="128">
        <f t="shared" si="366"/>
        <v>134100</v>
      </c>
      <c r="CC143" s="128">
        <f t="shared" si="359"/>
        <v>134100</v>
      </c>
      <c r="CD143" s="130">
        <f t="shared" si="395"/>
        <v>4.7500000000000001E-2</v>
      </c>
      <c r="CE143" s="128">
        <f t="shared" si="396"/>
        <v>136223.25</v>
      </c>
      <c r="CF143" s="128" t="str">
        <f t="shared" si="397"/>
        <v>nie</v>
      </c>
      <c r="CG143" s="128">
        <f t="shared" si="398"/>
        <v>2123.25</v>
      </c>
      <c r="CH143" s="128">
        <f t="shared" si="369"/>
        <v>134100</v>
      </c>
      <c r="CI143" s="128">
        <f t="shared" si="399"/>
        <v>0</v>
      </c>
      <c r="CJ143" s="130">
        <f t="shared" si="277"/>
        <v>3.5999999999999997E-2</v>
      </c>
      <c r="CK143" s="128">
        <f t="shared" si="400"/>
        <v>29.057942942823438</v>
      </c>
      <c r="CL143" s="128">
        <f t="shared" si="401"/>
        <v>134129.05794294283</v>
      </c>
      <c r="CN143" s="127">
        <f t="shared" si="446"/>
        <v>1000</v>
      </c>
      <c r="CO143" s="128">
        <f t="shared" si="447"/>
        <v>100000</v>
      </c>
      <c r="CP143" s="128">
        <f t="shared" si="342"/>
        <v>100000</v>
      </c>
      <c r="CQ143" s="128">
        <f t="shared" si="448"/>
        <v>149229.1111246759</v>
      </c>
      <c r="CR143" s="130">
        <f t="shared" si="402"/>
        <v>5.1000000000000004E-2</v>
      </c>
      <c r="CS143" s="128">
        <f t="shared" si="403"/>
        <v>151766.00601379538</v>
      </c>
      <c r="CT143" s="128" t="str">
        <f t="shared" si="404"/>
        <v>nie</v>
      </c>
      <c r="CU143" s="128">
        <f t="shared" si="405"/>
        <v>3000</v>
      </c>
      <c r="CV143" s="128">
        <f t="shared" si="406"/>
        <v>139500.46487117425</v>
      </c>
      <c r="CW143" s="128">
        <f t="shared" si="285"/>
        <v>0</v>
      </c>
      <c r="CX143" s="130">
        <f t="shared" si="407"/>
        <v>3.5999999999999997E-2</v>
      </c>
      <c r="CY143" s="128">
        <f t="shared" si="408"/>
        <v>0</v>
      </c>
      <c r="CZ143" s="128">
        <f t="shared" si="409"/>
        <v>139500.46487117425</v>
      </c>
      <c r="DA143" s="20"/>
      <c r="DB143" s="127">
        <f t="shared" si="350"/>
        <v>1280</v>
      </c>
      <c r="DC143" s="128">
        <f t="shared" si="351"/>
        <v>128000</v>
      </c>
      <c r="DD143" s="128">
        <f t="shared" si="344"/>
        <v>128000</v>
      </c>
      <c r="DE143" s="128">
        <f t="shared" si="449"/>
        <v>141254.39999999999</v>
      </c>
      <c r="DF143" s="130">
        <f t="shared" si="410"/>
        <v>5.1000000000000004E-2</v>
      </c>
      <c r="DG143" s="128">
        <f t="shared" si="411"/>
        <v>143655.72479999997</v>
      </c>
      <c r="DH143" s="128" t="str">
        <f t="shared" si="412"/>
        <v>nie</v>
      </c>
      <c r="DI143" s="128">
        <f t="shared" si="413"/>
        <v>2560</v>
      </c>
      <c r="DJ143" s="128">
        <f t="shared" si="355"/>
        <v>138607.53708799998</v>
      </c>
      <c r="DK143" s="128">
        <f t="shared" si="294"/>
        <v>0</v>
      </c>
      <c r="DL143" s="130">
        <f t="shared" si="414"/>
        <v>3.5999999999999997E-2</v>
      </c>
      <c r="DM143" s="128">
        <f t="shared" si="415"/>
        <v>70.24125725483006</v>
      </c>
      <c r="DN143" s="128">
        <f t="shared" si="416"/>
        <v>138677.7783452548</v>
      </c>
      <c r="DP143" s="127">
        <f t="shared" si="352"/>
        <v>1000</v>
      </c>
      <c r="DQ143" s="128">
        <f t="shared" si="353"/>
        <v>100000</v>
      </c>
      <c r="DR143" s="128">
        <f t="shared" si="346"/>
        <v>100000</v>
      </c>
      <c r="DS143" s="128">
        <f t="shared" si="450"/>
        <v>154636.26291603578</v>
      </c>
      <c r="DT143" s="130">
        <f t="shared" si="417"/>
        <v>5.6000000000000001E-2</v>
      </c>
      <c r="DU143" s="128">
        <f t="shared" si="418"/>
        <v>157522.80649046844</v>
      </c>
      <c r="DV143" s="128" t="str">
        <f t="shared" si="419"/>
        <v>nie</v>
      </c>
      <c r="DW143" s="128">
        <f t="shared" si="420"/>
        <v>3000</v>
      </c>
      <c r="DX143" s="128">
        <f t="shared" si="302"/>
        <v>144163.47325727943</v>
      </c>
      <c r="DY143" s="128">
        <f t="shared" si="303"/>
        <v>0</v>
      </c>
      <c r="DZ143" s="130">
        <f t="shared" si="421"/>
        <v>3.5999999999999997E-2</v>
      </c>
      <c r="EA143" s="128">
        <f t="shared" si="422"/>
        <v>0</v>
      </c>
      <c r="EB143" s="128">
        <f t="shared" si="423"/>
        <v>144163.47325727943</v>
      </c>
    </row>
    <row r="144" spans="1:132">
      <c r="A144" s="212"/>
      <c r="B144" s="188">
        <f t="shared" si="424"/>
        <v>100</v>
      </c>
      <c r="C144" s="128">
        <f t="shared" si="425"/>
        <v>132552.34206156776</v>
      </c>
      <c r="D144" s="128">
        <f t="shared" si="426"/>
        <v>131400.74170659712</v>
      </c>
      <c r="E144" s="128">
        <f t="shared" si="427"/>
        <v>133452.26293631975</v>
      </c>
      <c r="F144" s="128">
        <f t="shared" si="428"/>
        <v>134129.05794294283</v>
      </c>
      <c r="G144" s="128">
        <f t="shared" si="429"/>
        <v>139500.46487117425</v>
      </c>
      <c r="H144" s="128">
        <f t="shared" si="430"/>
        <v>138677.7783452548</v>
      </c>
      <c r="I144" s="128">
        <f t="shared" si="431"/>
        <v>144163.47325727943</v>
      </c>
      <c r="J144" s="128">
        <f t="shared" si="432"/>
        <v>127469.28306231658</v>
      </c>
      <c r="K144" s="128">
        <f t="shared" si="433"/>
        <v>128983.45440048384</v>
      </c>
      <c r="M144" s="36"/>
      <c r="N144" s="32">
        <f t="shared" si="434"/>
        <v>100</v>
      </c>
      <c r="O144" s="25">
        <f t="shared" si="318"/>
        <v>0.32552342061567763</v>
      </c>
      <c r="P144" s="25">
        <f t="shared" si="319"/>
        <v>0.31400741706597124</v>
      </c>
      <c r="Q144" s="25">
        <f t="shared" si="320"/>
        <v>0.33452262936319754</v>
      </c>
      <c r="R144" s="25">
        <f t="shared" si="370"/>
        <v>0.34129057942942831</v>
      </c>
      <c r="S144" s="25">
        <f t="shared" si="371"/>
        <v>0.39500464871174246</v>
      </c>
      <c r="T144" s="25">
        <f t="shared" si="372"/>
        <v>0.3867777834525481</v>
      </c>
      <c r="U144" s="25">
        <f t="shared" si="373"/>
        <v>0.44163473257279429</v>
      </c>
      <c r="V144" s="25">
        <f t="shared" si="374"/>
        <v>0.27469283062316574</v>
      </c>
      <c r="W144" s="25">
        <f t="shared" si="375"/>
        <v>0.28983454400483843</v>
      </c>
      <c r="X144" s="36"/>
      <c r="Y144" s="36"/>
      <c r="AA144" s="124">
        <f t="shared" si="321"/>
        <v>101</v>
      </c>
      <c r="AB144" s="128">
        <f t="shared" si="376"/>
        <v>129313.253731267</v>
      </c>
      <c r="AC144" s="124">
        <f t="shared" si="322"/>
        <v>101</v>
      </c>
      <c r="AD144" s="130">
        <f t="shared" si="435"/>
        <v>3.7499999999999999E-2</v>
      </c>
      <c r="AE144" s="127">
        <f t="shared" si="436"/>
        <v>1317</v>
      </c>
      <c r="AF144" s="128">
        <f t="shared" si="437"/>
        <v>131572.40000000002</v>
      </c>
      <c r="AG144" s="128">
        <f t="shared" si="348"/>
        <v>131700</v>
      </c>
      <c r="AH144" s="128">
        <f t="shared" si="357"/>
        <v>131700</v>
      </c>
      <c r="AI144" s="130">
        <f t="shared" si="377"/>
        <v>3.7499999999999999E-2</v>
      </c>
      <c r="AJ144" s="128">
        <f t="shared" si="378"/>
        <v>132111.5625</v>
      </c>
      <c r="AK144" s="128" t="str">
        <f t="shared" si="379"/>
        <v>nie</v>
      </c>
      <c r="AL144" s="128">
        <f t="shared" si="380"/>
        <v>658.5</v>
      </c>
      <c r="AM144" s="128">
        <f t="shared" si="361"/>
        <v>131499.980625</v>
      </c>
      <c r="AN144" s="128">
        <f t="shared" si="381"/>
        <v>333.36562500000002</v>
      </c>
      <c r="AO144" s="130">
        <f t="shared" si="382"/>
        <v>3.5999999999999997E-2</v>
      </c>
      <c r="AP144" s="128">
        <f t="shared" si="383"/>
        <v>1722.4600033273805</v>
      </c>
      <c r="AQ144" s="128">
        <f t="shared" si="362"/>
        <v>132889.07500332737</v>
      </c>
      <c r="AS144" s="124">
        <f t="shared" si="327"/>
        <v>101</v>
      </c>
      <c r="AT144" s="130">
        <f t="shared" si="328"/>
        <v>3.7499999999999999E-2</v>
      </c>
      <c r="AU144" s="127">
        <f t="shared" si="438"/>
        <v>1307</v>
      </c>
      <c r="AV144" s="128">
        <f t="shared" si="439"/>
        <v>130577.40000000001</v>
      </c>
      <c r="AW144" s="128">
        <f t="shared" si="363"/>
        <v>130700</v>
      </c>
      <c r="AX144" s="128">
        <f t="shared" si="358"/>
        <v>130700</v>
      </c>
      <c r="AY144" s="130">
        <f t="shared" si="384"/>
        <v>3.9E-2</v>
      </c>
      <c r="AZ144" s="128">
        <f t="shared" si="385"/>
        <v>131124.77499999999</v>
      </c>
      <c r="BA144" s="128" t="str">
        <f t="shared" si="386"/>
        <v>nie</v>
      </c>
      <c r="BB144" s="128">
        <f t="shared" si="387"/>
        <v>914.9</v>
      </c>
      <c r="BC144" s="128">
        <f t="shared" si="367"/>
        <v>130302.99875</v>
      </c>
      <c r="BD144" s="128">
        <f t="shared" si="388"/>
        <v>344.06774999999533</v>
      </c>
      <c r="BE144" s="130">
        <f t="shared" si="264"/>
        <v>3.5999999999999997E-2</v>
      </c>
      <c r="BF144" s="128">
        <f t="shared" si="389"/>
        <v>1789.3820566141424</v>
      </c>
      <c r="BG144" s="128">
        <f t="shared" si="368"/>
        <v>131748.31305661413</v>
      </c>
      <c r="BI144" s="124">
        <f t="shared" si="332"/>
        <v>101</v>
      </c>
      <c r="BJ144" s="130">
        <f t="shared" si="354"/>
        <v>3.9100000000000003E-2</v>
      </c>
      <c r="BK144" s="127">
        <f t="shared" si="440"/>
        <v>1237</v>
      </c>
      <c r="BL144" s="128">
        <f t="shared" si="441"/>
        <v>123576.3</v>
      </c>
      <c r="BM144" s="128">
        <f t="shared" si="349"/>
        <v>123700</v>
      </c>
      <c r="BN144" s="128">
        <f t="shared" si="442"/>
        <v>134825.08319999999</v>
      </c>
      <c r="BO144" s="130">
        <f t="shared" si="390"/>
        <v>4.3999999999999997E-2</v>
      </c>
      <c r="BP144" s="128">
        <f t="shared" si="391"/>
        <v>137296.87639199998</v>
      </c>
      <c r="BQ144" s="128" t="str">
        <f t="shared" si="392"/>
        <v>nie</v>
      </c>
      <c r="BR144" s="128">
        <f t="shared" si="393"/>
        <v>1237</v>
      </c>
      <c r="BS144" s="128">
        <f t="shared" si="364"/>
        <v>133711.49987751999</v>
      </c>
      <c r="BT144" s="128">
        <f t="shared" si="443"/>
        <v>0</v>
      </c>
      <c r="BU144" s="130">
        <f t="shared" si="394"/>
        <v>3.5999999999999997E-2</v>
      </c>
      <c r="BV144" s="128">
        <f t="shared" si="271"/>
        <v>141.53665624459271</v>
      </c>
      <c r="BW144" s="128">
        <f t="shared" si="365"/>
        <v>133853.03653376459</v>
      </c>
      <c r="BY144" s="130">
        <f t="shared" si="360"/>
        <v>3.1E-2</v>
      </c>
      <c r="BZ144" s="127">
        <f t="shared" si="444"/>
        <v>1341</v>
      </c>
      <c r="CA144" s="128">
        <f t="shared" si="445"/>
        <v>133979.79999999999</v>
      </c>
      <c r="CB144" s="128">
        <f t="shared" si="366"/>
        <v>134100</v>
      </c>
      <c r="CC144" s="128">
        <f t="shared" si="359"/>
        <v>134100</v>
      </c>
      <c r="CD144" s="130">
        <f t="shared" si="395"/>
        <v>4.7500000000000001E-2</v>
      </c>
      <c r="CE144" s="128">
        <f t="shared" si="396"/>
        <v>136754.0625</v>
      </c>
      <c r="CF144" s="128" t="str">
        <f t="shared" si="397"/>
        <v>nie</v>
      </c>
      <c r="CG144" s="128">
        <f t="shared" si="398"/>
        <v>2654.0625</v>
      </c>
      <c r="CH144" s="128">
        <f t="shared" si="369"/>
        <v>134100</v>
      </c>
      <c r="CI144" s="128">
        <f t="shared" si="399"/>
        <v>0</v>
      </c>
      <c r="CJ144" s="130">
        <f t="shared" si="277"/>
        <v>3.5999999999999997E-2</v>
      </c>
      <c r="CK144" s="128">
        <f t="shared" si="400"/>
        <v>29.128553744174496</v>
      </c>
      <c r="CL144" s="128">
        <f t="shared" si="401"/>
        <v>134129.12855374417</v>
      </c>
      <c r="CN144" s="127">
        <f t="shared" si="446"/>
        <v>1000</v>
      </c>
      <c r="CO144" s="128">
        <f t="shared" si="447"/>
        <v>100000</v>
      </c>
      <c r="CP144" s="128">
        <f t="shared" si="342"/>
        <v>100000</v>
      </c>
      <c r="CQ144" s="128">
        <f t="shared" si="448"/>
        <v>149229.1111246759</v>
      </c>
      <c r="CR144" s="130">
        <f t="shared" si="402"/>
        <v>5.1000000000000004E-2</v>
      </c>
      <c r="CS144" s="128">
        <f t="shared" si="403"/>
        <v>152400.22973607527</v>
      </c>
      <c r="CT144" s="128" t="str">
        <f t="shared" si="404"/>
        <v>nie</v>
      </c>
      <c r="CU144" s="128">
        <f t="shared" si="405"/>
        <v>3000</v>
      </c>
      <c r="CV144" s="128">
        <f t="shared" si="406"/>
        <v>140014.18608622096</v>
      </c>
      <c r="CW144" s="128">
        <f t="shared" si="285"/>
        <v>0</v>
      </c>
      <c r="CX144" s="130">
        <f t="shared" si="407"/>
        <v>3.5999999999999997E-2</v>
      </c>
      <c r="CY144" s="128">
        <f t="shared" si="408"/>
        <v>0</v>
      </c>
      <c r="CZ144" s="128">
        <f t="shared" si="409"/>
        <v>140014.18608622096</v>
      </c>
      <c r="DA144" s="20"/>
      <c r="DB144" s="127">
        <f t="shared" si="350"/>
        <v>1280</v>
      </c>
      <c r="DC144" s="128">
        <f t="shared" si="351"/>
        <v>128000</v>
      </c>
      <c r="DD144" s="128">
        <f t="shared" si="344"/>
        <v>128000</v>
      </c>
      <c r="DE144" s="128">
        <f t="shared" si="449"/>
        <v>141254.39999999999</v>
      </c>
      <c r="DF144" s="130">
        <f t="shared" si="410"/>
        <v>5.1000000000000004E-2</v>
      </c>
      <c r="DG144" s="128">
        <f t="shared" si="411"/>
        <v>144256.05599999998</v>
      </c>
      <c r="DH144" s="128" t="str">
        <f t="shared" si="412"/>
        <v>nie</v>
      </c>
      <c r="DI144" s="128">
        <f t="shared" si="413"/>
        <v>2560</v>
      </c>
      <c r="DJ144" s="128">
        <f t="shared" si="355"/>
        <v>139093.80536</v>
      </c>
      <c r="DK144" s="128">
        <f t="shared" si="294"/>
        <v>0</v>
      </c>
      <c r="DL144" s="130">
        <f t="shared" si="414"/>
        <v>3.5999999999999997E-2</v>
      </c>
      <c r="DM144" s="128">
        <f t="shared" si="415"/>
        <v>70.411943509959286</v>
      </c>
      <c r="DN144" s="128">
        <f t="shared" si="416"/>
        <v>139164.21730350997</v>
      </c>
      <c r="DP144" s="127">
        <f t="shared" si="352"/>
        <v>1000</v>
      </c>
      <c r="DQ144" s="128">
        <f t="shared" si="353"/>
        <v>100000</v>
      </c>
      <c r="DR144" s="128">
        <f t="shared" si="346"/>
        <v>100000</v>
      </c>
      <c r="DS144" s="128">
        <f t="shared" si="450"/>
        <v>154636.26291603578</v>
      </c>
      <c r="DT144" s="130">
        <f t="shared" si="417"/>
        <v>5.6000000000000001E-2</v>
      </c>
      <c r="DU144" s="128">
        <f t="shared" si="418"/>
        <v>158244.44238407662</v>
      </c>
      <c r="DV144" s="128" t="str">
        <f t="shared" si="419"/>
        <v>nie</v>
      </c>
      <c r="DW144" s="128">
        <f t="shared" si="420"/>
        <v>3000</v>
      </c>
      <c r="DX144" s="128">
        <f t="shared" si="302"/>
        <v>144747.99833110208</v>
      </c>
      <c r="DY144" s="128">
        <f t="shared" si="303"/>
        <v>0</v>
      </c>
      <c r="DZ144" s="130">
        <f t="shared" si="421"/>
        <v>3.5999999999999997E-2</v>
      </c>
      <c r="EA144" s="128">
        <f t="shared" si="422"/>
        <v>0</v>
      </c>
      <c r="EB144" s="128">
        <f t="shared" si="423"/>
        <v>144747.99833110208</v>
      </c>
    </row>
    <row r="145" spans="1:132">
      <c r="A145" s="212"/>
      <c r="B145" s="188">
        <f t="shared" si="424"/>
        <v>101</v>
      </c>
      <c r="C145" s="128">
        <f t="shared" si="425"/>
        <v>132889.07500332737</v>
      </c>
      <c r="D145" s="128">
        <f t="shared" si="426"/>
        <v>131748.31305661413</v>
      </c>
      <c r="E145" s="128">
        <f t="shared" si="427"/>
        <v>133853.03653376459</v>
      </c>
      <c r="F145" s="128">
        <f t="shared" si="428"/>
        <v>134129.12855374417</v>
      </c>
      <c r="G145" s="128">
        <f t="shared" si="429"/>
        <v>140014.18608622096</v>
      </c>
      <c r="H145" s="128">
        <f t="shared" si="430"/>
        <v>139164.21730350997</v>
      </c>
      <c r="I145" s="128">
        <f t="shared" si="431"/>
        <v>144747.99833110208</v>
      </c>
      <c r="J145" s="128">
        <f t="shared" si="432"/>
        <v>127779.033420158</v>
      </c>
      <c r="K145" s="128">
        <f t="shared" si="433"/>
        <v>129313.253731267</v>
      </c>
      <c r="M145" s="36"/>
      <c r="N145" s="32">
        <f t="shared" si="434"/>
        <v>101</v>
      </c>
      <c r="O145" s="25">
        <f t="shared" si="318"/>
        <v>0.32889075003327362</v>
      </c>
      <c r="P145" s="25">
        <f t="shared" si="319"/>
        <v>0.31748313056614141</v>
      </c>
      <c r="Q145" s="25">
        <f t="shared" si="320"/>
        <v>0.33853036533764591</v>
      </c>
      <c r="R145" s="25">
        <f t="shared" si="370"/>
        <v>0.3412912855374417</v>
      </c>
      <c r="S145" s="25">
        <f t="shared" si="371"/>
        <v>0.4001418608622096</v>
      </c>
      <c r="T145" s="25">
        <f t="shared" si="372"/>
        <v>0.39164217303509963</v>
      </c>
      <c r="U145" s="25">
        <f t="shared" si="373"/>
        <v>0.44747998331102079</v>
      </c>
      <c r="V145" s="25">
        <f t="shared" si="374"/>
        <v>0.27779033420157995</v>
      </c>
      <c r="W145" s="25">
        <f t="shared" si="375"/>
        <v>0.29313253731267008</v>
      </c>
      <c r="X145" s="36"/>
      <c r="Y145" s="36"/>
      <c r="AA145" s="124">
        <f t="shared" si="321"/>
        <v>102</v>
      </c>
      <c r="AB145" s="128">
        <f t="shared" si="376"/>
        <v>129643.05306205017</v>
      </c>
      <c r="AC145" s="124">
        <f t="shared" si="322"/>
        <v>102</v>
      </c>
      <c r="AD145" s="130">
        <f t="shared" si="435"/>
        <v>3.7499999999999999E-2</v>
      </c>
      <c r="AE145" s="127">
        <f t="shared" si="436"/>
        <v>1317</v>
      </c>
      <c r="AF145" s="128">
        <f t="shared" si="437"/>
        <v>131572.40000000002</v>
      </c>
      <c r="AG145" s="128">
        <f t="shared" si="348"/>
        <v>131700</v>
      </c>
      <c r="AH145" s="128">
        <f t="shared" si="357"/>
        <v>131700</v>
      </c>
      <c r="AI145" s="130">
        <f t="shared" si="377"/>
        <v>3.7499999999999999E-2</v>
      </c>
      <c r="AJ145" s="128">
        <f t="shared" si="378"/>
        <v>132111.5625</v>
      </c>
      <c r="AK145" s="128" t="str">
        <f t="shared" si="379"/>
        <v>nie</v>
      </c>
      <c r="AL145" s="128">
        <f t="shared" si="380"/>
        <v>658.5</v>
      </c>
      <c r="AM145" s="128">
        <f t="shared" si="361"/>
        <v>131499.980625</v>
      </c>
      <c r="AN145" s="128">
        <f t="shared" si="381"/>
        <v>333.36562500000002</v>
      </c>
      <c r="AO145" s="130">
        <f t="shared" si="382"/>
        <v>3.5999999999999997E-2</v>
      </c>
      <c r="AP145" s="128">
        <f t="shared" si="383"/>
        <v>2060.0112061354657</v>
      </c>
      <c r="AQ145" s="128">
        <f t="shared" si="362"/>
        <v>133226.62620613546</v>
      </c>
      <c r="AS145" s="124">
        <f t="shared" si="327"/>
        <v>102</v>
      </c>
      <c r="AT145" s="130">
        <f t="shared" si="328"/>
        <v>3.7499999999999999E-2</v>
      </c>
      <c r="AU145" s="127">
        <f t="shared" si="438"/>
        <v>1307</v>
      </c>
      <c r="AV145" s="128">
        <f t="shared" si="439"/>
        <v>130577.40000000001</v>
      </c>
      <c r="AW145" s="128">
        <f t="shared" si="363"/>
        <v>130700</v>
      </c>
      <c r="AX145" s="128">
        <f t="shared" si="358"/>
        <v>130700</v>
      </c>
      <c r="AY145" s="130">
        <f t="shared" si="384"/>
        <v>3.9E-2</v>
      </c>
      <c r="AZ145" s="128">
        <f t="shared" si="385"/>
        <v>131124.77499999999</v>
      </c>
      <c r="BA145" s="128" t="str">
        <f t="shared" si="386"/>
        <v>nie</v>
      </c>
      <c r="BB145" s="128">
        <f t="shared" si="387"/>
        <v>914.9</v>
      </c>
      <c r="BC145" s="128">
        <f t="shared" si="367"/>
        <v>130302.99875</v>
      </c>
      <c r="BD145" s="128">
        <f t="shared" si="388"/>
        <v>344.06774999999533</v>
      </c>
      <c r="BE145" s="130">
        <f t="shared" si="264"/>
        <v>3.5999999999999997E-2</v>
      </c>
      <c r="BF145" s="128">
        <f t="shared" si="389"/>
        <v>2137.7980050117098</v>
      </c>
      <c r="BG145" s="128">
        <f t="shared" si="368"/>
        <v>132096.7290050117</v>
      </c>
      <c r="BI145" s="124">
        <f t="shared" si="332"/>
        <v>102</v>
      </c>
      <c r="BJ145" s="130">
        <f t="shared" si="354"/>
        <v>3.9100000000000003E-2</v>
      </c>
      <c r="BK145" s="127">
        <f t="shared" si="440"/>
        <v>1237</v>
      </c>
      <c r="BL145" s="128">
        <f t="shared" si="441"/>
        <v>123576.3</v>
      </c>
      <c r="BM145" s="128">
        <f t="shared" si="349"/>
        <v>123700</v>
      </c>
      <c r="BN145" s="128">
        <f t="shared" si="442"/>
        <v>134825.08319999999</v>
      </c>
      <c r="BO145" s="130">
        <f t="shared" si="390"/>
        <v>4.3999999999999997E-2</v>
      </c>
      <c r="BP145" s="128">
        <f t="shared" si="391"/>
        <v>137791.23503039998</v>
      </c>
      <c r="BQ145" s="128" t="str">
        <f t="shared" si="392"/>
        <v>nie</v>
      </c>
      <c r="BR145" s="128">
        <f t="shared" si="393"/>
        <v>1237</v>
      </c>
      <c r="BS145" s="128">
        <f t="shared" si="364"/>
        <v>134111.93037462397</v>
      </c>
      <c r="BT145" s="128">
        <f t="shared" si="443"/>
        <v>0</v>
      </c>
      <c r="BU145" s="130">
        <f t="shared" si="394"/>
        <v>3.5999999999999997E-2</v>
      </c>
      <c r="BV145" s="128">
        <f t="shared" si="271"/>
        <v>141.88059031926704</v>
      </c>
      <c r="BW145" s="128">
        <f t="shared" si="365"/>
        <v>134253.81096494323</v>
      </c>
      <c r="BY145" s="130">
        <f t="shared" si="360"/>
        <v>3.1E-2</v>
      </c>
      <c r="BZ145" s="127">
        <f t="shared" si="444"/>
        <v>1341</v>
      </c>
      <c r="CA145" s="128">
        <f t="shared" si="445"/>
        <v>133979.79999999999</v>
      </c>
      <c r="CB145" s="128">
        <f t="shared" si="366"/>
        <v>134100</v>
      </c>
      <c r="CC145" s="128">
        <f t="shared" si="359"/>
        <v>134100</v>
      </c>
      <c r="CD145" s="130">
        <f t="shared" si="395"/>
        <v>4.7500000000000001E-2</v>
      </c>
      <c r="CE145" s="128">
        <f t="shared" si="396"/>
        <v>137284.875</v>
      </c>
      <c r="CF145" s="128" t="str">
        <f t="shared" si="397"/>
        <v>nie</v>
      </c>
      <c r="CG145" s="128">
        <f t="shared" si="398"/>
        <v>2682</v>
      </c>
      <c r="CH145" s="128">
        <f t="shared" si="369"/>
        <v>134507.32874999999</v>
      </c>
      <c r="CI145" s="128">
        <f t="shared" si="399"/>
        <v>0</v>
      </c>
      <c r="CJ145" s="130">
        <f t="shared" si="277"/>
        <v>3.5999999999999997E-2</v>
      </c>
      <c r="CK145" s="128">
        <f t="shared" si="400"/>
        <v>29.199336129772838</v>
      </c>
      <c r="CL145" s="128">
        <f t="shared" si="401"/>
        <v>134536.52808612975</v>
      </c>
      <c r="CN145" s="127">
        <f t="shared" si="446"/>
        <v>1000</v>
      </c>
      <c r="CO145" s="128">
        <f t="shared" si="447"/>
        <v>100000</v>
      </c>
      <c r="CP145" s="128">
        <f t="shared" si="342"/>
        <v>100000</v>
      </c>
      <c r="CQ145" s="128">
        <f t="shared" si="448"/>
        <v>149229.1111246759</v>
      </c>
      <c r="CR145" s="130">
        <f t="shared" si="402"/>
        <v>5.1000000000000004E-2</v>
      </c>
      <c r="CS145" s="128">
        <f t="shared" si="403"/>
        <v>153034.45345835513</v>
      </c>
      <c r="CT145" s="128" t="str">
        <f t="shared" si="404"/>
        <v>nie</v>
      </c>
      <c r="CU145" s="128">
        <f t="shared" si="405"/>
        <v>3000</v>
      </c>
      <c r="CV145" s="128">
        <f t="shared" si="406"/>
        <v>140527.90730126767</v>
      </c>
      <c r="CW145" s="128">
        <f t="shared" si="285"/>
        <v>0</v>
      </c>
      <c r="CX145" s="130">
        <f t="shared" si="407"/>
        <v>3.5999999999999997E-2</v>
      </c>
      <c r="CY145" s="128">
        <f t="shared" si="408"/>
        <v>0</v>
      </c>
      <c r="CZ145" s="128">
        <f t="shared" si="409"/>
        <v>140527.90730126767</v>
      </c>
      <c r="DA145" s="20"/>
      <c r="DB145" s="127">
        <f t="shared" si="350"/>
        <v>1280</v>
      </c>
      <c r="DC145" s="128">
        <f t="shared" si="351"/>
        <v>128000</v>
      </c>
      <c r="DD145" s="128">
        <f t="shared" si="344"/>
        <v>128000</v>
      </c>
      <c r="DE145" s="128">
        <f t="shared" si="449"/>
        <v>141254.39999999999</v>
      </c>
      <c r="DF145" s="130">
        <f t="shared" si="410"/>
        <v>5.1000000000000004E-2</v>
      </c>
      <c r="DG145" s="128">
        <f t="shared" si="411"/>
        <v>144856.3872</v>
      </c>
      <c r="DH145" s="128" t="str">
        <f t="shared" si="412"/>
        <v>nie</v>
      </c>
      <c r="DI145" s="128">
        <f t="shared" si="413"/>
        <v>2560</v>
      </c>
      <c r="DJ145" s="128">
        <f t="shared" si="355"/>
        <v>139580.07363199999</v>
      </c>
      <c r="DK145" s="128">
        <f t="shared" si="294"/>
        <v>0</v>
      </c>
      <c r="DL145" s="130">
        <f t="shared" si="414"/>
        <v>3.5999999999999997E-2</v>
      </c>
      <c r="DM145" s="128">
        <f t="shared" si="415"/>
        <v>70.583044532688476</v>
      </c>
      <c r="DN145" s="128">
        <f t="shared" si="416"/>
        <v>139650.65667653267</v>
      </c>
      <c r="DP145" s="127">
        <f t="shared" si="352"/>
        <v>1000</v>
      </c>
      <c r="DQ145" s="128">
        <f t="shared" si="353"/>
        <v>100000</v>
      </c>
      <c r="DR145" s="128">
        <f t="shared" si="346"/>
        <v>100000</v>
      </c>
      <c r="DS145" s="128">
        <f t="shared" si="450"/>
        <v>154636.26291603578</v>
      </c>
      <c r="DT145" s="130">
        <f t="shared" si="417"/>
        <v>5.6000000000000001E-2</v>
      </c>
      <c r="DU145" s="128">
        <f t="shared" si="418"/>
        <v>158966.07827768478</v>
      </c>
      <c r="DV145" s="128" t="str">
        <f t="shared" si="419"/>
        <v>nie</v>
      </c>
      <c r="DW145" s="128">
        <f t="shared" si="420"/>
        <v>3000</v>
      </c>
      <c r="DX145" s="128">
        <f t="shared" si="302"/>
        <v>145332.52340492466</v>
      </c>
      <c r="DY145" s="128">
        <f t="shared" si="303"/>
        <v>0</v>
      </c>
      <c r="DZ145" s="130">
        <f t="shared" si="421"/>
        <v>3.5999999999999997E-2</v>
      </c>
      <c r="EA145" s="128">
        <f t="shared" si="422"/>
        <v>0</v>
      </c>
      <c r="EB145" s="128">
        <f t="shared" si="423"/>
        <v>145332.52340492466</v>
      </c>
    </row>
    <row r="146" spans="1:132">
      <c r="A146" s="212"/>
      <c r="B146" s="188">
        <f t="shared" si="424"/>
        <v>102</v>
      </c>
      <c r="C146" s="128">
        <f t="shared" si="425"/>
        <v>133226.62620613546</v>
      </c>
      <c r="D146" s="128">
        <f t="shared" si="426"/>
        <v>132096.7290050117</v>
      </c>
      <c r="E146" s="128">
        <f t="shared" si="427"/>
        <v>134253.81096494323</v>
      </c>
      <c r="F146" s="128">
        <f t="shared" si="428"/>
        <v>134536.52808612975</v>
      </c>
      <c r="G146" s="128">
        <f t="shared" si="429"/>
        <v>140527.90730126767</v>
      </c>
      <c r="H146" s="128">
        <f t="shared" si="430"/>
        <v>139650.65667653267</v>
      </c>
      <c r="I146" s="128">
        <f t="shared" si="431"/>
        <v>145332.52340492466</v>
      </c>
      <c r="J146" s="128">
        <f t="shared" si="432"/>
        <v>128089.53647136898</v>
      </c>
      <c r="K146" s="128">
        <f t="shared" si="433"/>
        <v>129643.05306205017</v>
      </c>
      <c r="M146" s="36"/>
      <c r="N146" s="32">
        <f t="shared" si="434"/>
        <v>102</v>
      </c>
      <c r="O146" s="25">
        <f t="shared" si="318"/>
        <v>0.33226626206135457</v>
      </c>
      <c r="P146" s="25">
        <f t="shared" si="319"/>
        <v>0.32096729005011704</v>
      </c>
      <c r="Q146" s="25">
        <f t="shared" si="320"/>
        <v>0.34253810964943221</v>
      </c>
      <c r="R146" s="25">
        <f t="shared" si="370"/>
        <v>0.34536528086129747</v>
      </c>
      <c r="S146" s="25">
        <f t="shared" si="371"/>
        <v>0.40527907301267674</v>
      </c>
      <c r="T146" s="25">
        <f t="shared" si="372"/>
        <v>0.3965065667653267</v>
      </c>
      <c r="U146" s="25">
        <f t="shared" si="373"/>
        <v>0.45332523404924663</v>
      </c>
      <c r="V146" s="25">
        <f t="shared" si="374"/>
        <v>0.28089536471368981</v>
      </c>
      <c r="W146" s="25">
        <f t="shared" si="375"/>
        <v>0.29643053062050173</v>
      </c>
      <c r="X146" s="36"/>
      <c r="Y146" s="36"/>
      <c r="AA146" s="124">
        <f t="shared" si="321"/>
        <v>103</v>
      </c>
      <c r="AB146" s="128">
        <f t="shared" si="376"/>
        <v>129972.8523928333</v>
      </c>
      <c r="AC146" s="124">
        <f t="shared" si="322"/>
        <v>103</v>
      </c>
      <c r="AD146" s="130">
        <f t="shared" si="435"/>
        <v>3.7499999999999999E-2</v>
      </c>
      <c r="AE146" s="127">
        <f t="shared" si="436"/>
        <v>1317</v>
      </c>
      <c r="AF146" s="128">
        <f t="shared" si="437"/>
        <v>131572.40000000002</v>
      </c>
      <c r="AG146" s="128">
        <f t="shared" si="348"/>
        <v>131700</v>
      </c>
      <c r="AH146" s="128">
        <f t="shared" si="357"/>
        <v>131700</v>
      </c>
      <c r="AI146" s="130">
        <f t="shared" si="377"/>
        <v>3.7499999999999999E-2</v>
      </c>
      <c r="AJ146" s="128">
        <f t="shared" si="378"/>
        <v>132111.5625</v>
      </c>
      <c r="AK146" s="128" t="str">
        <f t="shared" si="379"/>
        <v>nie</v>
      </c>
      <c r="AL146" s="128">
        <f t="shared" si="380"/>
        <v>658.5</v>
      </c>
      <c r="AM146" s="128">
        <f t="shared" si="361"/>
        <v>131499.980625</v>
      </c>
      <c r="AN146" s="128">
        <f t="shared" si="381"/>
        <v>333.36562500000002</v>
      </c>
      <c r="AO146" s="130">
        <f t="shared" si="382"/>
        <v>3.5999999999999997E-2</v>
      </c>
      <c r="AP146" s="128">
        <f t="shared" si="383"/>
        <v>2398.3826583663745</v>
      </c>
      <c r="AQ146" s="128">
        <f t="shared" si="362"/>
        <v>133564.99765836637</v>
      </c>
      <c r="AS146" s="124">
        <f t="shared" si="327"/>
        <v>103</v>
      </c>
      <c r="AT146" s="130">
        <f t="shared" si="328"/>
        <v>3.7499999999999999E-2</v>
      </c>
      <c r="AU146" s="127">
        <f t="shared" si="438"/>
        <v>1307</v>
      </c>
      <c r="AV146" s="128">
        <f t="shared" si="439"/>
        <v>130577.40000000001</v>
      </c>
      <c r="AW146" s="128">
        <f t="shared" si="363"/>
        <v>130700</v>
      </c>
      <c r="AX146" s="128">
        <f t="shared" si="358"/>
        <v>130700</v>
      </c>
      <c r="AY146" s="130">
        <f t="shared" si="384"/>
        <v>3.9E-2</v>
      </c>
      <c r="AZ146" s="128">
        <f t="shared" si="385"/>
        <v>131124.77499999999</v>
      </c>
      <c r="BA146" s="128" t="str">
        <f t="shared" si="386"/>
        <v>nie</v>
      </c>
      <c r="BB146" s="128">
        <f t="shared" si="387"/>
        <v>914.9</v>
      </c>
      <c r="BC146" s="128">
        <f t="shared" si="367"/>
        <v>130302.99875</v>
      </c>
      <c r="BD146" s="128">
        <f t="shared" si="388"/>
        <v>344.06774999999533</v>
      </c>
      <c r="BE146" s="130">
        <f t="shared" si="264"/>
        <v>3.5999999999999997E-2</v>
      </c>
      <c r="BF146" s="128">
        <f t="shared" si="389"/>
        <v>2487.0606041638835</v>
      </c>
      <c r="BG146" s="128">
        <f t="shared" si="368"/>
        <v>132445.99160416389</v>
      </c>
      <c r="BI146" s="124">
        <f t="shared" si="332"/>
        <v>103</v>
      </c>
      <c r="BJ146" s="130">
        <f t="shared" ref="BJ146:BJ177" si="451">MAX(INDEX(scenariusz_I_WIBOR6M,MATCH(ROUNDUP(BI146/12,0),scenariusz_I_rok,0)),0)</f>
        <v>3.9100000000000003E-2</v>
      </c>
      <c r="BK146" s="127">
        <f t="shared" si="440"/>
        <v>1237</v>
      </c>
      <c r="BL146" s="128">
        <f t="shared" si="441"/>
        <v>123576.3</v>
      </c>
      <c r="BM146" s="128">
        <f t="shared" si="349"/>
        <v>123700</v>
      </c>
      <c r="BN146" s="128">
        <f t="shared" si="442"/>
        <v>134825.08319999999</v>
      </c>
      <c r="BO146" s="130">
        <f t="shared" si="390"/>
        <v>4.3999999999999997E-2</v>
      </c>
      <c r="BP146" s="128">
        <f t="shared" si="391"/>
        <v>138285.59366879999</v>
      </c>
      <c r="BQ146" s="128" t="str">
        <f t="shared" si="392"/>
        <v>nie</v>
      </c>
      <c r="BR146" s="128">
        <f t="shared" si="393"/>
        <v>1237</v>
      </c>
      <c r="BS146" s="128">
        <f t="shared" si="364"/>
        <v>134512.36087172799</v>
      </c>
      <c r="BT146" s="128">
        <f t="shared" si="443"/>
        <v>0</v>
      </c>
      <c r="BU146" s="130">
        <f t="shared" si="394"/>
        <v>3.5999999999999997E-2</v>
      </c>
      <c r="BV146" s="128">
        <f t="shared" si="271"/>
        <v>142.22536015374286</v>
      </c>
      <c r="BW146" s="128">
        <f t="shared" si="365"/>
        <v>134654.58623188172</v>
      </c>
      <c r="BY146" s="130">
        <f t="shared" si="360"/>
        <v>3.1E-2</v>
      </c>
      <c r="BZ146" s="127">
        <f t="shared" si="444"/>
        <v>1341</v>
      </c>
      <c r="CA146" s="128">
        <f t="shared" si="445"/>
        <v>133979.79999999999</v>
      </c>
      <c r="CB146" s="128">
        <f t="shared" si="366"/>
        <v>134100</v>
      </c>
      <c r="CC146" s="128">
        <f t="shared" si="359"/>
        <v>134100</v>
      </c>
      <c r="CD146" s="130">
        <f t="shared" si="395"/>
        <v>4.7500000000000001E-2</v>
      </c>
      <c r="CE146" s="128">
        <f t="shared" si="396"/>
        <v>137815.68750000003</v>
      </c>
      <c r="CF146" s="128" t="str">
        <f t="shared" si="397"/>
        <v>nie</v>
      </c>
      <c r="CG146" s="128">
        <f t="shared" si="398"/>
        <v>2682</v>
      </c>
      <c r="CH146" s="128">
        <f t="shared" si="369"/>
        <v>134937.28687500002</v>
      </c>
      <c r="CI146" s="128">
        <f t="shared" si="399"/>
        <v>0</v>
      </c>
      <c r="CJ146" s="130">
        <f t="shared" si="277"/>
        <v>3.5999999999999997E-2</v>
      </c>
      <c r="CK146" s="128">
        <f t="shared" si="400"/>
        <v>29.270290516568185</v>
      </c>
      <c r="CL146" s="128">
        <f t="shared" si="401"/>
        <v>134966.5571655166</v>
      </c>
      <c r="CN146" s="127">
        <f t="shared" si="446"/>
        <v>1000</v>
      </c>
      <c r="CO146" s="128">
        <f t="shared" si="447"/>
        <v>100000</v>
      </c>
      <c r="CP146" s="128">
        <f t="shared" si="342"/>
        <v>100000</v>
      </c>
      <c r="CQ146" s="128">
        <f t="shared" si="448"/>
        <v>149229.1111246759</v>
      </c>
      <c r="CR146" s="130">
        <f t="shared" si="402"/>
        <v>5.1000000000000004E-2</v>
      </c>
      <c r="CS146" s="128">
        <f t="shared" si="403"/>
        <v>153668.67718063499</v>
      </c>
      <c r="CT146" s="128" t="str">
        <f t="shared" si="404"/>
        <v>nie</v>
      </c>
      <c r="CU146" s="128">
        <f t="shared" si="405"/>
        <v>3000</v>
      </c>
      <c r="CV146" s="128">
        <f t="shared" si="406"/>
        <v>141041.62851631435</v>
      </c>
      <c r="CW146" s="128">
        <f t="shared" si="285"/>
        <v>0</v>
      </c>
      <c r="CX146" s="130">
        <f t="shared" si="407"/>
        <v>3.5999999999999997E-2</v>
      </c>
      <c r="CY146" s="128">
        <f t="shared" si="408"/>
        <v>0</v>
      </c>
      <c r="CZ146" s="128">
        <f t="shared" si="409"/>
        <v>141041.62851631435</v>
      </c>
      <c r="DA146" s="20"/>
      <c r="DB146" s="127">
        <f t="shared" si="350"/>
        <v>1280</v>
      </c>
      <c r="DC146" s="128">
        <f t="shared" si="351"/>
        <v>128000</v>
      </c>
      <c r="DD146" s="128">
        <f t="shared" si="344"/>
        <v>128000</v>
      </c>
      <c r="DE146" s="128">
        <f t="shared" si="449"/>
        <v>141254.39999999999</v>
      </c>
      <c r="DF146" s="130">
        <f t="shared" si="410"/>
        <v>5.1000000000000004E-2</v>
      </c>
      <c r="DG146" s="128">
        <f t="shared" si="411"/>
        <v>145456.71839999998</v>
      </c>
      <c r="DH146" s="128" t="str">
        <f t="shared" si="412"/>
        <v>nie</v>
      </c>
      <c r="DI146" s="128">
        <f t="shared" si="413"/>
        <v>2560</v>
      </c>
      <c r="DJ146" s="128">
        <f t="shared" si="355"/>
        <v>140066.341904</v>
      </c>
      <c r="DK146" s="128">
        <f t="shared" si="294"/>
        <v>0</v>
      </c>
      <c r="DL146" s="130">
        <f t="shared" si="414"/>
        <v>3.5999999999999997E-2</v>
      </c>
      <c r="DM146" s="128">
        <f t="shared" si="415"/>
        <v>70.754561330902902</v>
      </c>
      <c r="DN146" s="128">
        <f t="shared" si="416"/>
        <v>140137.09646533089</v>
      </c>
      <c r="DP146" s="127">
        <f t="shared" si="352"/>
        <v>1000</v>
      </c>
      <c r="DQ146" s="128">
        <f t="shared" si="353"/>
        <v>100000</v>
      </c>
      <c r="DR146" s="128">
        <f t="shared" si="346"/>
        <v>100000</v>
      </c>
      <c r="DS146" s="128">
        <f t="shared" si="450"/>
        <v>154636.26291603578</v>
      </c>
      <c r="DT146" s="130">
        <f t="shared" si="417"/>
        <v>5.6000000000000001E-2</v>
      </c>
      <c r="DU146" s="128">
        <f t="shared" si="418"/>
        <v>159687.71417129293</v>
      </c>
      <c r="DV146" s="128" t="str">
        <f t="shared" si="419"/>
        <v>nie</v>
      </c>
      <c r="DW146" s="128">
        <f t="shared" si="420"/>
        <v>3000</v>
      </c>
      <c r="DX146" s="128">
        <f t="shared" si="302"/>
        <v>145917.04847874728</v>
      </c>
      <c r="DY146" s="128">
        <f t="shared" si="303"/>
        <v>0</v>
      </c>
      <c r="DZ146" s="130">
        <f t="shared" si="421"/>
        <v>3.5999999999999997E-2</v>
      </c>
      <c r="EA146" s="128">
        <f t="shared" si="422"/>
        <v>0</v>
      </c>
      <c r="EB146" s="128">
        <f t="shared" si="423"/>
        <v>145917.04847874728</v>
      </c>
    </row>
    <row r="147" spans="1:132">
      <c r="A147" s="212"/>
      <c r="B147" s="188">
        <f t="shared" si="424"/>
        <v>103</v>
      </c>
      <c r="C147" s="128">
        <f t="shared" si="425"/>
        <v>133564.99765836637</v>
      </c>
      <c r="D147" s="128">
        <f t="shared" si="426"/>
        <v>132445.99160416389</v>
      </c>
      <c r="E147" s="128">
        <f t="shared" si="427"/>
        <v>134654.58623188172</v>
      </c>
      <c r="F147" s="128">
        <f t="shared" si="428"/>
        <v>134966.5571655166</v>
      </c>
      <c r="G147" s="128">
        <f t="shared" si="429"/>
        <v>141041.62851631435</v>
      </c>
      <c r="H147" s="128">
        <f t="shared" si="430"/>
        <v>140137.09646533089</v>
      </c>
      <c r="I147" s="128">
        <f t="shared" si="431"/>
        <v>145917.04847874728</v>
      </c>
      <c r="J147" s="128">
        <f t="shared" si="432"/>
        <v>128400.7940449944</v>
      </c>
      <c r="K147" s="128">
        <f t="shared" si="433"/>
        <v>129972.8523928333</v>
      </c>
      <c r="M147" s="36"/>
      <c r="N147" s="32">
        <f t="shared" si="434"/>
        <v>103</v>
      </c>
      <c r="O147" s="25">
        <f t="shared" si="318"/>
        <v>0.33564997658366358</v>
      </c>
      <c r="P147" s="25">
        <f t="shared" si="319"/>
        <v>0.32445991604163904</v>
      </c>
      <c r="Q147" s="25">
        <f t="shared" si="320"/>
        <v>0.34654586231881734</v>
      </c>
      <c r="R147" s="25">
        <f t="shared" si="370"/>
        <v>0.34966557165516599</v>
      </c>
      <c r="S147" s="25">
        <f t="shared" si="371"/>
        <v>0.41041628516314343</v>
      </c>
      <c r="T147" s="25">
        <f t="shared" si="372"/>
        <v>0.40137096465330901</v>
      </c>
      <c r="U147" s="25">
        <f t="shared" si="373"/>
        <v>0.45917048478747291</v>
      </c>
      <c r="V147" s="25">
        <f t="shared" si="374"/>
        <v>0.28400794044994404</v>
      </c>
      <c r="W147" s="25">
        <f t="shared" si="375"/>
        <v>0.29972852392833294</v>
      </c>
      <c r="X147" s="36"/>
      <c r="Y147" s="36"/>
      <c r="AA147" s="124">
        <f t="shared" si="321"/>
        <v>104</v>
      </c>
      <c r="AB147" s="128">
        <f t="shared" si="376"/>
        <v>130302.65172361647</v>
      </c>
      <c r="AC147" s="124">
        <f t="shared" si="322"/>
        <v>104</v>
      </c>
      <c r="AD147" s="130">
        <f t="shared" si="435"/>
        <v>3.7499999999999999E-2</v>
      </c>
      <c r="AE147" s="127">
        <f t="shared" si="436"/>
        <v>1317</v>
      </c>
      <c r="AF147" s="128">
        <f t="shared" si="437"/>
        <v>131572.40000000002</v>
      </c>
      <c r="AG147" s="128">
        <f t="shared" si="348"/>
        <v>131700</v>
      </c>
      <c r="AH147" s="128">
        <f t="shared" si="357"/>
        <v>131700</v>
      </c>
      <c r="AI147" s="130">
        <f t="shared" si="377"/>
        <v>3.7499999999999999E-2</v>
      </c>
      <c r="AJ147" s="128">
        <f t="shared" si="378"/>
        <v>132111.5625</v>
      </c>
      <c r="AK147" s="128" t="str">
        <f t="shared" si="379"/>
        <v>nie</v>
      </c>
      <c r="AL147" s="128">
        <f t="shared" si="380"/>
        <v>658.5</v>
      </c>
      <c r="AM147" s="128">
        <f t="shared" si="361"/>
        <v>131499.980625</v>
      </c>
      <c r="AN147" s="128">
        <f t="shared" si="381"/>
        <v>333.36562500000002</v>
      </c>
      <c r="AO147" s="130">
        <f t="shared" si="382"/>
        <v>3.5999999999999997E-2</v>
      </c>
      <c r="AP147" s="128">
        <f t="shared" si="383"/>
        <v>2737.5763532262044</v>
      </c>
      <c r="AQ147" s="128">
        <f t="shared" si="362"/>
        <v>133904.1913532262</v>
      </c>
      <c r="AS147" s="124">
        <f t="shared" si="327"/>
        <v>104</v>
      </c>
      <c r="AT147" s="130">
        <f t="shared" si="328"/>
        <v>3.7499999999999999E-2</v>
      </c>
      <c r="AU147" s="127">
        <f t="shared" si="438"/>
        <v>1307</v>
      </c>
      <c r="AV147" s="128">
        <f t="shared" si="439"/>
        <v>130577.40000000001</v>
      </c>
      <c r="AW147" s="128">
        <f t="shared" si="363"/>
        <v>130700</v>
      </c>
      <c r="AX147" s="128">
        <f t="shared" si="358"/>
        <v>130700</v>
      </c>
      <c r="AY147" s="130">
        <f t="shared" si="384"/>
        <v>3.9E-2</v>
      </c>
      <c r="AZ147" s="128">
        <f t="shared" si="385"/>
        <v>131124.77499999999</v>
      </c>
      <c r="BA147" s="128" t="str">
        <f t="shared" si="386"/>
        <v>nie</v>
      </c>
      <c r="BB147" s="128">
        <f t="shared" si="387"/>
        <v>914.9</v>
      </c>
      <c r="BC147" s="128">
        <f t="shared" si="367"/>
        <v>130302.99875</v>
      </c>
      <c r="BD147" s="128">
        <f t="shared" si="388"/>
        <v>344.06774999999533</v>
      </c>
      <c r="BE147" s="130">
        <f t="shared" si="264"/>
        <v>3.5999999999999997E-2</v>
      </c>
      <c r="BF147" s="128">
        <f t="shared" si="389"/>
        <v>2837.1719114319967</v>
      </c>
      <c r="BG147" s="128">
        <f t="shared" si="368"/>
        <v>132796.10291143201</v>
      </c>
      <c r="BI147" s="124">
        <f t="shared" si="332"/>
        <v>104</v>
      </c>
      <c r="BJ147" s="130">
        <f t="shared" si="451"/>
        <v>3.9100000000000003E-2</v>
      </c>
      <c r="BK147" s="127">
        <f t="shared" si="440"/>
        <v>1237</v>
      </c>
      <c r="BL147" s="128">
        <f t="shared" si="441"/>
        <v>123576.3</v>
      </c>
      <c r="BM147" s="128">
        <f t="shared" si="349"/>
        <v>123700</v>
      </c>
      <c r="BN147" s="128">
        <f t="shared" si="442"/>
        <v>134825.08319999999</v>
      </c>
      <c r="BO147" s="130">
        <f t="shared" si="390"/>
        <v>4.3999999999999997E-2</v>
      </c>
      <c r="BP147" s="128">
        <f t="shared" si="391"/>
        <v>138779.9523072</v>
      </c>
      <c r="BQ147" s="128" t="str">
        <f t="shared" si="392"/>
        <v>nie</v>
      </c>
      <c r="BR147" s="128">
        <f t="shared" si="393"/>
        <v>1237</v>
      </c>
      <c r="BS147" s="128">
        <f t="shared" si="364"/>
        <v>134912.791368832</v>
      </c>
      <c r="BT147" s="128">
        <f t="shared" si="443"/>
        <v>0</v>
      </c>
      <c r="BU147" s="130">
        <f t="shared" si="394"/>
        <v>3.5999999999999997E-2</v>
      </c>
      <c r="BV147" s="128">
        <f t="shared" si="271"/>
        <v>142.57096777891644</v>
      </c>
      <c r="BW147" s="128">
        <f t="shared" si="365"/>
        <v>135055.36233661091</v>
      </c>
      <c r="BY147" s="130">
        <f t="shared" si="360"/>
        <v>3.1E-2</v>
      </c>
      <c r="BZ147" s="127">
        <f t="shared" si="444"/>
        <v>1341</v>
      </c>
      <c r="CA147" s="128">
        <f t="shared" si="445"/>
        <v>133979.79999999999</v>
      </c>
      <c r="CB147" s="128">
        <f t="shared" si="366"/>
        <v>134100</v>
      </c>
      <c r="CC147" s="128">
        <f t="shared" si="359"/>
        <v>134100</v>
      </c>
      <c r="CD147" s="130">
        <f t="shared" si="395"/>
        <v>4.7500000000000001E-2</v>
      </c>
      <c r="CE147" s="128">
        <f t="shared" si="396"/>
        <v>138346.5</v>
      </c>
      <c r="CF147" s="128" t="str">
        <f t="shared" si="397"/>
        <v>nie</v>
      </c>
      <c r="CG147" s="128">
        <f t="shared" si="398"/>
        <v>2682</v>
      </c>
      <c r="CH147" s="128">
        <f t="shared" si="369"/>
        <v>135367.245</v>
      </c>
      <c r="CI147" s="128">
        <f t="shared" si="399"/>
        <v>0</v>
      </c>
      <c r="CJ147" s="130">
        <f t="shared" si="277"/>
        <v>3.5999999999999997E-2</v>
      </c>
      <c r="CK147" s="128">
        <f t="shared" si="400"/>
        <v>29.341417322523444</v>
      </c>
      <c r="CL147" s="128">
        <f t="shared" si="401"/>
        <v>135396.58641732251</v>
      </c>
      <c r="CN147" s="127">
        <f t="shared" si="446"/>
        <v>1000</v>
      </c>
      <c r="CO147" s="128">
        <f t="shared" si="447"/>
        <v>100000</v>
      </c>
      <c r="CP147" s="128">
        <f t="shared" si="342"/>
        <v>100000</v>
      </c>
      <c r="CQ147" s="128">
        <f t="shared" si="448"/>
        <v>149229.1111246759</v>
      </c>
      <c r="CR147" s="130">
        <f t="shared" si="402"/>
        <v>5.1000000000000004E-2</v>
      </c>
      <c r="CS147" s="128">
        <f t="shared" si="403"/>
        <v>154302.90090291487</v>
      </c>
      <c r="CT147" s="128" t="str">
        <f t="shared" si="404"/>
        <v>nie</v>
      </c>
      <c r="CU147" s="128">
        <f t="shared" si="405"/>
        <v>3000</v>
      </c>
      <c r="CV147" s="128">
        <f t="shared" si="406"/>
        <v>141555.34973136106</v>
      </c>
      <c r="CW147" s="128">
        <f t="shared" si="285"/>
        <v>0</v>
      </c>
      <c r="CX147" s="130">
        <f t="shared" si="407"/>
        <v>3.5999999999999997E-2</v>
      </c>
      <c r="CY147" s="128">
        <f t="shared" si="408"/>
        <v>0</v>
      </c>
      <c r="CZ147" s="128">
        <f t="shared" si="409"/>
        <v>141555.34973136106</v>
      </c>
      <c r="DA147" s="20"/>
      <c r="DB147" s="127">
        <f t="shared" si="350"/>
        <v>1280</v>
      </c>
      <c r="DC147" s="128">
        <f t="shared" si="351"/>
        <v>128000</v>
      </c>
      <c r="DD147" s="128">
        <f t="shared" si="344"/>
        <v>128000</v>
      </c>
      <c r="DE147" s="128">
        <f t="shared" si="449"/>
        <v>141254.39999999999</v>
      </c>
      <c r="DF147" s="130">
        <f t="shared" si="410"/>
        <v>5.1000000000000004E-2</v>
      </c>
      <c r="DG147" s="128">
        <f t="shared" si="411"/>
        <v>146057.0496</v>
      </c>
      <c r="DH147" s="128" t="str">
        <f t="shared" si="412"/>
        <v>nie</v>
      </c>
      <c r="DI147" s="128">
        <f t="shared" si="413"/>
        <v>2560</v>
      </c>
      <c r="DJ147" s="128">
        <f t="shared" si="355"/>
        <v>140552.61017599999</v>
      </c>
      <c r="DK147" s="128">
        <f t="shared" si="294"/>
        <v>0</v>
      </c>
      <c r="DL147" s="130">
        <f t="shared" si="414"/>
        <v>3.5999999999999997E-2</v>
      </c>
      <c r="DM147" s="128">
        <f t="shared" si="415"/>
        <v>70.926494914936995</v>
      </c>
      <c r="DN147" s="128">
        <f t="shared" si="416"/>
        <v>140623.53667091494</v>
      </c>
      <c r="DP147" s="127">
        <f t="shared" si="352"/>
        <v>1000</v>
      </c>
      <c r="DQ147" s="128">
        <f t="shared" si="353"/>
        <v>100000</v>
      </c>
      <c r="DR147" s="128">
        <f t="shared" si="346"/>
        <v>100000</v>
      </c>
      <c r="DS147" s="128">
        <f t="shared" si="450"/>
        <v>154636.26291603578</v>
      </c>
      <c r="DT147" s="130">
        <f t="shared" si="417"/>
        <v>5.6000000000000001E-2</v>
      </c>
      <c r="DU147" s="128">
        <f t="shared" si="418"/>
        <v>160409.35006490114</v>
      </c>
      <c r="DV147" s="128" t="str">
        <f t="shared" si="419"/>
        <v>nie</v>
      </c>
      <c r="DW147" s="128">
        <f t="shared" si="420"/>
        <v>3000</v>
      </c>
      <c r="DX147" s="128">
        <f t="shared" si="302"/>
        <v>146501.57355256993</v>
      </c>
      <c r="DY147" s="128">
        <f t="shared" si="303"/>
        <v>0</v>
      </c>
      <c r="DZ147" s="130">
        <f t="shared" si="421"/>
        <v>3.5999999999999997E-2</v>
      </c>
      <c r="EA147" s="128">
        <f t="shared" si="422"/>
        <v>0</v>
      </c>
      <c r="EB147" s="128">
        <f t="shared" si="423"/>
        <v>146501.57355256993</v>
      </c>
    </row>
    <row r="148" spans="1:132">
      <c r="A148" s="212"/>
      <c r="B148" s="188">
        <f t="shared" si="424"/>
        <v>104</v>
      </c>
      <c r="C148" s="128">
        <f t="shared" si="425"/>
        <v>133904.1913532262</v>
      </c>
      <c r="D148" s="128">
        <f t="shared" si="426"/>
        <v>132796.10291143201</v>
      </c>
      <c r="E148" s="128">
        <f t="shared" si="427"/>
        <v>135055.36233661091</v>
      </c>
      <c r="F148" s="128">
        <f t="shared" si="428"/>
        <v>135396.58641732251</v>
      </c>
      <c r="G148" s="128">
        <f t="shared" si="429"/>
        <v>141555.34973136106</v>
      </c>
      <c r="H148" s="128">
        <f t="shared" si="430"/>
        <v>140623.53667091494</v>
      </c>
      <c r="I148" s="128">
        <f t="shared" si="431"/>
        <v>146501.57355256993</v>
      </c>
      <c r="J148" s="128">
        <f t="shared" si="432"/>
        <v>128712.80797452373</v>
      </c>
      <c r="K148" s="128">
        <f t="shared" si="433"/>
        <v>130302.65172361647</v>
      </c>
      <c r="M148" s="36"/>
      <c r="N148" s="32">
        <f t="shared" si="434"/>
        <v>104</v>
      </c>
      <c r="O148" s="25">
        <f t="shared" si="318"/>
        <v>0.33904191353226198</v>
      </c>
      <c r="P148" s="25">
        <f t="shared" si="319"/>
        <v>0.32796102911432001</v>
      </c>
      <c r="Q148" s="25">
        <f t="shared" si="320"/>
        <v>0.35055362336610907</v>
      </c>
      <c r="R148" s="25">
        <f t="shared" si="370"/>
        <v>0.35396586417322506</v>
      </c>
      <c r="S148" s="25">
        <f t="shared" si="371"/>
        <v>0.41555349731361058</v>
      </c>
      <c r="T148" s="25">
        <f t="shared" si="372"/>
        <v>0.40623536670914939</v>
      </c>
      <c r="U148" s="25">
        <f t="shared" si="373"/>
        <v>0.46501573552569919</v>
      </c>
      <c r="V148" s="25">
        <f t="shared" si="374"/>
        <v>0.28712807974523735</v>
      </c>
      <c r="W148" s="25">
        <f t="shared" si="375"/>
        <v>0.30302651723616458</v>
      </c>
      <c r="X148" s="36"/>
      <c r="Y148" s="36"/>
      <c r="AA148" s="124">
        <f t="shared" si="321"/>
        <v>105</v>
      </c>
      <c r="AB148" s="128">
        <f t="shared" si="376"/>
        <v>130632.45105439963</v>
      </c>
      <c r="AC148" s="124">
        <f t="shared" si="322"/>
        <v>105</v>
      </c>
      <c r="AD148" s="130">
        <f t="shared" si="435"/>
        <v>3.7499999999999999E-2</v>
      </c>
      <c r="AE148" s="127">
        <f t="shared" si="436"/>
        <v>1317</v>
      </c>
      <c r="AF148" s="128">
        <f t="shared" si="437"/>
        <v>131572.40000000002</v>
      </c>
      <c r="AG148" s="128">
        <f t="shared" si="348"/>
        <v>131700</v>
      </c>
      <c r="AH148" s="128">
        <f t="shared" si="357"/>
        <v>131700</v>
      </c>
      <c r="AI148" s="130">
        <f t="shared" si="377"/>
        <v>3.7499999999999999E-2</v>
      </c>
      <c r="AJ148" s="128">
        <f t="shared" si="378"/>
        <v>132111.5625</v>
      </c>
      <c r="AK148" s="128" t="str">
        <f t="shared" si="379"/>
        <v>nie</v>
      </c>
      <c r="AL148" s="128">
        <f t="shared" si="380"/>
        <v>658.5</v>
      </c>
      <c r="AM148" s="128">
        <f t="shared" si="361"/>
        <v>131499.980625</v>
      </c>
      <c r="AN148" s="128">
        <f t="shared" si="381"/>
        <v>333.36562500000002</v>
      </c>
      <c r="AO148" s="130">
        <f t="shared" si="382"/>
        <v>3.5999999999999997E-2</v>
      </c>
      <c r="AP148" s="128">
        <f t="shared" si="383"/>
        <v>3077.5942887645438</v>
      </c>
      <c r="AQ148" s="128">
        <f t="shared" si="362"/>
        <v>134244.20928876454</v>
      </c>
      <c r="AS148" s="124">
        <f t="shared" si="327"/>
        <v>105</v>
      </c>
      <c r="AT148" s="130">
        <f t="shared" si="328"/>
        <v>3.7499999999999999E-2</v>
      </c>
      <c r="AU148" s="127">
        <f t="shared" si="438"/>
        <v>1307</v>
      </c>
      <c r="AV148" s="128">
        <f t="shared" si="439"/>
        <v>130577.40000000001</v>
      </c>
      <c r="AW148" s="128">
        <f t="shared" si="363"/>
        <v>130700</v>
      </c>
      <c r="AX148" s="128">
        <f t="shared" si="358"/>
        <v>130700</v>
      </c>
      <c r="AY148" s="130">
        <f t="shared" si="384"/>
        <v>3.9E-2</v>
      </c>
      <c r="AZ148" s="128">
        <f t="shared" si="385"/>
        <v>131124.77499999999</v>
      </c>
      <c r="BA148" s="128" t="str">
        <f t="shared" si="386"/>
        <v>nie</v>
      </c>
      <c r="BB148" s="128">
        <f t="shared" si="387"/>
        <v>914.9</v>
      </c>
      <c r="BC148" s="128">
        <f t="shared" si="367"/>
        <v>130302.99875</v>
      </c>
      <c r="BD148" s="128">
        <f t="shared" si="388"/>
        <v>344.06774999999533</v>
      </c>
      <c r="BE148" s="130">
        <f t="shared" si="264"/>
        <v>3.5999999999999997E-2</v>
      </c>
      <c r="BF148" s="128">
        <f t="shared" si="389"/>
        <v>3188.1339891767716</v>
      </c>
      <c r="BG148" s="128">
        <f t="shared" si="368"/>
        <v>133147.06498917678</v>
      </c>
      <c r="BI148" s="124">
        <f t="shared" si="332"/>
        <v>105</v>
      </c>
      <c r="BJ148" s="130">
        <f t="shared" si="451"/>
        <v>3.9100000000000003E-2</v>
      </c>
      <c r="BK148" s="127">
        <f t="shared" si="440"/>
        <v>1237</v>
      </c>
      <c r="BL148" s="128">
        <f t="shared" si="441"/>
        <v>123576.3</v>
      </c>
      <c r="BM148" s="128">
        <f t="shared" si="349"/>
        <v>123700</v>
      </c>
      <c r="BN148" s="128">
        <f t="shared" si="442"/>
        <v>134825.08319999999</v>
      </c>
      <c r="BO148" s="130">
        <f t="shared" si="390"/>
        <v>4.3999999999999997E-2</v>
      </c>
      <c r="BP148" s="128">
        <f t="shared" si="391"/>
        <v>139274.31094559998</v>
      </c>
      <c r="BQ148" s="128" t="str">
        <f t="shared" si="392"/>
        <v>nie</v>
      </c>
      <c r="BR148" s="128">
        <f t="shared" si="393"/>
        <v>1237</v>
      </c>
      <c r="BS148" s="128">
        <f t="shared" si="364"/>
        <v>135313.22186593598</v>
      </c>
      <c r="BT148" s="128">
        <f t="shared" si="443"/>
        <v>0</v>
      </c>
      <c r="BU148" s="130">
        <f t="shared" si="394"/>
        <v>3.5999999999999997E-2</v>
      </c>
      <c r="BV148" s="128">
        <f t="shared" si="271"/>
        <v>142.91741523061918</v>
      </c>
      <c r="BW148" s="128">
        <f t="shared" si="365"/>
        <v>135456.1392811666</v>
      </c>
      <c r="BY148" s="130">
        <f t="shared" si="360"/>
        <v>3.1E-2</v>
      </c>
      <c r="BZ148" s="127">
        <f t="shared" si="444"/>
        <v>1341</v>
      </c>
      <c r="CA148" s="128">
        <f t="shared" si="445"/>
        <v>133979.79999999999</v>
      </c>
      <c r="CB148" s="128">
        <f t="shared" si="366"/>
        <v>134100</v>
      </c>
      <c r="CC148" s="128">
        <f t="shared" si="359"/>
        <v>134100</v>
      </c>
      <c r="CD148" s="130">
        <f t="shared" si="395"/>
        <v>4.7500000000000001E-2</v>
      </c>
      <c r="CE148" s="128">
        <f t="shared" si="396"/>
        <v>138877.3125</v>
      </c>
      <c r="CF148" s="128" t="str">
        <f t="shared" si="397"/>
        <v>nie</v>
      </c>
      <c r="CG148" s="128">
        <f t="shared" si="398"/>
        <v>2682</v>
      </c>
      <c r="CH148" s="128">
        <f t="shared" si="369"/>
        <v>135797.203125</v>
      </c>
      <c r="CI148" s="128">
        <f t="shared" si="399"/>
        <v>0</v>
      </c>
      <c r="CJ148" s="130">
        <f t="shared" si="277"/>
        <v>3.5999999999999997E-2</v>
      </c>
      <c r="CK148" s="128">
        <f t="shared" si="400"/>
        <v>29.412716966617175</v>
      </c>
      <c r="CL148" s="128">
        <f t="shared" si="401"/>
        <v>135826.61584196662</v>
      </c>
      <c r="CN148" s="127">
        <f t="shared" si="446"/>
        <v>1000</v>
      </c>
      <c r="CO148" s="128">
        <f t="shared" si="447"/>
        <v>100000</v>
      </c>
      <c r="CP148" s="128">
        <f t="shared" si="342"/>
        <v>100000</v>
      </c>
      <c r="CQ148" s="128">
        <f t="shared" si="448"/>
        <v>149229.1111246759</v>
      </c>
      <c r="CR148" s="130">
        <f t="shared" si="402"/>
        <v>5.1000000000000004E-2</v>
      </c>
      <c r="CS148" s="128">
        <f t="shared" si="403"/>
        <v>154937.12462519473</v>
      </c>
      <c r="CT148" s="128" t="str">
        <f t="shared" si="404"/>
        <v>nie</v>
      </c>
      <c r="CU148" s="128">
        <f t="shared" si="405"/>
        <v>3000</v>
      </c>
      <c r="CV148" s="128">
        <f t="shared" si="406"/>
        <v>142069.07094640774</v>
      </c>
      <c r="CW148" s="128">
        <f t="shared" si="285"/>
        <v>0</v>
      </c>
      <c r="CX148" s="130">
        <f t="shared" si="407"/>
        <v>3.5999999999999997E-2</v>
      </c>
      <c r="CY148" s="128">
        <f t="shared" si="408"/>
        <v>0</v>
      </c>
      <c r="CZ148" s="128">
        <f t="shared" si="409"/>
        <v>142069.07094640774</v>
      </c>
      <c r="DA148" s="20"/>
      <c r="DB148" s="127">
        <f t="shared" si="350"/>
        <v>1280</v>
      </c>
      <c r="DC148" s="128">
        <f t="shared" si="351"/>
        <v>128000</v>
      </c>
      <c r="DD148" s="128">
        <f t="shared" si="344"/>
        <v>128000</v>
      </c>
      <c r="DE148" s="128">
        <f t="shared" si="449"/>
        <v>141254.39999999999</v>
      </c>
      <c r="DF148" s="130">
        <f t="shared" si="410"/>
        <v>5.1000000000000004E-2</v>
      </c>
      <c r="DG148" s="128">
        <f t="shared" si="411"/>
        <v>146657.38079999998</v>
      </c>
      <c r="DH148" s="128" t="str">
        <f t="shared" si="412"/>
        <v>nie</v>
      </c>
      <c r="DI148" s="128">
        <f t="shared" si="413"/>
        <v>2560</v>
      </c>
      <c r="DJ148" s="128">
        <f t="shared" si="355"/>
        <v>141038.87844799997</v>
      </c>
      <c r="DK148" s="128">
        <f t="shared" si="294"/>
        <v>0</v>
      </c>
      <c r="DL148" s="130">
        <f t="shared" si="414"/>
        <v>3.5999999999999997E-2</v>
      </c>
      <c r="DM148" s="128">
        <f t="shared" si="415"/>
        <v>71.098846297580295</v>
      </c>
      <c r="DN148" s="128">
        <f t="shared" si="416"/>
        <v>141109.97729429757</v>
      </c>
      <c r="DP148" s="127">
        <f t="shared" si="352"/>
        <v>1000</v>
      </c>
      <c r="DQ148" s="128">
        <f t="shared" si="353"/>
        <v>100000</v>
      </c>
      <c r="DR148" s="128">
        <f t="shared" si="346"/>
        <v>100000</v>
      </c>
      <c r="DS148" s="128">
        <f t="shared" si="450"/>
        <v>154636.26291603578</v>
      </c>
      <c r="DT148" s="130">
        <f t="shared" si="417"/>
        <v>5.6000000000000001E-2</v>
      </c>
      <c r="DU148" s="128">
        <f t="shared" si="418"/>
        <v>161130.98595850929</v>
      </c>
      <c r="DV148" s="128" t="str">
        <f t="shared" si="419"/>
        <v>nie</v>
      </c>
      <c r="DW148" s="128">
        <f t="shared" si="420"/>
        <v>3000</v>
      </c>
      <c r="DX148" s="128">
        <f t="shared" si="302"/>
        <v>147086.09862639252</v>
      </c>
      <c r="DY148" s="128">
        <f t="shared" si="303"/>
        <v>0</v>
      </c>
      <c r="DZ148" s="130">
        <f t="shared" si="421"/>
        <v>3.5999999999999997E-2</v>
      </c>
      <c r="EA148" s="128">
        <f t="shared" si="422"/>
        <v>0</v>
      </c>
      <c r="EB148" s="128">
        <f t="shared" si="423"/>
        <v>147086.09862639252</v>
      </c>
    </row>
    <row r="149" spans="1:132">
      <c r="A149" s="212"/>
      <c r="B149" s="188">
        <f t="shared" si="424"/>
        <v>105</v>
      </c>
      <c r="C149" s="128">
        <f t="shared" si="425"/>
        <v>134244.20928876454</v>
      </c>
      <c r="D149" s="128">
        <f t="shared" si="426"/>
        <v>133147.06498917678</v>
      </c>
      <c r="E149" s="128">
        <f t="shared" si="427"/>
        <v>135456.1392811666</v>
      </c>
      <c r="F149" s="128">
        <f t="shared" si="428"/>
        <v>135826.61584196662</v>
      </c>
      <c r="G149" s="128">
        <f t="shared" si="429"/>
        <v>142069.07094640774</v>
      </c>
      <c r="H149" s="128">
        <f t="shared" si="430"/>
        <v>141109.97729429757</v>
      </c>
      <c r="I149" s="128">
        <f t="shared" si="431"/>
        <v>147086.09862639252</v>
      </c>
      <c r="J149" s="128">
        <f t="shared" si="432"/>
        <v>129025.58009790182</v>
      </c>
      <c r="K149" s="128">
        <f t="shared" si="433"/>
        <v>130632.45105439963</v>
      </c>
      <c r="M149" s="36"/>
      <c r="N149" s="32">
        <f t="shared" si="434"/>
        <v>105</v>
      </c>
      <c r="O149" s="25">
        <f t="shared" si="318"/>
        <v>0.34244209288764549</v>
      </c>
      <c r="P149" s="25">
        <f t="shared" si="319"/>
        <v>0.33147064989176789</v>
      </c>
      <c r="Q149" s="25">
        <f t="shared" si="320"/>
        <v>0.35456139281166599</v>
      </c>
      <c r="R149" s="25">
        <f t="shared" si="370"/>
        <v>0.35826615841966625</v>
      </c>
      <c r="S149" s="25">
        <f t="shared" si="371"/>
        <v>0.42069070946407727</v>
      </c>
      <c r="T149" s="25">
        <f t="shared" si="372"/>
        <v>0.41109977294297573</v>
      </c>
      <c r="U149" s="25">
        <f t="shared" si="373"/>
        <v>0.47086098626392525</v>
      </c>
      <c r="V149" s="25">
        <f t="shared" si="374"/>
        <v>0.29025580097901815</v>
      </c>
      <c r="W149" s="25">
        <f t="shared" si="375"/>
        <v>0.30632451054399623</v>
      </c>
      <c r="X149" s="36"/>
      <c r="Y149" s="36"/>
      <c r="AA149" s="124">
        <f t="shared" si="321"/>
        <v>106</v>
      </c>
      <c r="AB149" s="128">
        <f t="shared" si="376"/>
        <v>130962.25038518279</v>
      </c>
      <c r="AC149" s="124">
        <f t="shared" si="322"/>
        <v>106</v>
      </c>
      <c r="AD149" s="130">
        <f t="shared" si="435"/>
        <v>3.7499999999999999E-2</v>
      </c>
      <c r="AE149" s="127">
        <f t="shared" si="436"/>
        <v>1317</v>
      </c>
      <c r="AF149" s="128">
        <f t="shared" si="437"/>
        <v>131572.40000000002</v>
      </c>
      <c r="AG149" s="128">
        <f t="shared" si="348"/>
        <v>131700</v>
      </c>
      <c r="AH149" s="128">
        <f t="shared" si="357"/>
        <v>131700</v>
      </c>
      <c r="AI149" s="130">
        <f t="shared" si="377"/>
        <v>3.7499999999999999E-2</v>
      </c>
      <c r="AJ149" s="128">
        <f t="shared" si="378"/>
        <v>132111.5625</v>
      </c>
      <c r="AK149" s="128" t="str">
        <f t="shared" si="379"/>
        <v>nie</v>
      </c>
      <c r="AL149" s="128">
        <f t="shared" si="380"/>
        <v>658.5</v>
      </c>
      <c r="AM149" s="128">
        <f t="shared" si="361"/>
        <v>131499.980625</v>
      </c>
      <c r="AN149" s="128">
        <f t="shared" si="381"/>
        <v>333.36562500000002</v>
      </c>
      <c r="AO149" s="130">
        <f t="shared" si="382"/>
        <v>3.5999999999999997E-2</v>
      </c>
      <c r="AP149" s="128">
        <f t="shared" si="383"/>
        <v>3418.4384678862411</v>
      </c>
      <c r="AQ149" s="128">
        <f t="shared" si="362"/>
        <v>134585.05346788623</v>
      </c>
      <c r="AS149" s="124">
        <f t="shared" si="327"/>
        <v>106</v>
      </c>
      <c r="AT149" s="130">
        <f t="shared" si="328"/>
        <v>3.7499999999999999E-2</v>
      </c>
      <c r="AU149" s="127">
        <f t="shared" si="438"/>
        <v>1307</v>
      </c>
      <c r="AV149" s="128">
        <f t="shared" si="439"/>
        <v>130577.40000000001</v>
      </c>
      <c r="AW149" s="128">
        <f t="shared" si="363"/>
        <v>130700</v>
      </c>
      <c r="AX149" s="128">
        <f t="shared" si="358"/>
        <v>130700</v>
      </c>
      <c r="AY149" s="130">
        <f t="shared" si="384"/>
        <v>3.9E-2</v>
      </c>
      <c r="AZ149" s="128">
        <f t="shared" si="385"/>
        <v>131124.77499999999</v>
      </c>
      <c r="BA149" s="128" t="str">
        <f t="shared" si="386"/>
        <v>nie</v>
      </c>
      <c r="BB149" s="128">
        <f t="shared" si="387"/>
        <v>914.9</v>
      </c>
      <c r="BC149" s="128">
        <f t="shared" si="367"/>
        <v>130302.99875</v>
      </c>
      <c r="BD149" s="128">
        <f t="shared" si="388"/>
        <v>344.06774999999533</v>
      </c>
      <c r="BE149" s="130">
        <f t="shared" si="264"/>
        <v>3.5999999999999997E-2</v>
      </c>
      <c r="BF149" s="128">
        <f t="shared" si="389"/>
        <v>3539.948904770466</v>
      </c>
      <c r="BG149" s="128">
        <f t="shared" si="368"/>
        <v>133498.87990477047</v>
      </c>
      <c r="BI149" s="124">
        <f t="shared" si="332"/>
        <v>106</v>
      </c>
      <c r="BJ149" s="130">
        <f t="shared" si="451"/>
        <v>3.9100000000000003E-2</v>
      </c>
      <c r="BK149" s="127">
        <f t="shared" si="440"/>
        <v>1237</v>
      </c>
      <c r="BL149" s="128">
        <f t="shared" si="441"/>
        <v>123576.3</v>
      </c>
      <c r="BM149" s="128">
        <f t="shared" si="349"/>
        <v>123700</v>
      </c>
      <c r="BN149" s="128">
        <f t="shared" si="442"/>
        <v>134825.08319999999</v>
      </c>
      <c r="BO149" s="130">
        <f t="shared" si="390"/>
        <v>4.3999999999999997E-2</v>
      </c>
      <c r="BP149" s="128">
        <f t="shared" si="391"/>
        <v>139768.66958399999</v>
      </c>
      <c r="BQ149" s="128" t="str">
        <f t="shared" si="392"/>
        <v>nie</v>
      </c>
      <c r="BR149" s="128">
        <f t="shared" si="393"/>
        <v>1237</v>
      </c>
      <c r="BS149" s="128">
        <f t="shared" si="364"/>
        <v>135713.65236303999</v>
      </c>
      <c r="BT149" s="128">
        <f t="shared" si="443"/>
        <v>0</v>
      </c>
      <c r="BU149" s="130">
        <f t="shared" si="394"/>
        <v>3.5999999999999997E-2</v>
      </c>
      <c r="BV149" s="128">
        <f t="shared" si="271"/>
        <v>143.26470454962958</v>
      </c>
      <c r="BW149" s="128">
        <f t="shared" si="365"/>
        <v>135856.91706758962</v>
      </c>
      <c r="BY149" s="130">
        <f t="shared" si="360"/>
        <v>3.1E-2</v>
      </c>
      <c r="BZ149" s="127">
        <f t="shared" si="444"/>
        <v>1341</v>
      </c>
      <c r="CA149" s="128">
        <f t="shared" si="445"/>
        <v>133979.79999999999</v>
      </c>
      <c r="CB149" s="128">
        <f t="shared" si="366"/>
        <v>134100</v>
      </c>
      <c r="CC149" s="128">
        <f t="shared" si="359"/>
        <v>134100</v>
      </c>
      <c r="CD149" s="130">
        <f t="shared" si="395"/>
        <v>4.7500000000000001E-2</v>
      </c>
      <c r="CE149" s="128">
        <f t="shared" si="396"/>
        <v>139408.125</v>
      </c>
      <c r="CF149" s="128" t="str">
        <f t="shared" si="397"/>
        <v>nie</v>
      </c>
      <c r="CG149" s="128">
        <f t="shared" si="398"/>
        <v>2682</v>
      </c>
      <c r="CH149" s="128">
        <f t="shared" si="369"/>
        <v>136227.16125</v>
      </c>
      <c r="CI149" s="128">
        <f t="shared" si="399"/>
        <v>0</v>
      </c>
      <c r="CJ149" s="130">
        <f t="shared" si="277"/>
        <v>3.5999999999999997E-2</v>
      </c>
      <c r="CK149" s="128">
        <f t="shared" si="400"/>
        <v>29.484189868846052</v>
      </c>
      <c r="CL149" s="128">
        <f t="shared" si="401"/>
        <v>136256.64543986885</v>
      </c>
      <c r="CN149" s="127">
        <f t="shared" si="446"/>
        <v>1000</v>
      </c>
      <c r="CO149" s="128">
        <f t="shared" si="447"/>
        <v>100000</v>
      </c>
      <c r="CP149" s="128">
        <f t="shared" si="342"/>
        <v>100000</v>
      </c>
      <c r="CQ149" s="128">
        <f t="shared" si="448"/>
        <v>149229.1111246759</v>
      </c>
      <c r="CR149" s="130">
        <f t="shared" si="402"/>
        <v>5.1000000000000004E-2</v>
      </c>
      <c r="CS149" s="128">
        <f t="shared" si="403"/>
        <v>155571.34834747462</v>
      </c>
      <c r="CT149" s="128" t="str">
        <f t="shared" si="404"/>
        <v>nie</v>
      </c>
      <c r="CU149" s="128">
        <f t="shared" si="405"/>
        <v>3000</v>
      </c>
      <c r="CV149" s="128">
        <f t="shared" si="406"/>
        <v>142582.79216145445</v>
      </c>
      <c r="CW149" s="128">
        <f t="shared" si="285"/>
        <v>0</v>
      </c>
      <c r="CX149" s="130">
        <f t="shared" si="407"/>
        <v>3.5999999999999997E-2</v>
      </c>
      <c r="CY149" s="128">
        <f t="shared" si="408"/>
        <v>0</v>
      </c>
      <c r="CZ149" s="128">
        <f t="shared" si="409"/>
        <v>142582.79216145445</v>
      </c>
      <c r="DA149" s="20"/>
      <c r="DB149" s="127">
        <f t="shared" si="350"/>
        <v>1280</v>
      </c>
      <c r="DC149" s="128">
        <f t="shared" si="351"/>
        <v>128000</v>
      </c>
      <c r="DD149" s="128">
        <f t="shared" si="344"/>
        <v>128000</v>
      </c>
      <c r="DE149" s="128">
        <f t="shared" si="449"/>
        <v>141254.39999999999</v>
      </c>
      <c r="DF149" s="130">
        <f t="shared" si="410"/>
        <v>5.1000000000000004E-2</v>
      </c>
      <c r="DG149" s="128">
        <f t="shared" si="411"/>
        <v>147257.712</v>
      </c>
      <c r="DH149" s="128" t="str">
        <f t="shared" si="412"/>
        <v>nie</v>
      </c>
      <c r="DI149" s="128">
        <f t="shared" si="413"/>
        <v>2560</v>
      </c>
      <c r="DJ149" s="128">
        <f t="shared" si="355"/>
        <v>141525.14671999999</v>
      </c>
      <c r="DK149" s="128">
        <f t="shared" si="294"/>
        <v>0</v>
      </c>
      <c r="DL149" s="130">
        <f t="shared" si="414"/>
        <v>3.5999999999999997E-2</v>
      </c>
      <c r="DM149" s="128">
        <f t="shared" si="415"/>
        <v>71.271616494083403</v>
      </c>
      <c r="DN149" s="128">
        <f t="shared" si="416"/>
        <v>141596.41833649407</v>
      </c>
      <c r="DP149" s="127">
        <f t="shared" si="352"/>
        <v>1000</v>
      </c>
      <c r="DQ149" s="128">
        <f t="shared" si="353"/>
        <v>100000</v>
      </c>
      <c r="DR149" s="128">
        <f t="shared" si="346"/>
        <v>100000</v>
      </c>
      <c r="DS149" s="128">
        <f t="shared" si="450"/>
        <v>154636.26291603578</v>
      </c>
      <c r="DT149" s="130">
        <f t="shared" si="417"/>
        <v>5.6000000000000001E-2</v>
      </c>
      <c r="DU149" s="128">
        <f t="shared" si="418"/>
        <v>161852.62185211745</v>
      </c>
      <c r="DV149" s="128" t="str">
        <f t="shared" si="419"/>
        <v>nie</v>
      </c>
      <c r="DW149" s="128">
        <f t="shared" si="420"/>
        <v>3000</v>
      </c>
      <c r="DX149" s="128">
        <f t="shared" si="302"/>
        <v>147670.62370021513</v>
      </c>
      <c r="DY149" s="128">
        <f t="shared" si="303"/>
        <v>0</v>
      </c>
      <c r="DZ149" s="130">
        <f t="shared" si="421"/>
        <v>3.5999999999999997E-2</v>
      </c>
      <c r="EA149" s="128">
        <f t="shared" si="422"/>
        <v>0</v>
      </c>
      <c r="EB149" s="128">
        <f t="shared" si="423"/>
        <v>147670.62370021513</v>
      </c>
    </row>
    <row r="150" spans="1:132">
      <c r="A150" s="212"/>
      <c r="B150" s="188">
        <f t="shared" si="424"/>
        <v>106</v>
      </c>
      <c r="C150" s="128">
        <f t="shared" si="425"/>
        <v>134585.05346788623</v>
      </c>
      <c r="D150" s="128">
        <f t="shared" si="426"/>
        <v>133498.87990477047</v>
      </c>
      <c r="E150" s="128">
        <f t="shared" si="427"/>
        <v>135856.91706758962</v>
      </c>
      <c r="F150" s="128">
        <f t="shared" si="428"/>
        <v>136256.64543986885</v>
      </c>
      <c r="G150" s="128">
        <f t="shared" si="429"/>
        <v>142582.79216145445</v>
      </c>
      <c r="H150" s="128">
        <f t="shared" si="430"/>
        <v>141596.41833649407</v>
      </c>
      <c r="I150" s="128">
        <f t="shared" si="431"/>
        <v>147670.62370021513</v>
      </c>
      <c r="J150" s="128">
        <f t="shared" si="432"/>
        <v>129339.11225753972</v>
      </c>
      <c r="K150" s="128">
        <f t="shared" si="433"/>
        <v>130962.25038518279</v>
      </c>
      <c r="M150" s="36"/>
      <c r="N150" s="32">
        <f t="shared" si="434"/>
        <v>106</v>
      </c>
      <c r="O150" s="25">
        <f t="shared" si="318"/>
        <v>0.34585053467886229</v>
      </c>
      <c r="P150" s="25">
        <f t="shared" si="319"/>
        <v>0.33498879904770473</v>
      </c>
      <c r="Q150" s="25">
        <f t="shared" si="320"/>
        <v>0.35856917067589622</v>
      </c>
      <c r="R150" s="25">
        <f t="shared" si="370"/>
        <v>0.36256645439868862</v>
      </c>
      <c r="S150" s="25">
        <f t="shared" si="371"/>
        <v>0.42582792161454441</v>
      </c>
      <c r="T150" s="25">
        <f t="shared" si="372"/>
        <v>0.41596418336494079</v>
      </c>
      <c r="U150" s="25">
        <f t="shared" si="373"/>
        <v>0.47670623700215131</v>
      </c>
      <c r="V150" s="25">
        <f t="shared" si="374"/>
        <v>0.29339112257539712</v>
      </c>
      <c r="W150" s="25">
        <f t="shared" si="375"/>
        <v>0.30962250385182788</v>
      </c>
      <c r="X150" s="36"/>
      <c r="Y150" s="36"/>
      <c r="AA150" s="124">
        <f t="shared" si="321"/>
        <v>107</v>
      </c>
      <c r="AB150" s="128">
        <f t="shared" si="376"/>
        <v>131292.04971596596</v>
      </c>
      <c r="AC150" s="124">
        <f t="shared" si="322"/>
        <v>107</v>
      </c>
      <c r="AD150" s="130">
        <f t="shared" si="435"/>
        <v>3.7499999999999999E-2</v>
      </c>
      <c r="AE150" s="127">
        <f t="shared" si="436"/>
        <v>1317</v>
      </c>
      <c r="AF150" s="128">
        <f t="shared" si="437"/>
        <v>131572.40000000002</v>
      </c>
      <c r="AG150" s="128">
        <f t="shared" si="348"/>
        <v>131700</v>
      </c>
      <c r="AH150" s="128">
        <f t="shared" si="357"/>
        <v>131700</v>
      </c>
      <c r="AI150" s="130">
        <f t="shared" si="377"/>
        <v>3.7499999999999999E-2</v>
      </c>
      <c r="AJ150" s="128">
        <f t="shared" si="378"/>
        <v>132111.5625</v>
      </c>
      <c r="AK150" s="128" t="str">
        <f t="shared" si="379"/>
        <v>nie</v>
      </c>
      <c r="AL150" s="128">
        <f t="shared" si="380"/>
        <v>658.5</v>
      </c>
      <c r="AM150" s="128">
        <f t="shared" si="361"/>
        <v>131499.980625</v>
      </c>
      <c r="AN150" s="128">
        <f t="shared" si="381"/>
        <v>333.36562500000002</v>
      </c>
      <c r="AO150" s="130">
        <f t="shared" si="382"/>
        <v>3.5999999999999997E-2</v>
      </c>
      <c r="AP150" s="128">
        <f t="shared" si="383"/>
        <v>3760.1108983632043</v>
      </c>
      <c r="AQ150" s="128">
        <f t="shared" si="362"/>
        <v>134926.72589836319</v>
      </c>
      <c r="AS150" s="124">
        <f t="shared" si="327"/>
        <v>107</v>
      </c>
      <c r="AT150" s="130">
        <f t="shared" si="328"/>
        <v>3.7499999999999999E-2</v>
      </c>
      <c r="AU150" s="127">
        <f t="shared" si="438"/>
        <v>1307</v>
      </c>
      <c r="AV150" s="128">
        <f t="shared" si="439"/>
        <v>130577.40000000001</v>
      </c>
      <c r="AW150" s="128">
        <f t="shared" si="363"/>
        <v>130700</v>
      </c>
      <c r="AX150" s="128">
        <f t="shared" si="358"/>
        <v>130700</v>
      </c>
      <c r="AY150" s="130">
        <f t="shared" si="384"/>
        <v>3.9E-2</v>
      </c>
      <c r="AZ150" s="128">
        <f t="shared" si="385"/>
        <v>131124.77499999999</v>
      </c>
      <c r="BA150" s="128" t="str">
        <f t="shared" si="386"/>
        <v>nie</v>
      </c>
      <c r="BB150" s="128">
        <f t="shared" si="387"/>
        <v>914.9</v>
      </c>
      <c r="BC150" s="128">
        <f t="shared" si="367"/>
        <v>130302.99875</v>
      </c>
      <c r="BD150" s="128">
        <f t="shared" si="388"/>
        <v>344.06774999999533</v>
      </c>
      <c r="BE150" s="130">
        <f t="shared" si="264"/>
        <v>3.5999999999999997E-2</v>
      </c>
      <c r="BF150" s="128">
        <f t="shared" si="389"/>
        <v>3892.6187306090533</v>
      </c>
      <c r="BG150" s="128">
        <f t="shared" si="368"/>
        <v>133851.54973060905</v>
      </c>
      <c r="BI150" s="124">
        <f t="shared" si="332"/>
        <v>107</v>
      </c>
      <c r="BJ150" s="130">
        <f t="shared" si="451"/>
        <v>3.9100000000000003E-2</v>
      </c>
      <c r="BK150" s="127">
        <f t="shared" si="440"/>
        <v>1237</v>
      </c>
      <c r="BL150" s="128">
        <f t="shared" si="441"/>
        <v>123576.3</v>
      </c>
      <c r="BM150" s="128">
        <f t="shared" si="349"/>
        <v>123700</v>
      </c>
      <c r="BN150" s="128">
        <f t="shared" si="442"/>
        <v>134825.08319999999</v>
      </c>
      <c r="BO150" s="130">
        <f t="shared" si="390"/>
        <v>4.3999999999999997E-2</v>
      </c>
      <c r="BP150" s="128">
        <f t="shared" si="391"/>
        <v>140263.0282224</v>
      </c>
      <c r="BQ150" s="128" t="str">
        <f t="shared" si="392"/>
        <v>nie</v>
      </c>
      <c r="BR150" s="128">
        <f t="shared" si="393"/>
        <v>1237</v>
      </c>
      <c r="BS150" s="128">
        <f t="shared" si="364"/>
        <v>136114.082860144</v>
      </c>
      <c r="BT150" s="128">
        <f t="shared" si="443"/>
        <v>0</v>
      </c>
      <c r="BU150" s="130">
        <f t="shared" si="394"/>
        <v>3.5999999999999997E-2</v>
      </c>
      <c r="BV150" s="128">
        <f t="shared" si="271"/>
        <v>143.61283778168519</v>
      </c>
      <c r="BW150" s="128">
        <f t="shared" si="365"/>
        <v>136257.69569792569</v>
      </c>
      <c r="BY150" s="130">
        <f t="shared" si="360"/>
        <v>3.1E-2</v>
      </c>
      <c r="BZ150" s="127">
        <f t="shared" si="444"/>
        <v>1341</v>
      </c>
      <c r="CA150" s="128">
        <f t="shared" si="445"/>
        <v>133979.79999999999</v>
      </c>
      <c r="CB150" s="128">
        <f t="shared" si="366"/>
        <v>134100</v>
      </c>
      <c r="CC150" s="128">
        <f t="shared" si="359"/>
        <v>134100</v>
      </c>
      <c r="CD150" s="130">
        <f t="shared" si="395"/>
        <v>4.7500000000000001E-2</v>
      </c>
      <c r="CE150" s="128">
        <f t="shared" si="396"/>
        <v>139938.9375</v>
      </c>
      <c r="CF150" s="128" t="str">
        <f t="shared" si="397"/>
        <v>nie</v>
      </c>
      <c r="CG150" s="128">
        <f t="shared" si="398"/>
        <v>2682</v>
      </c>
      <c r="CH150" s="128">
        <f t="shared" si="369"/>
        <v>136657.11937500001</v>
      </c>
      <c r="CI150" s="128">
        <f t="shared" si="399"/>
        <v>0</v>
      </c>
      <c r="CJ150" s="130">
        <f t="shared" si="277"/>
        <v>3.5999999999999997E-2</v>
      </c>
      <c r="CK150" s="128">
        <f t="shared" si="400"/>
        <v>29.555836450227346</v>
      </c>
      <c r="CL150" s="128">
        <f t="shared" si="401"/>
        <v>136686.67521145023</v>
      </c>
      <c r="CN150" s="127">
        <f t="shared" si="446"/>
        <v>1000</v>
      </c>
      <c r="CO150" s="128">
        <f t="shared" si="447"/>
        <v>100000</v>
      </c>
      <c r="CP150" s="128">
        <f t="shared" si="342"/>
        <v>100000</v>
      </c>
      <c r="CQ150" s="128">
        <f t="shared" si="448"/>
        <v>149229.1111246759</v>
      </c>
      <c r="CR150" s="130">
        <f t="shared" si="402"/>
        <v>5.1000000000000004E-2</v>
      </c>
      <c r="CS150" s="128">
        <f t="shared" si="403"/>
        <v>156205.5720697545</v>
      </c>
      <c r="CT150" s="128" t="str">
        <f t="shared" si="404"/>
        <v>nie</v>
      </c>
      <c r="CU150" s="128">
        <f t="shared" si="405"/>
        <v>3000</v>
      </c>
      <c r="CV150" s="128">
        <f t="shared" si="406"/>
        <v>143096.51337650116</v>
      </c>
      <c r="CW150" s="128">
        <f t="shared" si="285"/>
        <v>0</v>
      </c>
      <c r="CX150" s="130">
        <f t="shared" si="407"/>
        <v>3.5999999999999997E-2</v>
      </c>
      <c r="CY150" s="128">
        <f t="shared" si="408"/>
        <v>0</v>
      </c>
      <c r="CZ150" s="128">
        <f t="shared" si="409"/>
        <v>143096.51337650116</v>
      </c>
      <c r="DA150" s="20"/>
      <c r="DB150" s="127">
        <f t="shared" si="350"/>
        <v>1280</v>
      </c>
      <c r="DC150" s="128">
        <f t="shared" si="351"/>
        <v>128000</v>
      </c>
      <c r="DD150" s="128">
        <f t="shared" si="344"/>
        <v>128000</v>
      </c>
      <c r="DE150" s="128">
        <f t="shared" si="449"/>
        <v>141254.39999999999</v>
      </c>
      <c r="DF150" s="130">
        <f t="shared" si="410"/>
        <v>5.1000000000000004E-2</v>
      </c>
      <c r="DG150" s="128">
        <f t="shared" si="411"/>
        <v>147858.04320000001</v>
      </c>
      <c r="DH150" s="128" t="str">
        <f t="shared" si="412"/>
        <v>nie</v>
      </c>
      <c r="DI150" s="128">
        <f t="shared" si="413"/>
        <v>2560</v>
      </c>
      <c r="DJ150" s="128">
        <f t="shared" si="355"/>
        <v>142011.41499200001</v>
      </c>
      <c r="DK150" s="128">
        <f t="shared" si="294"/>
        <v>0</v>
      </c>
      <c r="DL150" s="130">
        <f t="shared" si="414"/>
        <v>3.5999999999999997E-2</v>
      </c>
      <c r="DM150" s="128">
        <f t="shared" si="415"/>
        <v>71.444806522164015</v>
      </c>
      <c r="DN150" s="128">
        <f t="shared" si="416"/>
        <v>142082.85979852217</v>
      </c>
      <c r="DP150" s="127">
        <f t="shared" si="352"/>
        <v>1000</v>
      </c>
      <c r="DQ150" s="128">
        <f t="shared" si="353"/>
        <v>100000</v>
      </c>
      <c r="DR150" s="128">
        <f t="shared" si="346"/>
        <v>100000</v>
      </c>
      <c r="DS150" s="128">
        <f t="shared" si="450"/>
        <v>154636.26291603578</v>
      </c>
      <c r="DT150" s="130">
        <f t="shared" si="417"/>
        <v>5.6000000000000001E-2</v>
      </c>
      <c r="DU150" s="128">
        <f t="shared" si="418"/>
        <v>162574.2577457256</v>
      </c>
      <c r="DV150" s="128" t="str">
        <f t="shared" si="419"/>
        <v>nie</v>
      </c>
      <c r="DW150" s="128">
        <f t="shared" si="420"/>
        <v>3000</v>
      </c>
      <c r="DX150" s="128">
        <f t="shared" si="302"/>
        <v>148255.14877403772</v>
      </c>
      <c r="DY150" s="128">
        <f t="shared" si="303"/>
        <v>0</v>
      </c>
      <c r="DZ150" s="130">
        <f t="shared" si="421"/>
        <v>3.5999999999999997E-2</v>
      </c>
      <c r="EA150" s="128">
        <f t="shared" si="422"/>
        <v>0</v>
      </c>
      <c r="EB150" s="128">
        <f t="shared" si="423"/>
        <v>148255.14877403772</v>
      </c>
    </row>
    <row r="151" spans="1:132" ht="14.25" customHeight="1">
      <c r="A151" s="212"/>
      <c r="B151" s="188">
        <f t="shared" si="424"/>
        <v>107</v>
      </c>
      <c r="C151" s="128">
        <f t="shared" si="425"/>
        <v>134926.72589836319</v>
      </c>
      <c r="D151" s="128">
        <f t="shared" si="426"/>
        <v>133851.54973060905</v>
      </c>
      <c r="E151" s="128">
        <f t="shared" si="427"/>
        <v>136257.69569792569</v>
      </c>
      <c r="F151" s="128">
        <f t="shared" si="428"/>
        <v>136686.67521145023</v>
      </c>
      <c r="G151" s="128">
        <f t="shared" si="429"/>
        <v>143096.51337650116</v>
      </c>
      <c r="H151" s="128">
        <f t="shared" si="430"/>
        <v>142082.85979852217</v>
      </c>
      <c r="I151" s="128">
        <f t="shared" si="431"/>
        <v>148255.14877403772</v>
      </c>
      <c r="J151" s="128">
        <f t="shared" si="432"/>
        <v>129653.40630032553</v>
      </c>
      <c r="K151" s="128">
        <f t="shared" si="433"/>
        <v>131292.04971596596</v>
      </c>
      <c r="M151" s="36"/>
      <c r="N151" s="32">
        <f t="shared" si="434"/>
        <v>107</v>
      </c>
      <c r="O151" s="25">
        <f t="shared" si="318"/>
        <v>0.34926725898363187</v>
      </c>
      <c r="P151" s="25">
        <f t="shared" si="319"/>
        <v>0.33851549730609065</v>
      </c>
      <c r="Q151" s="25">
        <f t="shared" si="320"/>
        <v>0.36257695697925696</v>
      </c>
      <c r="R151" s="25">
        <f t="shared" si="370"/>
        <v>0.36686675211450237</v>
      </c>
      <c r="S151" s="25">
        <f t="shared" si="371"/>
        <v>0.43096513376501155</v>
      </c>
      <c r="T151" s="25">
        <f t="shared" si="372"/>
        <v>0.42082859798522176</v>
      </c>
      <c r="U151" s="25">
        <f t="shared" si="373"/>
        <v>0.48255148774037715</v>
      </c>
      <c r="V151" s="25">
        <f t="shared" si="374"/>
        <v>0.29653406300325535</v>
      </c>
      <c r="W151" s="25">
        <f t="shared" si="375"/>
        <v>0.31292049715965953</v>
      </c>
      <c r="X151" s="36"/>
      <c r="Y151" s="36"/>
      <c r="AA151" s="124">
        <f t="shared" si="321"/>
        <v>108</v>
      </c>
      <c r="AB151" s="128">
        <f t="shared" si="376"/>
        <v>131621.84904674906</v>
      </c>
      <c r="AC151" s="124">
        <f t="shared" si="322"/>
        <v>108</v>
      </c>
      <c r="AD151" s="130">
        <f t="shared" si="435"/>
        <v>3.7499999999999999E-2</v>
      </c>
      <c r="AE151" s="127">
        <f t="shared" si="436"/>
        <v>1317</v>
      </c>
      <c r="AF151" s="128">
        <f t="shared" si="437"/>
        <v>131572.40000000002</v>
      </c>
      <c r="AG151" s="128">
        <f t="shared" si="348"/>
        <v>131700</v>
      </c>
      <c r="AH151" s="128">
        <f t="shared" si="357"/>
        <v>131700</v>
      </c>
      <c r="AI151" s="130">
        <f t="shared" si="377"/>
        <v>3.7499999999999999E-2</v>
      </c>
      <c r="AJ151" s="128">
        <f t="shared" si="378"/>
        <v>132111.5625</v>
      </c>
      <c r="AK151" s="128" t="str">
        <f t="shared" si="379"/>
        <v>tak</v>
      </c>
      <c r="AL151" s="128">
        <f t="shared" si="380"/>
        <v>0</v>
      </c>
      <c r="AM151" s="128">
        <f t="shared" si="361"/>
        <v>132033.36562500001</v>
      </c>
      <c r="AN151" s="128">
        <f t="shared" si="381"/>
        <v>465.56562499999251</v>
      </c>
      <c r="AO151" s="130">
        <f t="shared" si="382"/>
        <v>3.5999999999999997E-2</v>
      </c>
      <c r="AP151" s="128">
        <f t="shared" si="383"/>
        <v>4234.8135928462198</v>
      </c>
      <c r="AQ151" s="128">
        <f t="shared" si="362"/>
        <v>135802.61359284623</v>
      </c>
      <c r="AS151" s="124">
        <f t="shared" si="327"/>
        <v>108</v>
      </c>
      <c r="AT151" s="130">
        <f t="shared" si="328"/>
        <v>3.7499999999999999E-2</v>
      </c>
      <c r="AU151" s="127">
        <f t="shared" si="438"/>
        <v>1307</v>
      </c>
      <c r="AV151" s="128">
        <f t="shared" si="439"/>
        <v>130577.40000000001</v>
      </c>
      <c r="AW151" s="128">
        <f t="shared" si="363"/>
        <v>130700</v>
      </c>
      <c r="AX151" s="128">
        <f t="shared" si="358"/>
        <v>130700</v>
      </c>
      <c r="AY151" s="130">
        <f t="shared" si="384"/>
        <v>3.9E-2</v>
      </c>
      <c r="AZ151" s="128">
        <f t="shared" si="385"/>
        <v>131124.77499999999</v>
      </c>
      <c r="BA151" s="128" t="str">
        <f t="shared" si="386"/>
        <v>nie</v>
      </c>
      <c r="BB151" s="128">
        <f t="shared" si="387"/>
        <v>914.9</v>
      </c>
      <c r="BC151" s="128">
        <f t="shared" si="367"/>
        <v>130302.99875</v>
      </c>
      <c r="BD151" s="128">
        <f t="shared" si="388"/>
        <v>344.06774999999533</v>
      </c>
      <c r="BE151" s="130">
        <f t="shared" si="264"/>
        <v>3.5999999999999997E-2</v>
      </c>
      <c r="BF151" s="128">
        <f t="shared" si="389"/>
        <v>4246.1455441244279</v>
      </c>
      <c r="BG151" s="128">
        <f t="shared" si="368"/>
        <v>134205.07654412443</v>
      </c>
      <c r="BI151" s="124">
        <f t="shared" si="332"/>
        <v>108</v>
      </c>
      <c r="BJ151" s="130">
        <f t="shared" si="451"/>
        <v>3.9100000000000003E-2</v>
      </c>
      <c r="BK151" s="127">
        <f t="shared" si="440"/>
        <v>1237</v>
      </c>
      <c r="BL151" s="128">
        <f t="shared" si="441"/>
        <v>123576.3</v>
      </c>
      <c r="BM151" s="128">
        <f t="shared" si="349"/>
        <v>123700</v>
      </c>
      <c r="BN151" s="128">
        <f t="shared" si="442"/>
        <v>134825.08319999999</v>
      </c>
      <c r="BO151" s="130">
        <f t="shared" si="390"/>
        <v>4.3999999999999997E-2</v>
      </c>
      <c r="BP151" s="128">
        <f t="shared" si="391"/>
        <v>140757.3868608</v>
      </c>
      <c r="BQ151" s="128" t="str">
        <f t="shared" si="392"/>
        <v>tak</v>
      </c>
      <c r="BR151" s="128">
        <f t="shared" si="393"/>
        <v>0</v>
      </c>
      <c r="BS151" s="128">
        <f t="shared" si="364"/>
        <v>137516.48335724801</v>
      </c>
      <c r="BT151" s="128">
        <f t="shared" si="443"/>
        <v>54.083357248018729</v>
      </c>
      <c r="BU151" s="130">
        <f t="shared" si="394"/>
        <v>3.5999999999999997E-2</v>
      </c>
      <c r="BV151" s="128">
        <f t="shared" si="271"/>
        <v>198.04517422551339</v>
      </c>
      <c r="BW151" s="128">
        <f t="shared" si="365"/>
        <v>137660.44517422552</v>
      </c>
      <c r="BY151" s="130">
        <f t="shared" si="360"/>
        <v>3.1E-2</v>
      </c>
      <c r="BZ151" s="127">
        <f t="shared" si="444"/>
        <v>1341</v>
      </c>
      <c r="CA151" s="128">
        <f t="shared" si="445"/>
        <v>133979.79999999999</v>
      </c>
      <c r="CB151" s="128">
        <f t="shared" si="366"/>
        <v>134100</v>
      </c>
      <c r="CC151" s="128">
        <f t="shared" si="359"/>
        <v>134100</v>
      </c>
      <c r="CD151" s="130">
        <f t="shared" si="395"/>
        <v>4.7500000000000001E-2</v>
      </c>
      <c r="CE151" s="128">
        <f t="shared" si="396"/>
        <v>140469.75</v>
      </c>
      <c r="CF151" s="128" t="str">
        <f t="shared" si="397"/>
        <v>nie</v>
      </c>
      <c r="CG151" s="128">
        <f t="shared" si="398"/>
        <v>2682</v>
      </c>
      <c r="CH151" s="128">
        <f t="shared" si="369"/>
        <v>137087.07750000001</v>
      </c>
      <c r="CI151" s="128">
        <f t="shared" si="399"/>
        <v>5159.4975000000004</v>
      </c>
      <c r="CJ151" s="130">
        <f t="shared" si="277"/>
        <v>3.5999999999999997E-2</v>
      </c>
      <c r="CK151" s="128">
        <f t="shared" si="400"/>
        <v>5189.1251571328021</v>
      </c>
      <c r="CL151" s="128">
        <f t="shared" si="401"/>
        <v>137116.70515713282</v>
      </c>
      <c r="CN151" s="127">
        <f t="shared" si="446"/>
        <v>1000</v>
      </c>
      <c r="CO151" s="128">
        <f t="shared" si="447"/>
        <v>100000</v>
      </c>
      <c r="CP151" s="128">
        <f t="shared" si="342"/>
        <v>100000</v>
      </c>
      <c r="CQ151" s="128">
        <f t="shared" si="448"/>
        <v>149229.1111246759</v>
      </c>
      <c r="CR151" s="130">
        <f t="shared" si="402"/>
        <v>5.1000000000000004E-2</v>
      </c>
      <c r="CS151" s="128">
        <f t="shared" si="403"/>
        <v>156839.79579203436</v>
      </c>
      <c r="CT151" s="128" t="str">
        <f t="shared" si="404"/>
        <v>nie</v>
      </c>
      <c r="CU151" s="128">
        <f t="shared" si="405"/>
        <v>3000</v>
      </c>
      <c r="CV151" s="128">
        <f t="shared" si="406"/>
        <v>143610.23459154784</v>
      </c>
      <c r="CW151" s="128">
        <f t="shared" si="285"/>
        <v>0</v>
      </c>
      <c r="CX151" s="130">
        <f t="shared" si="407"/>
        <v>3.5999999999999997E-2</v>
      </c>
      <c r="CY151" s="128">
        <f t="shared" si="408"/>
        <v>0</v>
      </c>
      <c r="CZ151" s="128">
        <f t="shared" si="409"/>
        <v>143610.23459154784</v>
      </c>
      <c r="DA151" s="20"/>
      <c r="DB151" s="127">
        <f t="shared" si="350"/>
        <v>1280</v>
      </c>
      <c r="DC151" s="128">
        <f t="shared" si="351"/>
        <v>128000</v>
      </c>
      <c r="DD151" s="128">
        <f t="shared" si="344"/>
        <v>128000</v>
      </c>
      <c r="DE151" s="128">
        <f t="shared" si="449"/>
        <v>141254.39999999999</v>
      </c>
      <c r="DF151" s="130">
        <f t="shared" si="410"/>
        <v>5.1000000000000004E-2</v>
      </c>
      <c r="DG151" s="128">
        <f t="shared" si="411"/>
        <v>148458.37439999997</v>
      </c>
      <c r="DH151" s="128" t="str">
        <f t="shared" si="412"/>
        <v>nie</v>
      </c>
      <c r="DI151" s="128">
        <f t="shared" si="413"/>
        <v>2560</v>
      </c>
      <c r="DJ151" s="128">
        <f t="shared" si="355"/>
        <v>142497.68326399996</v>
      </c>
      <c r="DK151" s="128">
        <f t="shared" si="294"/>
        <v>0</v>
      </c>
      <c r="DL151" s="130">
        <f t="shared" si="414"/>
        <v>3.5999999999999997E-2</v>
      </c>
      <c r="DM151" s="128">
        <f t="shared" si="415"/>
        <v>71.618417402012867</v>
      </c>
      <c r="DN151" s="128">
        <f t="shared" si="416"/>
        <v>142569.30168140196</v>
      </c>
      <c r="DP151" s="127">
        <f t="shared" si="352"/>
        <v>1000</v>
      </c>
      <c r="DQ151" s="128">
        <f t="shared" si="353"/>
        <v>100000</v>
      </c>
      <c r="DR151" s="128">
        <f t="shared" si="346"/>
        <v>100000</v>
      </c>
      <c r="DS151" s="128">
        <f t="shared" si="450"/>
        <v>154636.26291603578</v>
      </c>
      <c r="DT151" s="130">
        <f t="shared" si="417"/>
        <v>5.6000000000000001E-2</v>
      </c>
      <c r="DU151" s="128">
        <f t="shared" si="418"/>
        <v>163295.89363933378</v>
      </c>
      <c r="DV151" s="128" t="str">
        <f t="shared" si="419"/>
        <v>nie</v>
      </c>
      <c r="DW151" s="128">
        <f t="shared" si="420"/>
        <v>3000</v>
      </c>
      <c r="DX151" s="128">
        <f t="shared" si="302"/>
        <v>148839.67384786037</v>
      </c>
      <c r="DY151" s="128">
        <f t="shared" si="303"/>
        <v>0</v>
      </c>
      <c r="DZ151" s="130">
        <f t="shared" si="421"/>
        <v>3.5999999999999997E-2</v>
      </c>
      <c r="EA151" s="128">
        <f t="shared" si="422"/>
        <v>0</v>
      </c>
      <c r="EB151" s="128">
        <f t="shared" si="423"/>
        <v>148839.67384786037</v>
      </c>
    </row>
    <row r="152" spans="1:132">
      <c r="A152" s="212"/>
      <c r="B152" s="188">
        <f t="shared" si="424"/>
        <v>108</v>
      </c>
      <c r="C152" s="128">
        <f t="shared" si="425"/>
        <v>135802.61359284623</v>
      </c>
      <c r="D152" s="128">
        <f t="shared" si="426"/>
        <v>134205.07654412443</v>
      </c>
      <c r="E152" s="128">
        <f t="shared" si="427"/>
        <v>137660.44517422552</v>
      </c>
      <c r="F152" s="128">
        <f t="shared" si="428"/>
        <v>137116.70515713282</v>
      </c>
      <c r="G152" s="128">
        <f t="shared" si="429"/>
        <v>143610.23459154784</v>
      </c>
      <c r="H152" s="128">
        <f t="shared" si="430"/>
        <v>142569.30168140196</v>
      </c>
      <c r="I152" s="128">
        <f t="shared" si="431"/>
        <v>148839.67384786037</v>
      </c>
      <c r="J152" s="128">
        <f t="shared" si="432"/>
        <v>129968.4640776353</v>
      </c>
      <c r="K152" s="128">
        <f t="shared" si="433"/>
        <v>131621.84904674906</v>
      </c>
      <c r="M152" s="36"/>
      <c r="N152" s="32">
        <f t="shared" si="434"/>
        <v>108</v>
      </c>
      <c r="O152" s="25">
        <f t="shared" si="318"/>
        <v>0.35802613592846222</v>
      </c>
      <c r="P152" s="25">
        <f t="shared" si="319"/>
        <v>0.34205076544124435</v>
      </c>
      <c r="Q152" s="25">
        <f t="shared" si="320"/>
        <v>0.3766044517422551</v>
      </c>
      <c r="R152" s="25">
        <f t="shared" si="370"/>
        <v>0.37116705157132812</v>
      </c>
      <c r="S152" s="25">
        <f t="shared" si="371"/>
        <v>0.43610234591547847</v>
      </c>
      <c r="T152" s="25">
        <f t="shared" si="372"/>
        <v>0.42569301681401961</v>
      </c>
      <c r="U152" s="25">
        <f t="shared" si="373"/>
        <v>0.48839673847860365</v>
      </c>
      <c r="V152" s="25">
        <f t="shared" si="374"/>
        <v>0.29968464077635315</v>
      </c>
      <c r="W152" s="25">
        <f t="shared" si="375"/>
        <v>0.31621849046749073</v>
      </c>
      <c r="X152" s="36"/>
      <c r="Y152" s="36"/>
      <c r="AA152" s="124">
        <f t="shared" si="321"/>
        <v>109</v>
      </c>
      <c r="AB152" s="128">
        <f t="shared" si="376"/>
        <v>131961.8721567865</v>
      </c>
      <c r="AC152" s="124">
        <f t="shared" si="322"/>
        <v>109</v>
      </c>
      <c r="AD152" s="130">
        <f t="shared" si="435"/>
        <v>3.7499999999999999E-2</v>
      </c>
      <c r="AE152" s="127">
        <f t="shared" si="436"/>
        <v>1363</v>
      </c>
      <c r="AF152" s="128">
        <f t="shared" si="437"/>
        <v>136167.9</v>
      </c>
      <c r="AG152" s="128">
        <f t="shared" si="348"/>
        <v>136300</v>
      </c>
      <c r="AH152" s="128">
        <f t="shared" si="357"/>
        <v>136300</v>
      </c>
      <c r="AI152" s="130">
        <f t="shared" si="377"/>
        <v>0.04</v>
      </c>
      <c r="AJ152" s="128">
        <f t="shared" si="378"/>
        <v>136754.33333333334</v>
      </c>
      <c r="AK152" s="128" t="str">
        <f t="shared" si="379"/>
        <v>nie</v>
      </c>
      <c r="AL152" s="128">
        <f t="shared" si="380"/>
        <v>454.33333333334303</v>
      </c>
      <c r="AM152" s="128">
        <f t="shared" si="361"/>
        <v>136300</v>
      </c>
      <c r="AN152" s="128">
        <f t="shared" si="381"/>
        <v>368.01000000000789</v>
      </c>
      <c r="AO152" s="130">
        <f t="shared" si="382"/>
        <v>3.5999999999999997E-2</v>
      </c>
      <c r="AP152" s="128">
        <f t="shared" si="383"/>
        <v>402.90818987684395</v>
      </c>
      <c r="AQ152" s="128">
        <f t="shared" si="362"/>
        <v>140545.10418987685</v>
      </c>
      <c r="AS152" s="124">
        <f t="shared" si="327"/>
        <v>109</v>
      </c>
      <c r="AT152" s="130">
        <f t="shared" si="328"/>
        <v>3.7499999999999999E-2</v>
      </c>
      <c r="AU152" s="127">
        <f t="shared" si="438"/>
        <v>1307</v>
      </c>
      <c r="AV152" s="128">
        <f t="shared" si="439"/>
        <v>130577.40000000001</v>
      </c>
      <c r="AW152" s="128">
        <f t="shared" si="363"/>
        <v>130700</v>
      </c>
      <c r="AX152" s="128">
        <f t="shared" si="358"/>
        <v>130700</v>
      </c>
      <c r="AY152" s="130">
        <f t="shared" si="384"/>
        <v>3.9E-2</v>
      </c>
      <c r="AZ152" s="128">
        <f t="shared" si="385"/>
        <v>131124.77499999999</v>
      </c>
      <c r="BA152" s="128" t="str">
        <f t="shared" si="386"/>
        <v>nie</v>
      </c>
      <c r="BB152" s="128">
        <f t="shared" si="387"/>
        <v>914.9</v>
      </c>
      <c r="BC152" s="128">
        <f t="shared" si="367"/>
        <v>130302.99875</v>
      </c>
      <c r="BD152" s="128">
        <f t="shared" si="388"/>
        <v>344.06774999999533</v>
      </c>
      <c r="BE152" s="130">
        <f t="shared" si="264"/>
        <v>3.5999999999999997E-2</v>
      </c>
      <c r="BF152" s="128">
        <f t="shared" si="389"/>
        <v>4600.5314277966454</v>
      </c>
      <c r="BG152" s="128">
        <f t="shared" si="368"/>
        <v>134559.46242779665</v>
      </c>
      <c r="BI152" s="124">
        <f t="shared" si="332"/>
        <v>109</v>
      </c>
      <c r="BJ152" s="130">
        <f t="shared" si="451"/>
        <v>3.9100000000000003E-2</v>
      </c>
      <c r="BK152" s="127">
        <f t="shared" si="440"/>
        <v>1376</v>
      </c>
      <c r="BL152" s="128">
        <f t="shared" si="441"/>
        <v>137462.39999999999</v>
      </c>
      <c r="BM152" s="128">
        <f t="shared" si="349"/>
        <v>137600</v>
      </c>
      <c r="BN152" s="128">
        <f t="shared" si="442"/>
        <v>137600</v>
      </c>
      <c r="BO152" s="130">
        <f t="shared" si="390"/>
        <v>4.3999999999999997E-2</v>
      </c>
      <c r="BP152" s="128">
        <f t="shared" si="391"/>
        <v>138104.53333333333</v>
      </c>
      <c r="BQ152" s="128" t="str">
        <f t="shared" si="392"/>
        <v>nie</v>
      </c>
      <c r="BR152" s="128">
        <f t="shared" si="393"/>
        <v>504.53333333332557</v>
      </c>
      <c r="BS152" s="128">
        <f t="shared" si="364"/>
        <v>137600</v>
      </c>
      <c r="BT152" s="128">
        <f t="shared" si="443"/>
        <v>0</v>
      </c>
      <c r="BU152" s="130">
        <f t="shared" si="394"/>
        <v>3.5999999999999997E-2</v>
      </c>
      <c r="BV152" s="128">
        <f t="shared" si="271"/>
        <v>198.52642399888137</v>
      </c>
      <c r="BW152" s="128">
        <f t="shared" si="365"/>
        <v>137798.52642399888</v>
      </c>
      <c r="BY152" s="130">
        <f t="shared" ref="BY152:BY187" si="452">MAX(INDEX(scenariusz_I_inflacja,MATCH(ROUNDUP(AA152/12,0)-1,scenariusz_I_rok,0)),0)</f>
        <v>3.1E-2</v>
      </c>
      <c r="BZ152" s="127">
        <f t="shared" si="444"/>
        <v>1341</v>
      </c>
      <c r="CA152" s="128">
        <f t="shared" si="445"/>
        <v>133979.79999999999</v>
      </c>
      <c r="CB152" s="128">
        <f t="shared" si="366"/>
        <v>134100</v>
      </c>
      <c r="CC152" s="128">
        <f t="shared" si="359"/>
        <v>134100</v>
      </c>
      <c r="CD152" s="130">
        <f t="shared" si="395"/>
        <v>4.5999999999999999E-2</v>
      </c>
      <c r="CE152" s="128">
        <f t="shared" si="396"/>
        <v>134614.05000000002</v>
      </c>
      <c r="CF152" s="128" t="str">
        <f t="shared" si="397"/>
        <v>nie</v>
      </c>
      <c r="CG152" s="128">
        <f t="shared" si="398"/>
        <v>2682</v>
      </c>
      <c r="CH152" s="128">
        <f t="shared" si="369"/>
        <v>132343.96050000002</v>
      </c>
      <c r="CI152" s="128">
        <f t="shared" si="399"/>
        <v>0</v>
      </c>
      <c r="CJ152" s="130">
        <f t="shared" si="277"/>
        <v>3.5999999999999997E-2</v>
      </c>
      <c r="CK152" s="128">
        <f t="shared" si="400"/>
        <v>5201.7347312646343</v>
      </c>
      <c r="CL152" s="128">
        <f t="shared" si="401"/>
        <v>137545.69523126466</v>
      </c>
      <c r="CN152" s="127">
        <f t="shared" si="446"/>
        <v>1000</v>
      </c>
      <c r="CO152" s="128">
        <f t="shared" si="447"/>
        <v>100000</v>
      </c>
      <c r="CP152" s="128">
        <f t="shared" si="342"/>
        <v>100000</v>
      </c>
      <c r="CQ152" s="128">
        <f t="shared" si="448"/>
        <v>156839.79579203436</v>
      </c>
      <c r="CR152" s="130">
        <f t="shared" si="402"/>
        <v>5.1000000000000004E-2</v>
      </c>
      <c r="CS152" s="128">
        <f t="shared" si="403"/>
        <v>157506.36492415052</v>
      </c>
      <c r="CT152" s="128" t="str">
        <f t="shared" si="404"/>
        <v>nie</v>
      </c>
      <c r="CU152" s="128">
        <f t="shared" si="405"/>
        <v>3000</v>
      </c>
      <c r="CV152" s="128">
        <f t="shared" si="406"/>
        <v>144150.15558856193</v>
      </c>
      <c r="CW152" s="128">
        <f t="shared" si="285"/>
        <v>0</v>
      </c>
      <c r="CX152" s="130">
        <f t="shared" si="407"/>
        <v>3.5999999999999997E-2</v>
      </c>
      <c r="CY152" s="128">
        <f t="shared" si="408"/>
        <v>0</v>
      </c>
      <c r="CZ152" s="128">
        <f t="shared" si="409"/>
        <v>144150.15558856193</v>
      </c>
      <c r="DA152" s="20"/>
      <c r="DB152" s="127">
        <f t="shared" si="350"/>
        <v>1280</v>
      </c>
      <c r="DC152" s="128">
        <f t="shared" si="351"/>
        <v>128000</v>
      </c>
      <c r="DD152" s="128">
        <f t="shared" si="344"/>
        <v>128000</v>
      </c>
      <c r="DE152" s="128">
        <f t="shared" si="449"/>
        <v>148458.37439999997</v>
      </c>
      <c r="DF152" s="130">
        <f t="shared" si="410"/>
        <v>5.1000000000000004E-2</v>
      </c>
      <c r="DG152" s="128">
        <f t="shared" si="411"/>
        <v>149089.32249119997</v>
      </c>
      <c r="DH152" s="128" t="str">
        <f t="shared" si="412"/>
        <v>nie</v>
      </c>
      <c r="DI152" s="128">
        <f t="shared" si="413"/>
        <v>2560</v>
      </c>
      <c r="DJ152" s="128">
        <f t="shared" si="355"/>
        <v>143008.75121787196</v>
      </c>
      <c r="DK152" s="128">
        <f t="shared" si="294"/>
        <v>0</v>
      </c>
      <c r="DL152" s="130">
        <f t="shared" si="414"/>
        <v>3.5999999999999997E-2</v>
      </c>
      <c r="DM152" s="128">
        <f t="shared" si="415"/>
        <v>71.792450156299751</v>
      </c>
      <c r="DN152" s="128">
        <f t="shared" si="416"/>
        <v>143080.54366802826</v>
      </c>
      <c r="DP152" s="127">
        <f t="shared" si="352"/>
        <v>1000</v>
      </c>
      <c r="DQ152" s="128">
        <f t="shared" si="353"/>
        <v>100000</v>
      </c>
      <c r="DR152" s="128">
        <f t="shared" si="346"/>
        <v>100000</v>
      </c>
      <c r="DS152" s="128">
        <f t="shared" si="450"/>
        <v>163295.89363933378</v>
      </c>
      <c r="DT152" s="130">
        <f t="shared" si="417"/>
        <v>5.6000000000000001E-2</v>
      </c>
      <c r="DU152" s="128">
        <f t="shared" si="418"/>
        <v>164057.941142984</v>
      </c>
      <c r="DV152" s="128" t="str">
        <f t="shared" si="419"/>
        <v>nie</v>
      </c>
      <c r="DW152" s="128">
        <f t="shared" si="420"/>
        <v>3000</v>
      </c>
      <c r="DX152" s="128">
        <f t="shared" si="302"/>
        <v>149456.93232581703</v>
      </c>
      <c r="DY152" s="128">
        <f t="shared" si="303"/>
        <v>0</v>
      </c>
      <c r="DZ152" s="130">
        <f t="shared" si="421"/>
        <v>3.5999999999999997E-2</v>
      </c>
      <c r="EA152" s="128">
        <f t="shared" si="422"/>
        <v>0</v>
      </c>
      <c r="EB152" s="128">
        <f t="shared" si="423"/>
        <v>149456.93232581703</v>
      </c>
    </row>
    <row r="153" spans="1:132">
      <c r="A153" s="212">
        <f>ROUNDUP(B164/12,0)</f>
        <v>10</v>
      </c>
      <c r="B153" s="188">
        <f t="shared" si="424"/>
        <v>109</v>
      </c>
      <c r="C153" s="128">
        <f t="shared" si="425"/>
        <v>140545.10418987685</v>
      </c>
      <c r="D153" s="128">
        <f t="shared" si="426"/>
        <v>134559.46242779665</v>
      </c>
      <c r="E153" s="128">
        <f t="shared" si="427"/>
        <v>137798.52642399888</v>
      </c>
      <c r="F153" s="128">
        <f t="shared" si="428"/>
        <v>137545.69523126466</v>
      </c>
      <c r="G153" s="128">
        <f t="shared" si="429"/>
        <v>144150.15558856193</v>
      </c>
      <c r="H153" s="128">
        <f t="shared" si="430"/>
        <v>143080.54366802826</v>
      </c>
      <c r="I153" s="128">
        <f t="shared" si="431"/>
        <v>149456.93232581703</v>
      </c>
      <c r="J153" s="128">
        <f t="shared" si="432"/>
        <v>130284.28744534394</v>
      </c>
      <c r="K153" s="128">
        <f t="shared" si="433"/>
        <v>131961.8721567865</v>
      </c>
      <c r="M153" s="36"/>
      <c r="N153" s="32">
        <f t="shared" si="434"/>
        <v>109</v>
      </c>
      <c r="O153" s="25">
        <f t="shared" si="318"/>
        <v>0.40545104189876846</v>
      </c>
      <c r="P153" s="25">
        <f t="shared" si="319"/>
        <v>0.34559462427796661</v>
      </c>
      <c r="Q153" s="25">
        <f t="shared" si="320"/>
        <v>0.37798526423998879</v>
      </c>
      <c r="R153" s="25">
        <f t="shared" si="370"/>
        <v>0.37545695231264653</v>
      </c>
      <c r="S153" s="25">
        <f t="shared" si="371"/>
        <v>0.44150155588561923</v>
      </c>
      <c r="T153" s="25">
        <f t="shared" si="372"/>
        <v>0.43080543668028248</v>
      </c>
      <c r="U153" s="25">
        <f t="shared" si="373"/>
        <v>0.49456932325817027</v>
      </c>
      <c r="V153" s="25">
        <f t="shared" si="374"/>
        <v>0.30284287445343949</v>
      </c>
      <c r="W153" s="25">
        <f t="shared" si="375"/>
        <v>0.31961872156786497</v>
      </c>
      <c r="X153" s="36"/>
      <c r="Y153" s="36"/>
      <c r="AA153" s="124">
        <f t="shared" si="321"/>
        <v>110</v>
      </c>
      <c r="AB153" s="128">
        <f t="shared" si="376"/>
        <v>132301.89526682394</v>
      </c>
      <c r="AC153" s="124">
        <f t="shared" si="322"/>
        <v>110</v>
      </c>
      <c r="AD153" s="130">
        <f t="shared" si="435"/>
        <v>3.7499999999999999E-2</v>
      </c>
      <c r="AE153" s="127">
        <f t="shared" si="436"/>
        <v>1363</v>
      </c>
      <c r="AF153" s="128">
        <f t="shared" si="437"/>
        <v>136167.9</v>
      </c>
      <c r="AG153" s="128">
        <f t="shared" si="348"/>
        <v>136300</v>
      </c>
      <c r="AH153" s="128">
        <f t="shared" si="357"/>
        <v>136300</v>
      </c>
      <c r="AI153" s="130">
        <f t="shared" si="377"/>
        <v>3.7499999999999999E-2</v>
      </c>
      <c r="AJ153" s="128">
        <f t="shared" si="378"/>
        <v>136725.9375</v>
      </c>
      <c r="AK153" s="128" t="str">
        <f t="shared" si="379"/>
        <v>nie</v>
      </c>
      <c r="AL153" s="128">
        <f t="shared" si="380"/>
        <v>681.5</v>
      </c>
      <c r="AM153" s="128">
        <f t="shared" si="361"/>
        <v>136092.99437500001</v>
      </c>
      <c r="AN153" s="128">
        <f t="shared" si="381"/>
        <v>345.00937500000003</v>
      </c>
      <c r="AO153" s="130">
        <f t="shared" si="382"/>
        <v>3.5999999999999997E-2</v>
      </c>
      <c r="AP153" s="128">
        <f t="shared" si="383"/>
        <v>748.89663177824468</v>
      </c>
      <c r="AQ153" s="128">
        <f t="shared" si="362"/>
        <v>136496.88163177826</v>
      </c>
      <c r="AS153" s="124">
        <f t="shared" si="327"/>
        <v>110</v>
      </c>
      <c r="AT153" s="130">
        <f t="shared" si="328"/>
        <v>3.7499999999999999E-2</v>
      </c>
      <c r="AU153" s="127">
        <f t="shared" si="438"/>
        <v>1307</v>
      </c>
      <c r="AV153" s="128">
        <f t="shared" si="439"/>
        <v>130577.40000000001</v>
      </c>
      <c r="AW153" s="128">
        <f t="shared" si="363"/>
        <v>130700</v>
      </c>
      <c r="AX153" s="128">
        <f t="shared" si="358"/>
        <v>130700</v>
      </c>
      <c r="AY153" s="130">
        <f t="shared" si="384"/>
        <v>3.9E-2</v>
      </c>
      <c r="AZ153" s="128">
        <f t="shared" si="385"/>
        <v>131124.77499999999</v>
      </c>
      <c r="BA153" s="128" t="str">
        <f t="shared" si="386"/>
        <v>nie</v>
      </c>
      <c r="BB153" s="128">
        <f t="shared" si="387"/>
        <v>914.9</v>
      </c>
      <c r="BC153" s="128">
        <f t="shared" si="367"/>
        <v>130302.99875</v>
      </c>
      <c r="BD153" s="128">
        <f t="shared" si="388"/>
        <v>344.06774999999533</v>
      </c>
      <c r="BE153" s="130">
        <f t="shared" si="264"/>
        <v>3.5999999999999997E-2</v>
      </c>
      <c r="BF153" s="128">
        <f t="shared" si="389"/>
        <v>4955.7784691661864</v>
      </c>
      <c r="BG153" s="128">
        <f t="shared" si="368"/>
        <v>134914.70946916618</v>
      </c>
      <c r="BI153" s="124">
        <f t="shared" si="332"/>
        <v>110</v>
      </c>
      <c r="BJ153" s="130">
        <f t="shared" si="451"/>
        <v>3.9100000000000003E-2</v>
      </c>
      <c r="BK153" s="127">
        <f t="shared" si="440"/>
        <v>1376</v>
      </c>
      <c r="BL153" s="128">
        <f t="shared" si="441"/>
        <v>137462.39999999999</v>
      </c>
      <c r="BM153" s="128">
        <f t="shared" si="349"/>
        <v>137600</v>
      </c>
      <c r="BN153" s="128">
        <f t="shared" si="442"/>
        <v>137600</v>
      </c>
      <c r="BO153" s="130">
        <f t="shared" si="390"/>
        <v>4.3999999999999997E-2</v>
      </c>
      <c r="BP153" s="128">
        <f t="shared" si="391"/>
        <v>138609.06666666668</v>
      </c>
      <c r="BQ153" s="128" t="str">
        <f t="shared" si="392"/>
        <v>nie</v>
      </c>
      <c r="BR153" s="128">
        <f t="shared" si="393"/>
        <v>1009.0666666666802</v>
      </c>
      <c r="BS153" s="128">
        <f t="shared" si="364"/>
        <v>137600</v>
      </c>
      <c r="BT153" s="128">
        <f t="shared" si="443"/>
        <v>0</v>
      </c>
      <c r="BU153" s="130">
        <f t="shared" si="394"/>
        <v>3.5999999999999997E-2</v>
      </c>
      <c r="BV153" s="128">
        <f t="shared" si="271"/>
        <v>199.00884320919863</v>
      </c>
      <c r="BW153" s="128">
        <f t="shared" si="365"/>
        <v>137799.00884320919</v>
      </c>
      <c r="BY153" s="130">
        <f t="shared" si="452"/>
        <v>3.1E-2</v>
      </c>
      <c r="BZ153" s="127">
        <f t="shared" si="444"/>
        <v>1341</v>
      </c>
      <c r="CA153" s="128">
        <f t="shared" si="445"/>
        <v>133979.79999999999</v>
      </c>
      <c r="CB153" s="128">
        <f t="shared" si="366"/>
        <v>134100</v>
      </c>
      <c r="CC153" s="128">
        <f t="shared" si="359"/>
        <v>134100</v>
      </c>
      <c r="CD153" s="130">
        <f t="shared" si="395"/>
        <v>4.5999999999999999E-2</v>
      </c>
      <c r="CE153" s="128">
        <f t="shared" si="396"/>
        <v>135128.1</v>
      </c>
      <c r="CF153" s="128" t="str">
        <f t="shared" si="397"/>
        <v>nie</v>
      </c>
      <c r="CG153" s="128">
        <f t="shared" si="398"/>
        <v>2682</v>
      </c>
      <c r="CH153" s="128">
        <f t="shared" si="369"/>
        <v>132760.34100000001</v>
      </c>
      <c r="CI153" s="128">
        <f t="shared" si="399"/>
        <v>0</v>
      </c>
      <c r="CJ153" s="130">
        <f t="shared" si="277"/>
        <v>3.5999999999999997E-2</v>
      </c>
      <c r="CK153" s="128">
        <f t="shared" si="400"/>
        <v>5214.3749466616073</v>
      </c>
      <c r="CL153" s="128">
        <f t="shared" si="401"/>
        <v>137974.71594666163</v>
      </c>
      <c r="CN153" s="127">
        <f t="shared" si="446"/>
        <v>1000</v>
      </c>
      <c r="CO153" s="128">
        <f t="shared" si="447"/>
        <v>100000</v>
      </c>
      <c r="CP153" s="128">
        <f t="shared" si="342"/>
        <v>100000</v>
      </c>
      <c r="CQ153" s="128">
        <f t="shared" si="448"/>
        <v>156839.79579203436</v>
      </c>
      <c r="CR153" s="130">
        <f t="shared" si="402"/>
        <v>5.1000000000000004E-2</v>
      </c>
      <c r="CS153" s="128">
        <f t="shared" si="403"/>
        <v>158172.93405626665</v>
      </c>
      <c r="CT153" s="128" t="str">
        <f t="shared" si="404"/>
        <v>nie</v>
      </c>
      <c r="CU153" s="128">
        <f t="shared" si="405"/>
        <v>3000</v>
      </c>
      <c r="CV153" s="128">
        <f t="shared" si="406"/>
        <v>144690.076585576</v>
      </c>
      <c r="CW153" s="128">
        <f t="shared" si="285"/>
        <v>0</v>
      </c>
      <c r="CX153" s="130">
        <f t="shared" si="407"/>
        <v>3.5999999999999997E-2</v>
      </c>
      <c r="CY153" s="128">
        <f t="shared" si="408"/>
        <v>0</v>
      </c>
      <c r="CZ153" s="128">
        <f t="shared" si="409"/>
        <v>144690.076585576</v>
      </c>
      <c r="DA153" s="20"/>
      <c r="DB153" s="127">
        <f t="shared" si="350"/>
        <v>1280</v>
      </c>
      <c r="DC153" s="128">
        <f t="shared" si="351"/>
        <v>128000</v>
      </c>
      <c r="DD153" s="128">
        <f t="shared" si="344"/>
        <v>128000</v>
      </c>
      <c r="DE153" s="128">
        <f t="shared" si="449"/>
        <v>148458.37439999997</v>
      </c>
      <c r="DF153" s="130">
        <f t="shared" si="410"/>
        <v>5.1000000000000004E-2</v>
      </c>
      <c r="DG153" s="128">
        <f t="shared" si="411"/>
        <v>149720.27058239997</v>
      </c>
      <c r="DH153" s="128" t="str">
        <f t="shared" si="412"/>
        <v>nie</v>
      </c>
      <c r="DI153" s="128">
        <f t="shared" si="413"/>
        <v>2560</v>
      </c>
      <c r="DJ153" s="128">
        <f t="shared" si="355"/>
        <v>143519.81917174399</v>
      </c>
      <c r="DK153" s="128">
        <f t="shared" si="294"/>
        <v>0</v>
      </c>
      <c r="DL153" s="130">
        <f t="shared" si="414"/>
        <v>3.5999999999999997E-2</v>
      </c>
      <c r="DM153" s="128">
        <f t="shared" si="415"/>
        <v>71.966905810179554</v>
      </c>
      <c r="DN153" s="128">
        <f t="shared" si="416"/>
        <v>143591.78607755416</v>
      </c>
      <c r="DP153" s="127">
        <f t="shared" si="352"/>
        <v>1000</v>
      </c>
      <c r="DQ153" s="128">
        <f t="shared" si="353"/>
        <v>100000</v>
      </c>
      <c r="DR153" s="128">
        <f t="shared" si="346"/>
        <v>100000</v>
      </c>
      <c r="DS153" s="128">
        <f t="shared" si="450"/>
        <v>163295.89363933378</v>
      </c>
      <c r="DT153" s="130">
        <f t="shared" si="417"/>
        <v>5.6000000000000001E-2</v>
      </c>
      <c r="DU153" s="128">
        <f t="shared" si="418"/>
        <v>164819.98864663424</v>
      </c>
      <c r="DV153" s="128" t="str">
        <f t="shared" si="419"/>
        <v>nie</v>
      </c>
      <c r="DW153" s="128">
        <f t="shared" si="420"/>
        <v>3000</v>
      </c>
      <c r="DX153" s="128">
        <f t="shared" si="302"/>
        <v>150074.19080377373</v>
      </c>
      <c r="DY153" s="128">
        <f t="shared" si="303"/>
        <v>0</v>
      </c>
      <c r="DZ153" s="130">
        <f t="shared" si="421"/>
        <v>3.5999999999999997E-2</v>
      </c>
      <c r="EA153" s="128">
        <f t="shared" si="422"/>
        <v>0</v>
      </c>
      <c r="EB153" s="128">
        <f t="shared" si="423"/>
        <v>150074.19080377373</v>
      </c>
    </row>
    <row r="154" spans="1:132">
      <c r="A154" s="212"/>
      <c r="B154" s="188">
        <f t="shared" si="424"/>
        <v>110</v>
      </c>
      <c r="C154" s="128">
        <f t="shared" si="425"/>
        <v>136496.88163177826</v>
      </c>
      <c r="D154" s="128">
        <f t="shared" si="426"/>
        <v>134914.70946916618</v>
      </c>
      <c r="E154" s="128">
        <f t="shared" si="427"/>
        <v>137799.00884320919</v>
      </c>
      <c r="F154" s="128">
        <f t="shared" si="428"/>
        <v>137974.71594666163</v>
      </c>
      <c r="G154" s="128">
        <f t="shared" si="429"/>
        <v>144690.076585576</v>
      </c>
      <c r="H154" s="128">
        <f t="shared" si="430"/>
        <v>143591.78607755416</v>
      </c>
      <c r="I154" s="128">
        <f t="shared" si="431"/>
        <v>150074.19080377373</v>
      </c>
      <c r="J154" s="128">
        <f t="shared" si="432"/>
        <v>130600.87826383612</v>
      </c>
      <c r="K154" s="128">
        <f t="shared" si="433"/>
        <v>132301.89526682394</v>
      </c>
      <c r="M154" s="36"/>
      <c r="N154" s="32">
        <f t="shared" si="434"/>
        <v>110</v>
      </c>
      <c r="O154" s="25">
        <f t="shared" si="318"/>
        <v>0.36496881631778266</v>
      </c>
      <c r="P154" s="25">
        <f t="shared" si="319"/>
        <v>0.34914709469166172</v>
      </c>
      <c r="Q154" s="25">
        <f t="shared" si="320"/>
        <v>0.37799008843209192</v>
      </c>
      <c r="R154" s="25">
        <f t="shared" si="370"/>
        <v>0.37974715946661619</v>
      </c>
      <c r="S154" s="25">
        <f t="shared" si="371"/>
        <v>0.44690076585576</v>
      </c>
      <c r="T154" s="25">
        <f t="shared" si="372"/>
        <v>0.43591786077554162</v>
      </c>
      <c r="U154" s="25">
        <f t="shared" si="373"/>
        <v>0.50074190803773733</v>
      </c>
      <c r="V154" s="25">
        <f t="shared" si="374"/>
        <v>0.30600878263836107</v>
      </c>
      <c r="W154" s="25">
        <f t="shared" si="375"/>
        <v>0.32301895266823943</v>
      </c>
      <c r="X154" s="36"/>
      <c r="Y154" s="36"/>
      <c r="AA154" s="124">
        <f t="shared" si="321"/>
        <v>111</v>
      </c>
      <c r="AB154" s="128">
        <f t="shared" si="376"/>
        <v>132641.91837686134</v>
      </c>
      <c r="AC154" s="124">
        <f t="shared" si="322"/>
        <v>111</v>
      </c>
      <c r="AD154" s="130">
        <f t="shared" si="435"/>
        <v>3.7499999999999999E-2</v>
      </c>
      <c r="AE154" s="127">
        <f t="shared" si="436"/>
        <v>1363</v>
      </c>
      <c r="AF154" s="128">
        <f t="shared" si="437"/>
        <v>136167.9</v>
      </c>
      <c r="AG154" s="128">
        <f t="shared" si="348"/>
        <v>136300</v>
      </c>
      <c r="AH154" s="128">
        <f t="shared" si="357"/>
        <v>136300</v>
      </c>
      <c r="AI154" s="130">
        <f t="shared" si="377"/>
        <v>3.7499999999999999E-2</v>
      </c>
      <c r="AJ154" s="128">
        <f t="shared" si="378"/>
        <v>136725.9375</v>
      </c>
      <c r="AK154" s="128" t="str">
        <f t="shared" si="379"/>
        <v>nie</v>
      </c>
      <c r="AL154" s="128">
        <f t="shared" si="380"/>
        <v>681.5</v>
      </c>
      <c r="AM154" s="128">
        <f t="shared" si="361"/>
        <v>136092.99437500001</v>
      </c>
      <c r="AN154" s="128">
        <f t="shared" si="381"/>
        <v>345.00937500000003</v>
      </c>
      <c r="AO154" s="130">
        <f t="shared" si="382"/>
        <v>3.5999999999999997E-2</v>
      </c>
      <c r="AP154" s="128">
        <f t="shared" si="383"/>
        <v>1095.7258255934657</v>
      </c>
      <c r="AQ154" s="128">
        <f t="shared" si="362"/>
        <v>136843.71082559347</v>
      </c>
      <c r="AS154" s="124">
        <f t="shared" si="327"/>
        <v>111</v>
      </c>
      <c r="AT154" s="130">
        <f t="shared" si="328"/>
        <v>3.7499999999999999E-2</v>
      </c>
      <c r="AU154" s="127">
        <f t="shared" si="438"/>
        <v>1307</v>
      </c>
      <c r="AV154" s="128">
        <f t="shared" si="439"/>
        <v>130577.40000000001</v>
      </c>
      <c r="AW154" s="128">
        <f t="shared" si="363"/>
        <v>130700</v>
      </c>
      <c r="AX154" s="128">
        <f t="shared" si="358"/>
        <v>130700</v>
      </c>
      <c r="AY154" s="130">
        <f t="shared" si="384"/>
        <v>3.9E-2</v>
      </c>
      <c r="AZ154" s="128">
        <f t="shared" si="385"/>
        <v>131124.77499999999</v>
      </c>
      <c r="BA154" s="128" t="str">
        <f t="shared" si="386"/>
        <v>nie</v>
      </c>
      <c r="BB154" s="128">
        <f t="shared" si="387"/>
        <v>914.9</v>
      </c>
      <c r="BC154" s="128">
        <f t="shared" si="367"/>
        <v>130302.99875</v>
      </c>
      <c r="BD154" s="128">
        <f t="shared" si="388"/>
        <v>344.06774999999533</v>
      </c>
      <c r="BE154" s="130">
        <f t="shared" si="264"/>
        <v>3.5999999999999997E-2</v>
      </c>
      <c r="BF154" s="128">
        <f t="shared" si="389"/>
        <v>5311.8887608462555</v>
      </c>
      <c r="BG154" s="128">
        <f t="shared" si="368"/>
        <v>135270.81976084627</v>
      </c>
      <c r="BI154" s="124">
        <f t="shared" si="332"/>
        <v>111</v>
      </c>
      <c r="BJ154" s="130">
        <f t="shared" si="451"/>
        <v>3.9100000000000003E-2</v>
      </c>
      <c r="BK154" s="127">
        <f t="shared" si="440"/>
        <v>1376</v>
      </c>
      <c r="BL154" s="128">
        <f t="shared" si="441"/>
        <v>137462.39999999999</v>
      </c>
      <c r="BM154" s="128">
        <f t="shared" si="349"/>
        <v>137600</v>
      </c>
      <c r="BN154" s="128">
        <f t="shared" si="442"/>
        <v>137600</v>
      </c>
      <c r="BO154" s="130">
        <f t="shared" si="390"/>
        <v>4.3999999999999997E-2</v>
      </c>
      <c r="BP154" s="128">
        <f t="shared" si="391"/>
        <v>139113.59999999998</v>
      </c>
      <c r="BQ154" s="128" t="str">
        <f t="shared" si="392"/>
        <v>nie</v>
      </c>
      <c r="BR154" s="128">
        <f t="shared" si="393"/>
        <v>1376</v>
      </c>
      <c r="BS154" s="128">
        <f t="shared" si="364"/>
        <v>137711.45599999998</v>
      </c>
      <c r="BT154" s="128">
        <f t="shared" si="443"/>
        <v>0</v>
      </c>
      <c r="BU154" s="130">
        <f t="shared" si="394"/>
        <v>3.5999999999999997E-2</v>
      </c>
      <c r="BV154" s="128">
        <f t="shared" si="271"/>
        <v>199.49243469819697</v>
      </c>
      <c r="BW154" s="128">
        <f t="shared" si="365"/>
        <v>137910.94843469816</v>
      </c>
      <c r="BY154" s="130">
        <f t="shared" si="452"/>
        <v>3.1E-2</v>
      </c>
      <c r="BZ154" s="127">
        <f t="shared" si="444"/>
        <v>1341</v>
      </c>
      <c r="CA154" s="128">
        <f t="shared" si="445"/>
        <v>133979.79999999999</v>
      </c>
      <c r="CB154" s="128">
        <f t="shared" si="366"/>
        <v>134100</v>
      </c>
      <c r="CC154" s="128">
        <f t="shared" si="359"/>
        <v>134100</v>
      </c>
      <c r="CD154" s="130">
        <f t="shared" si="395"/>
        <v>4.5999999999999999E-2</v>
      </c>
      <c r="CE154" s="128">
        <f t="shared" si="396"/>
        <v>135642.15000000002</v>
      </c>
      <c r="CF154" s="128" t="str">
        <f t="shared" si="397"/>
        <v>nie</v>
      </c>
      <c r="CG154" s="128">
        <f t="shared" si="398"/>
        <v>2682</v>
      </c>
      <c r="CH154" s="128">
        <f t="shared" si="369"/>
        <v>133176.72150000001</v>
      </c>
      <c r="CI154" s="128">
        <f t="shared" si="399"/>
        <v>0</v>
      </c>
      <c r="CJ154" s="130">
        <f t="shared" si="277"/>
        <v>3.5999999999999997E-2</v>
      </c>
      <c r="CK154" s="128">
        <f t="shared" si="400"/>
        <v>5227.0458777819949</v>
      </c>
      <c r="CL154" s="128">
        <f t="shared" si="401"/>
        <v>138403.767377782</v>
      </c>
      <c r="CN154" s="127">
        <f t="shared" si="446"/>
        <v>1000</v>
      </c>
      <c r="CO154" s="128">
        <f t="shared" si="447"/>
        <v>100000</v>
      </c>
      <c r="CP154" s="128">
        <f t="shared" si="342"/>
        <v>100000</v>
      </c>
      <c r="CQ154" s="128">
        <f t="shared" si="448"/>
        <v>156839.79579203436</v>
      </c>
      <c r="CR154" s="130">
        <f t="shared" si="402"/>
        <v>5.1000000000000004E-2</v>
      </c>
      <c r="CS154" s="128">
        <f t="shared" si="403"/>
        <v>158839.50318838281</v>
      </c>
      <c r="CT154" s="128" t="str">
        <f t="shared" si="404"/>
        <v>nie</v>
      </c>
      <c r="CU154" s="128">
        <f t="shared" si="405"/>
        <v>3000</v>
      </c>
      <c r="CV154" s="128">
        <f t="shared" si="406"/>
        <v>145229.99758259006</v>
      </c>
      <c r="CW154" s="128">
        <f t="shared" si="285"/>
        <v>0</v>
      </c>
      <c r="CX154" s="130">
        <f t="shared" si="407"/>
        <v>3.5999999999999997E-2</v>
      </c>
      <c r="CY154" s="128">
        <f t="shared" si="408"/>
        <v>0</v>
      </c>
      <c r="CZ154" s="128">
        <f t="shared" si="409"/>
        <v>145229.99758259006</v>
      </c>
      <c r="DA154" s="20"/>
      <c r="DB154" s="127">
        <f t="shared" si="350"/>
        <v>1280</v>
      </c>
      <c r="DC154" s="128">
        <f t="shared" si="351"/>
        <v>128000</v>
      </c>
      <c r="DD154" s="128">
        <f t="shared" si="344"/>
        <v>128000</v>
      </c>
      <c r="DE154" s="128">
        <f t="shared" si="449"/>
        <v>148458.37439999997</v>
      </c>
      <c r="DF154" s="130">
        <f t="shared" si="410"/>
        <v>5.1000000000000004E-2</v>
      </c>
      <c r="DG154" s="128">
        <f t="shared" si="411"/>
        <v>150351.21867359997</v>
      </c>
      <c r="DH154" s="128" t="str">
        <f t="shared" si="412"/>
        <v>nie</v>
      </c>
      <c r="DI154" s="128">
        <f t="shared" si="413"/>
        <v>2560</v>
      </c>
      <c r="DJ154" s="128">
        <f t="shared" si="355"/>
        <v>144030.88712561599</v>
      </c>
      <c r="DK154" s="128">
        <f t="shared" si="294"/>
        <v>0</v>
      </c>
      <c r="DL154" s="130">
        <f t="shared" si="414"/>
        <v>3.5999999999999997E-2</v>
      </c>
      <c r="DM154" s="128">
        <f t="shared" si="415"/>
        <v>72.141785391298285</v>
      </c>
      <c r="DN154" s="128">
        <f t="shared" si="416"/>
        <v>144103.02891100728</v>
      </c>
      <c r="DP154" s="127">
        <f t="shared" si="352"/>
        <v>1000</v>
      </c>
      <c r="DQ154" s="128">
        <f t="shared" si="353"/>
        <v>100000</v>
      </c>
      <c r="DR154" s="128">
        <f t="shared" si="346"/>
        <v>100000</v>
      </c>
      <c r="DS154" s="128">
        <f t="shared" si="450"/>
        <v>163295.89363933378</v>
      </c>
      <c r="DT154" s="130">
        <f t="shared" si="417"/>
        <v>5.6000000000000001E-2</v>
      </c>
      <c r="DU154" s="128">
        <f t="shared" si="418"/>
        <v>165582.03615028446</v>
      </c>
      <c r="DV154" s="128" t="str">
        <f t="shared" si="419"/>
        <v>nie</v>
      </c>
      <c r="DW154" s="128">
        <f t="shared" si="420"/>
        <v>3000</v>
      </c>
      <c r="DX154" s="128">
        <f t="shared" si="302"/>
        <v>150691.4492817304</v>
      </c>
      <c r="DY154" s="128">
        <f t="shared" si="303"/>
        <v>0</v>
      </c>
      <c r="DZ154" s="130">
        <f t="shared" si="421"/>
        <v>3.5999999999999997E-2</v>
      </c>
      <c r="EA154" s="128">
        <f t="shared" si="422"/>
        <v>0</v>
      </c>
      <c r="EB154" s="128">
        <f t="shared" si="423"/>
        <v>150691.4492817304</v>
      </c>
    </row>
    <row r="155" spans="1:132">
      <c r="A155" s="212"/>
      <c r="B155" s="188">
        <f t="shared" si="424"/>
        <v>111</v>
      </c>
      <c r="C155" s="128">
        <f t="shared" si="425"/>
        <v>136843.71082559347</v>
      </c>
      <c r="D155" s="128">
        <f t="shared" si="426"/>
        <v>135270.81976084627</v>
      </c>
      <c r="E155" s="128">
        <f t="shared" si="427"/>
        <v>137910.94843469816</v>
      </c>
      <c r="F155" s="128">
        <f t="shared" si="428"/>
        <v>138403.767377782</v>
      </c>
      <c r="G155" s="128">
        <f t="shared" si="429"/>
        <v>145229.99758259006</v>
      </c>
      <c r="H155" s="128">
        <f t="shared" si="430"/>
        <v>144103.02891100728</v>
      </c>
      <c r="I155" s="128">
        <f t="shared" si="431"/>
        <v>150691.4492817304</v>
      </c>
      <c r="J155" s="128">
        <f t="shared" si="432"/>
        <v>130918.23839801723</v>
      </c>
      <c r="K155" s="128">
        <f t="shared" si="433"/>
        <v>132641.91837686134</v>
      </c>
      <c r="M155" s="36"/>
      <c r="N155" s="32">
        <f t="shared" si="434"/>
        <v>111</v>
      </c>
      <c r="O155" s="25">
        <f t="shared" si="318"/>
        <v>0.36843710825593479</v>
      </c>
      <c r="P155" s="25">
        <f t="shared" si="319"/>
        <v>0.35270819760846273</v>
      </c>
      <c r="Q155" s="25">
        <f t="shared" si="320"/>
        <v>0.37910948434698155</v>
      </c>
      <c r="R155" s="25">
        <f t="shared" si="370"/>
        <v>0.38403767377781994</v>
      </c>
      <c r="S155" s="25">
        <f t="shared" si="371"/>
        <v>0.45229997582590054</v>
      </c>
      <c r="T155" s="25">
        <f t="shared" si="372"/>
        <v>0.4410302891100728</v>
      </c>
      <c r="U155" s="25">
        <f t="shared" si="373"/>
        <v>0.50691449281730394</v>
      </c>
      <c r="V155" s="25">
        <f t="shared" si="374"/>
        <v>0.30918238398017239</v>
      </c>
      <c r="W155" s="25">
        <f t="shared" si="375"/>
        <v>0.32641918376861345</v>
      </c>
      <c r="X155" s="36"/>
      <c r="Y155" s="36"/>
      <c r="AA155" s="124">
        <f t="shared" si="321"/>
        <v>112</v>
      </c>
      <c r="AB155" s="128">
        <f t="shared" si="376"/>
        <v>132981.94148689881</v>
      </c>
      <c r="AC155" s="124">
        <f t="shared" si="322"/>
        <v>112</v>
      </c>
      <c r="AD155" s="130">
        <f t="shared" si="435"/>
        <v>3.7499999999999999E-2</v>
      </c>
      <c r="AE155" s="127">
        <f t="shared" si="436"/>
        <v>1363</v>
      </c>
      <c r="AF155" s="128">
        <f t="shared" si="437"/>
        <v>136167.9</v>
      </c>
      <c r="AG155" s="128">
        <f t="shared" si="348"/>
        <v>136300</v>
      </c>
      <c r="AH155" s="128">
        <f t="shared" si="357"/>
        <v>136300</v>
      </c>
      <c r="AI155" s="130">
        <f t="shared" si="377"/>
        <v>3.7499999999999999E-2</v>
      </c>
      <c r="AJ155" s="128">
        <f t="shared" si="378"/>
        <v>136725.9375</v>
      </c>
      <c r="AK155" s="128" t="str">
        <f t="shared" si="379"/>
        <v>nie</v>
      </c>
      <c r="AL155" s="128">
        <f t="shared" si="380"/>
        <v>681.5</v>
      </c>
      <c r="AM155" s="128">
        <f t="shared" si="361"/>
        <v>136092.99437500001</v>
      </c>
      <c r="AN155" s="128">
        <f t="shared" si="381"/>
        <v>345.00937500000003</v>
      </c>
      <c r="AO155" s="130">
        <f t="shared" si="382"/>
        <v>3.5999999999999997E-2</v>
      </c>
      <c r="AP155" s="128">
        <f t="shared" si="383"/>
        <v>1443.3978143496579</v>
      </c>
      <c r="AQ155" s="128">
        <f t="shared" si="362"/>
        <v>137191.38281434966</v>
      </c>
      <c r="AS155" s="124">
        <f t="shared" si="327"/>
        <v>112</v>
      </c>
      <c r="AT155" s="130">
        <f t="shared" si="328"/>
        <v>3.7499999999999999E-2</v>
      </c>
      <c r="AU155" s="127">
        <f t="shared" si="438"/>
        <v>1307</v>
      </c>
      <c r="AV155" s="128">
        <f t="shared" si="439"/>
        <v>130577.40000000001</v>
      </c>
      <c r="AW155" s="128">
        <f t="shared" si="363"/>
        <v>130700</v>
      </c>
      <c r="AX155" s="128">
        <f t="shared" si="358"/>
        <v>130700</v>
      </c>
      <c r="AY155" s="130">
        <f t="shared" si="384"/>
        <v>3.9E-2</v>
      </c>
      <c r="AZ155" s="128">
        <f t="shared" si="385"/>
        <v>131124.77499999999</v>
      </c>
      <c r="BA155" s="128" t="str">
        <f t="shared" si="386"/>
        <v>nie</v>
      </c>
      <c r="BB155" s="128">
        <f t="shared" si="387"/>
        <v>914.9</v>
      </c>
      <c r="BC155" s="128">
        <f t="shared" si="367"/>
        <v>130302.99875</v>
      </c>
      <c r="BD155" s="128">
        <f t="shared" si="388"/>
        <v>344.06774999999533</v>
      </c>
      <c r="BE155" s="130">
        <f t="shared" si="264"/>
        <v>3.5999999999999997E-2</v>
      </c>
      <c r="BF155" s="128">
        <f t="shared" si="389"/>
        <v>5668.8644005351071</v>
      </c>
      <c r="BG155" s="128">
        <f t="shared" si="368"/>
        <v>135627.79540053511</v>
      </c>
      <c r="BI155" s="124">
        <f t="shared" si="332"/>
        <v>112</v>
      </c>
      <c r="BJ155" s="130">
        <f t="shared" si="451"/>
        <v>3.9100000000000003E-2</v>
      </c>
      <c r="BK155" s="127">
        <f t="shared" si="440"/>
        <v>1376</v>
      </c>
      <c r="BL155" s="128">
        <f t="shared" si="441"/>
        <v>137462.39999999999</v>
      </c>
      <c r="BM155" s="128">
        <f t="shared" si="349"/>
        <v>137600</v>
      </c>
      <c r="BN155" s="128">
        <f t="shared" si="442"/>
        <v>137600</v>
      </c>
      <c r="BO155" s="130">
        <f t="shared" si="390"/>
        <v>4.3999999999999997E-2</v>
      </c>
      <c r="BP155" s="128">
        <f t="shared" si="391"/>
        <v>139618.13333333333</v>
      </c>
      <c r="BQ155" s="128" t="str">
        <f t="shared" si="392"/>
        <v>nie</v>
      </c>
      <c r="BR155" s="128">
        <f t="shared" si="393"/>
        <v>1376</v>
      </c>
      <c r="BS155" s="128">
        <f t="shared" si="364"/>
        <v>138120.128</v>
      </c>
      <c r="BT155" s="128">
        <f t="shared" si="443"/>
        <v>0</v>
      </c>
      <c r="BU155" s="130">
        <f t="shared" si="394"/>
        <v>3.5999999999999997E-2</v>
      </c>
      <c r="BV155" s="128">
        <f t="shared" si="271"/>
        <v>199.97720131451356</v>
      </c>
      <c r="BW155" s="128">
        <f t="shared" si="365"/>
        <v>138320.10520131452</v>
      </c>
      <c r="BY155" s="130">
        <f t="shared" si="452"/>
        <v>3.1E-2</v>
      </c>
      <c r="BZ155" s="127">
        <f t="shared" si="444"/>
        <v>1341</v>
      </c>
      <c r="CA155" s="128">
        <f t="shared" si="445"/>
        <v>133979.79999999999</v>
      </c>
      <c r="CB155" s="128">
        <f t="shared" si="366"/>
        <v>134100</v>
      </c>
      <c r="CC155" s="128">
        <f t="shared" si="359"/>
        <v>134100</v>
      </c>
      <c r="CD155" s="130">
        <f t="shared" si="395"/>
        <v>4.5999999999999999E-2</v>
      </c>
      <c r="CE155" s="128">
        <f t="shared" si="396"/>
        <v>136156.20000000001</v>
      </c>
      <c r="CF155" s="128" t="str">
        <f t="shared" si="397"/>
        <v>nie</v>
      </c>
      <c r="CG155" s="128">
        <f t="shared" si="398"/>
        <v>2682</v>
      </c>
      <c r="CH155" s="128">
        <f t="shared" si="369"/>
        <v>133593.10200000001</v>
      </c>
      <c r="CI155" s="128">
        <f t="shared" si="399"/>
        <v>0</v>
      </c>
      <c r="CJ155" s="130">
        <f t="shared" si="277"/>
        <v>3.5999999999999997E-2</v>
      </c>
      <c r="CK155" s="128">
        <f t="shared" si="400"/>
        <v>5239.7475992650052</v>
      </c>
      <c r="CL155" s="128">
        <f t="shared" si="401"/>
        <v>138832.84959926503</v>
      </c>
      <c r="CN155" s="127">
        <f t="shared" si="446"/>
        <v>1000</v>
      </c>
      <c r="CO155" s="128">
        <f t="shared" si="447"/>
        <v>100000</v>
      </c>
      <c r="CP155" s="128">
        <f t="shared" si="342"/>
        <v>100000</v>
      </c>
      <c r="CQ155" s="128">
        <f t="shared" si="448"/>
        <v>156839.79579203436</v>
      </c>
      <c r="CR155" s="130">
        <f t="shared" si="402"/>
        <v>5.1000000000000004E-2</v>
      </c>
      <c r="CS155" s="128">
        <f t="shared" si="403"/>
        <v>159506.07232049893</v>
      </c>
      <c r="CT155" s="128" t="str">
        <f t="shared" si="404"/>
        <v>nie</v>
      </c>
      <c r="CU155" s="128">
        <f t="shared" si="405"/>
        <v>3000</v>
      </c>
      <c r="CV155" s="128">
        <f t="shared" si="406"/>
        <v>145769.91857960413</v>
      </c>
      <c r="CW155" s="128">
        <f t="shared" si="285"/>
        <v>0</v>
      </c>
      <c r="CX155" s="130">
        <f t="shared" si="407"/>
        <v>3.5999999999999997E-2</v>
      </c>
      <c r="CY155" s="128">
        <f t="shared" si="408"/>
        <v>0</v>
      </c>
      <c r="CZ155" s="128">
        <f t="shared" si="409"/>
        <v>145769.91857960413</v>
      </c>
      <c r="DA155" s="20"/>
      <c r="DB155" s="127">
        <f t="shared" si="350"/>
        <v>1280</v>
      </c>
      <c r="DC155" s="128">
        <f t="shared" si="351"/>
        <v>128000</v>
      </c>
      <c r="DD155" s="128">
        <f t="shared" si="344"/>
        <v>128000</v>
      </c>
      <c r="DE155" s="128">
        <f t="shared" si="449"/>
        <v>148458.37439999997</v>
      </c>
      <c r="DF155" s="130">
        <f t="shared" si="410"/>
        <v>5.1000000000000004E-2</v>
      </c>
      <c r="DG155" s="128">
        <f t="shared" si="411"/>
        <v>150982.16676479997</v>
      </c>
      <c r="DH155" s="128" t="str">
        <f t="shared" si="412"/>
        <v>nie</v>
      </c>
      <c r="DI155" s="128">
        <f t="shared" si="413"/>
        <v>2560</v>
      </c>
      <c r="DJ155" s="128">
        <f t="shared" si="355"/>
        <v>144541.95507948799</v>
      </c>
      <c r="DK155" s="128">
        <f t="shared" si="294"/>
        <v>0</v>
      </c>
      <c r="DL155" s="130">
        <f t="shared" si="414"/>
        <v>3.5999999999999997E-2</v>
      </c>
      <c r="DM155" s="128">
        <f t="shared" si="415"/>
        <v>72.317089929799138</v>
      </c>
      <c r="DN155" s="128">
        <f t="shared" si="416"/>
        <v>144614.27216941779</v>
      </c>
      <c r="DP155" s="127">
        <f t="shared" si="352"/>
        <v>1000</v>
      </c>
      <c r="DQ155" s="128">
        <f t="shared" si="353"/>
        <v>100000</v>
      </c>
      <c r="DR155" s="128">
        <f t="shared" si="346"/>
        <v>100000</v>
      </c>
      <c r="DS155" s="128">
        <f t="shared" si="450"/>
        <v>163295.89363933378</v>
      </c>
      <c r="DT155" s="130">
        <f t="shared" si="417"/>
        <v>5.6000000000000001E-2</v>
      </c>
      <c r="DU155" s="128">
        <f t="shared" si="418"/>
        <v>166344.08365393468</v>
      </c>
      <c r="DV155" s="128" t="str">
        <f t="shared" si="419"/>
        <v>nie</v>
      </c>
      <c r="DW155" s="128">
        <f t="shared" si="420"/>
        <v>3000</v>
      </c>
      <c r="DX155" s="128">
        <f t="shared" si="302"/>
        <v>151308.70775968709</v>
      </c>
      <c r="DY155" s="128">
        <f t="shared" si="303"/>
        <v>0</v>
      </c>
      <c r="DZ155" s="130">
        <f t="shared" si="421"/>
        <v>3.5999999999999997E-2</v>
      </c>
      <c r="EA155" s="128">
        <f t="shared" si="422"/>
        <v>0</v>
      </c>
      <c r="EB155" s="128">
        <f t="shared" si="423"/>
        <v>151308.70775968709</v>
      </c>
    </row>
    <row r="156" spans="1:132">
      <c r="A156" s="212"/>
      <c r="B156" s="188">
        <f t="shared" si="424"/>
        <v>112</v>
      </c>
      <c r="C156" s="128">
        <f t="shared" si="425"/>
        <v>137191.38281434966</v>
      </c>
      <c r="D156" s="128">
        <f t="shared" si="426"/>
        <v>135627.79540053511</v>
      </c>
      <c r="E156" s="128">
        <f t="shared" si="427"/>
        <v>138320.10520131452</v>
      </c>
      <c r="F156" s="128">
        <f t="shared" si="428"/>
        <v>138832.84959926503</v>
      </c>
      <c r="G156" s="128">
        <f t="shared" si="429"/>
        <v>145769.91857960413</v>
      </c>
      <c r="H156" s="128">
        <f t="shared" si="430"/>
        <v>144614.27216941779</v>
      </c>
      <c r="I156" s="128">
        <f t="shared" si="431"/>
        <v>151308.70775968709</v>
      </c>
      <c r="J156" s="128">
        <f t="shared" si="432"/>
        <v>131236.36971732441</v>
      </c>
      <c r="K156" s="128">
        <f t="shared" si="433"/>
        <v>132981.94148689881</v>
      </c>
      <c r="M156" s="36"/>
      <c r="N156" s="32">
        <f t="shared" si="434"/>
        <v>112</v>
      </c>
      <c r="O156" s="25">
        <f t="shared" si="318"/>
        <v>0.37191382814349661</v>
      </c>
      <c r="P156" s="25">
        <f t="shared" si="319"/>
        <v>0.35627795400535112</v>
      </c>
      <c r="Q156" s="25">
        <f t="shared" si="320"/>
        <v>0.38320105201314525</v>
      </c>
      <c r="R156" s="25">
        <f t="shared" si="370"/>
        <v>0.38832849599265029</v>
      </c>
      <c r="S156" s="25">
        <f t="shared" si="371"/>
        <v>0.4576991857960413</v>
      </c>
      <c r="T156" s="25">
        <f t="shared" si="372"/>
        <v>0.44614272169417779</v>
      </c>
      <c r="U156" s="25">
        <f t="shared" si="373"/>
        <v>0.513087077596871</v>
      </c>
      <c r="V156" s="25">
        <f t="shared" si="374"/>
        <v>0.31236369717324419</v>
      </c>
      <c r="W156" s="25">
        <f t="shared" si="375"/>
        <v>0.32981941486898814</v>
      </c>
      <c r="X156" s="36"/>
      <c r="Y156" s="36"/>
      <c r="AA156" s="124">
        <f t="shared" si="321"/>
        <v>113</v>
      </c>
      <c r="AB156" s="128">
        <f t="shared" si="376"/>
        <v>133321.96459693625</v>
      </c>
      <c r="AC156" s="124">
        <f t="shared" si="322"/>
        <v>113</v>
      </c>
      <c r="AD156" s="130">
        <f t="shared" si="435"/>
        <v>3.7499999999999999E-2</v>
      </c>
      <c r="AE156" s="127">
        <f t="shared" si="436"/>
        <v>1363</v>
      </c>
      <c r="AF156" s="128">
        <f t="shared" si="437"/>
        <v>136167.9</v>
      </c>
      <c r="AG156" s="128">
        <f t="shared" si="348"/>
        <v>136300</v>
      </c>
      <c r="AH156" s="128">
        <f t="shared" si="357"/>
        <v>136300</v>
      </c>
      <c r="AI156" s="130">
        <f t="shared" si="377"/>
        <v>3.7499999999999999E-2</v>
      </c>
      <c r="AJ156" s="128">
        <f t="shared" si="378"/>
        <v>136725.9375</v>
      </c>
      <c r="AK156" s="128" t="str">
        <f t="shared" si="379"/>
        <v>nie</v>
      </c>
      <c r="AL156" s="128">
        <f t="shared" si="380"/>
        <v>681.5</v>
      </c>
      <c r="AM156" s="128">
        <f t="shared" si="361"/>
        <v>136092.99437500001</v>
      </c>
      <c r="AN156" s="128">
        <f t="shared" si="381"/>
        <v>345.00937500000003</v>
      </c>
      <c r="AO156" s="130">
        <f t="shared" si="382"/>
        <v>3.5999999999999997E-2</v>
      </c>
      <c r="AP156" s="128">
        <f t="shared" si="383"/>
        <v>1791.9146460385275</v>
      </c>
      <c r="AQ156" s="128">
        <f t="shared" si="362"/>
        <v>137539.89964603854</v>
      </c>
      <c r="AS156" s="124">
        <f t="shared" si="327"/>
        <v>113</v>
      </c>
      <c r="AT156" s="130">
        <f t="shared" si="328"/>
        <v>3.7499999999999999E-2</v>
      </c>
      <c r="AU156" s="127">
        <f t="shared" si="438"/>
        <v>1307</v>
      </c>
      <c r="AV156" s="128">
        <f t="shared" si="439"/>
        <v>130577.40000000001</v>
      </c>
      <c r="AW156" s="128">
        <f t="shared" si="363"/>
        <v>130700</v>
      </c>
      <c r="AX156" s="128">
        <f t="shared" si="358"/>
        <v>130700</v>
      </c>
      <c r="AY156" s="130">
        <f t="shared" si="384"/>
        <v>3.9E-2</v>
      </c>
      <c r="AZ156" s="128">
        <f t="shared" si="385"/>
        <v>131124.77499999999</v>
      </c>
      <c r="BA156" s="128" t="str">
        <f t="shared" si="386"/>
        <v>nie</v>
      </c>
      <c r="BB156" s="128">
        <f t="shared" si="387"/>
        <v>914.9</v>
      </c>
      <c r="BC156" s="128">
        <f t="shared" si="367"/>
        <v>130302.99875</v>
      </c>
      <c r="BD156" s="128">
        <f t="shared" si="388"/>
        <v>344.06774999999533</v>
      </c>
      <c r="BE156" s="130">
        <f t="shared" si="264"/>
        <v>3.5999999999999997E-2</v>
      </c>
      <c r="BF156" s="128">
        <f t="shared" si="389"/>
        <v>6026.7074910284027</v>
      </c>
      <c r="BG156" s="128">
        <f t="shared" si="368"/>
        <v>135985.6384910284</v>
      </c>
      <c r="BI156" s="124">
        <f t="shared" si="332"/>
        <v>113</v>
      </c>
      <c r="BJ156" s="130">
        <f t="shared" si="451"/>
        <v>3.9100000000000003E-2</v>
      </c>
      <c r="BK156" s="127">
        <f t="shared" si="440"/>
        <v>1376</v>
      </c>
      <c r="BL156" s="128">
        <f t="shared" si="441"/>
        <v>137462.39999999999</v>
      </c>
      <c r="BM156" s="128">
        <f t="shared" si="349"/>
        <v>137600</v>
      </c>
      <c r="BN156" s="128">
        <f t="shared" si="442"/>
        <v>137600</v>
      </c>
      <c r="BO156" s="130">
        <f t="shared" si="390"/>
        <v>4.3999999999999997E-2</v>
      </c>
      <c r="BP156" s="128">
        <f t="shared" si="391"/>
        <v>140122.66666666666</v>
      </c>
      <c r="BQ156" s="128" t="str">
        <f t="shared" si="392"/>
        <v>nie</v>
      </c>
      <c r="BR156" s="128">
        <f t="shared" si="393"/>
        <v>1376</v>
      </c>
      <c r="BS156" s="128">
        <f t="shared" si="364"/>
        <v>138528.79999999999</v>
      </c>
      <c r="BT156" s="128">
        <f t="shared" si="443"/>
        <v>0</v>
      </c>
      <c r="BU156" s="130">
        <f t="shared" si="394"/>
        <v>3.5999999999999997E-2</v>
      </c>
      <c r="BV156" s="128">
        <f t="shared" si="271"/>
        <v>200.46314591370782</v>
      </c>
      <c r="BW156" s="128">
        <f t="shared" si="365"/>
        <v>138729.26314591369</v>
      </c>
      <c r="BY156" s="130">
        <f t="shared" si="452"/>
        <v>3.1E-2</v>
      </c>
      <c r="BZ156" s="127">
        <f t="shared" si="444"/>
        <v>1341</v>
      </c>
      <c r="CA156" s="128">
        <f t="shared" si="445"/>
        <v>133979.79999999999</v>
      </c>
      <c r="CB156" s="128">
        <f t="shared" si="366"/>
        <v>134100</v>
      </c>
      <c r="CC156" s="128">
        <f t="shared" si="359"/>
        <v>134100</v>
      </c>
      <c r="CD156" s="130">
        <f t="shared" si="395"/>
        <v>4.5999999999999999E-2</v>
      </c>
      <c r="CE156" s="128">
        <f t="shared" si="396"/>
        <v>136670.24999999997</v>
      </c>
      <c r="CF156" s="128" t="str">
        <f t="shared" si="397"/>
        <v>nie</v>
      </c>
      <c r="CG156" s="128">
        <f t="shared" si="398"/>
        <v>2682</v>
      </c>
      <c r="CH156" s="128">
        <f t="shared" si="369"/>
        <v>134009.48249999998</v>
      </c>
      <c r="CI156" s="128">
        <f t="shared" si="399"/>
        <v>0</v>
      </c>
      <c r="CJ156" s="130">
        <f t="shared" si="277"/>
        <v>3.5999999999999997E-2</v>
      </c>
      <c r="CK156" s="128">
        <f t="shared" si="400"/>
        <v>5252.4801859312192</v>
      </c>
      <c r="CL156" s="128">
        <f t="shared" si="401"/>
        <v>139261.96268593121</v>
      </c>
      <c r="CN156" s="127">
        <f t="shared" si="446"/>
        <v>1000</v>
      </c>
      <c r="CO156" s="128">
        <f t="shared" si="447"/>
        <v>100000</v>
      </c>
      <c r="CP156" s="128">
        <f t="shared" si="342"/>
        <v>100000</v>
      </c>
      <c r="CQ156" s="128">
        <f t="shared" si="448"/>
        <v>156839.79579203436</v>
      </c>
      <c r="CR156" s="130">
        <f t="shared" si="402"/>
        <v>5.1000000000000004E-2</v>
      </c>
      <c r="CS156" s="128">
        <f t="shared" si="403"/>
        <v>160172.64145261509</v>
      </c>
      <c r="CT156" s="128" t="str">
        <f t="shared" si="404"/>
        <v>nie</v>
      </c>
      <c r="CU156" s="128">
        <f t="shared" si="405"/>
        <v>3000</v>
      </c>
      <c r="CV156" s="128">
        <f t="shared" si="406"/>
        <v>146309.83957661822</v>
      </c>
      <c r="CW156" s="128">
        <f t="shared" si="285"/>
        <v>0</v>
      </c>
      <c r="CX156" s="130">
        <f t="shared" si="407"/>
        <v>3.5999999999999997E-2</v>
      </c>
      <c r="CY156" s="128">
        <f t="shared" si="408"/>
        <v>0</v>
      </c>
      <c r="CZ156" s="128">
        <f t="shared" si="409"/>
        <v>146309.83957661822</v>
      </c>
      <c r="DA156" s="20"/>
      <c r="DB156" s="127">
        <f t="shared" si="350"/>
        <v>1280</v>
      </c>
      <c r="DC156" s="128">
        <f t="shared" si="351"/>
        <v>128000</v>
      </c>
      <c r="DD156" s="128">
        <f t="shared" si="344"/>
        <v>128000</v>
      </c>
      <c r="DE156" s="128">
        <f t="shared" si="449"/>
        <v>148458.37439999997</v>
      </c>
      <c r="DF156" s="130">
        <f t="shared" si="410"/>
        <v>5.1000000000000004E-2</v>
      </c>
      <c r="DG156" s="128">
        <f t="shared" si="411"/>
        <v>151613.11485599997</v>
      </c>
      <c r="DH156" s="128" t="str">
        <f t="shared" si="412"/>
        <v>nie</v>
      </c>
      <c r="DI156" s="128">
        <f t="shared" si="413"/>
        <v>2560</v>
      </c>
      <c r="DJ156" s="128">
        <f t="shared" si="355"/>
        <v>145053.02303335999</v>
      </c>
      <c r="DK156" s="128">
        <f t="shared" si="294"/>
        <v>0</v>
      </c>
      <c r="DL156" s="130">
        <f t="shared" si="414"/>
        <v>3.5999999999999997E-2</v>
      </c>
      <c r="DM156" s="128">
        <f t="shared" si="415"/>
        <v>72.492820458328552</v>
      </c>
      <c r="DN156" s="128">
        <f t="shared" si="416"/>
        <v>145125.51585381833</v>
      </c>
      <c r="DP156" s="127">
        <f t="shared" si="352"/>
        <v>1000</v>
      </c>
      <c r="DQ156" s="128">
        <f t="shared" si="353"/>
        <v>100000</v>
      </c>
      <c r="DR156" s="128">
        <f t="shared" si="346"/>
        <v>100000</v>
      </c>
      <c r="DS156" s="128">
        <f t="shared" si="450"/>
        <v>163295.89363933378</v>
      </c>
      <c r="DT156" s="130">
        <f t="shared" si="417"/>
        <v>5.6000000000000001E-2</v>
      </c>
      <c r="DU156" s="128">
        <f t="shared" si="418"/>
        <v>167106.13115758492</v>
      </c>
      <c r="DV156" s="128" t="str">
        <f t="shared" si="419"/>
        <v>nie</v>
      </c>
      <c r="DW156" s="128">
        <f t="shared" si="420"/>
        <v>3000</v>
      </c>
      <c r="DX156" s="128">
        <f t="shared" si="302"/>
        <v>151925.96623764379</v>
      </c>
      <c r="DY156" s="128">
        <f t="shared" si="303"/>
        <v>0</v>
      </c>
      <c r="DZ156" s="130">
        <f t="shared" si="421"/>
        <v>3.5999999999999997E-2</v>
      </c>
      <c r="EA156" s="128">
        <f t="shared" si="422"/>
        <v>0</v>
      </c>
      <c r="EB156" s="128">
        <f t="shared" si="423"/>
        <v>151925.96623764379</v>
      </c>
    </row>
    <row r="157" spans="1:132">
      <c r="A157" s="212"/>
      <c r="B157" s="188">
        <f t="shared" si="424"/>
        <v>113</v>
      </c>
      <c r="C157" s="128">
        <f t="shared" si="425"/>
        <v>137539.89964603854</v>
      </c>
      <c r="D157" s="128">
        <f t="shared" si="426"/>
        <v>135985.6384910284</v>
      </c>
      <c r="E157" s="128">
        <f t="shared" si="427"/>
        <v>138729.26314591369</v>
      </c>
      <c r="F157" s="128">
        <f t="shared" si="428"/>
        <v>139261.96268593121</v>
      </c>
      <c r="G157" s="128">
        <f t="shared" si="429"/>
        <v>146309.83957661822</v>
      </c>
      <c r="H157" s="128">
        <f t="shared" si="430"/>
        <v>145125.51585381833</v>
      </c>
      <c r="I157" s="128">
        <f t="shared" si="431"/>
        <v>151925.96623764379</v>
      </c>
      <c r="J157" s="128">
        <f t="shared" si="432"/>
        <v>131555.27409573749</v>
      </c>
      <c r="K157" s="128">
        <f t="shared" si="433"/>
        <v>133321.96459693625</v>
      </c>
      <c r="M157" s="36"/>
      <c r="N157" s="32">
        <f t="shared" si="434"/>
        <v>113</v>
      </c>
      <c r="O157" s="25">
        <f t="shared" si="318"/>
        <v>0.37539899646038544</v>
      </c>
      <c r="P157" s="25">
        <f t="shared" si="319"/>
        <v>0.35985638491028404</v>
      </c>
      <c r="Q157" s="25">
        <f t="shared" si="320"/>
        <v>0.38729263145913695</v>
      </c>
      <c r="R157" s="25">
        <f t="shared" si="370"/>
        <v>0.39261962685931207</v>
      </c>
      <c r="S157" s="25">
        <f t="shared" si="371"/>
        <v>0.46309839576618228</v>
      </c>
      <c r="T157" s="25">
        <f t="shared" si="372"/>
        <v>0.45125515853818321</v>
      </c>
      <c r="U157" s="25">
        <f t="shared" si="373"/>
        <v>0.51925966237643784</v>
      </c>
      <c r="V157" s="25">
        <f t="shared" si="374"/>
        <v>0.31555274095737484</v>
      </c>
      <c r="W157" s="25">
        <f t="shared" si="375"/>
        <v>0.33321964596936238</v>
      </c>
      <c r="X157" s="36"/>
      <c r="Y157" s="36"/>
      <c r="AA157" s="124">
        <f t="shared" si="321"/>
        <v>114</v>
      </c>
      <c r="AB157" s="128">
        <f t="shared" si="376"/>
        <v>133661.98770697368</v>
      </c>
      <c r="AC157" s="124">
        <f t="shared" si="322"/>
        <v>114</v>
      </c>
      <c r="AD157" s="130">
        <f t="shared" si="435"/>
        <v>3.7499999999999999E-2</v>
      </c>
      <c r="AE157" s="127">
        <f t="shared" si="436"/>
        <v>1363</v>
      </c>
      <c r="AF157" s="128">
        <f t="shared" si="437"/>
        <v>136167.9</v>
      </c>
      <c r="AG157" s="128">
        <f t="shared" si="348"/>
        <v>136300</v>
      </c>
      <c r="AH157" s="128">
        <f t="shared" si="357"/>
        <v>136300</v>
      </c>
      <c r="AI157" s="130">
        <f t="shared" si="377"/>
        <v>3.7499999999999999E-2</v>
      </c>
      <c r="AJ157" s="128">
        <f t="shared" si="378"/>
        <v>136725.9375</v>
      </c>
      <c r="AK157" s="128" t="str">
        <f t="shared" si="379"/>
        <v>nie</v>
      </c>
      <c r="AL157" s="128">
        <f t="shared" si="380"/>
        <v>681.5</v>
      </c>
      <c r="AM157" s="128">
        <f t="shared" si="361"/>
        <v>136092.99437500001</v>
      </c>
      <c r="AN157" s="128">
        <f t="shared" si="381"/>
        <v>345.00937500000003</v>
      </c>
      <c r="AO157" s="130">
        <f t="shared" si="382"/>
        <v>3.5999999999999997E-2</v>
      </c>
      <c r="AP157" s="128">
        <f t="shared" si="383"/>
        <v>2141.2783736284009</v>
      </c>
      <c r="AQ157" s="128">
        <f t="shared" si="362"/>
        <v>137889.2633736284</v>
      </c>
      <c r="AS157" s="124">
        <f t="shared" si="327"/>
        <v>114</v>
      </c>
      <c r="AT157" s="130">
        <f t="shared" si="328"/>
        <v>3.7499999999999999E-2</v>
      </c>
      <c r="AU157" s="127">
        <f t="shared" si="438"/>
        <v>1307</v>
      </c>
      <c r="AV157" s="128">
        <f t="shared" si="439"/>
        <v>130577.40000000001</v>
      </c>
      <c r="AW157" s="128">
        <f t="shared" si="363"/>
        <v>130700</v>
      </c>
      <c r="AX157" s="128">
        <f t="shared" si="358"/>
        <v>130700</v>
      </c>
      <c r="AY157" s="130">
        <f t="shared" si="384"/>
        <v>3.9E-2</v>
      </c>
      <c r="AZ157" s="128">
        <f t="shared" si="385"/>
        <v>131124.77499999999</v>
      </c>
      <c r="BA157" s="128" t="str">
        <f t="shared" si="386"/>
        <v>nie</v>
      </c>
      <c r="BB157" s="128">
        <f t="shared" si="387"/>
        <v>914.9</v>
      </c>
      <c r="BC157" s="128">
        <f t="shared" si="367"/>
        <v>130302.99875</v>
      </c>
      <c r="BD157" s="128">
        <f t="shared" si="388"/>
        <v>344.06774999999533</v>
      </c>
      <c r="BE157" s="130">
        <f t="shared" si="264"/>
        <v>3.5999999999999997E-2</v>
      </c>
      <c r="BF157" s="128">
        <f t="shared" si="389"/>
        <v>6385.4201402315966</v>
      </c>
      <c r="BG157" s="128">
        <f t="shared" si="368"/>
        <v>136344.35114023159</v>
      </c>
      <c r="BI157" s="124">
        <f t="shared" si="332"/>
        <v>114</v>
      </c>
      <c r="BJ157" s="130">
        <f t="shared" si="451"/>
        <v>3.9100000000000003E-2</v>
      </c>
      <c r="BK157" s="127">
        <f t="shared" si="440"/>
        <v>1376</v>
      </c>
      <c r="BL157" s="128">
        <f t="shared" si="441"/>
        <v>137462.39999999999</v>
      </c>
      <c r="BM157" s="128">
        <f t="shared" si="349"/>
        <v>137600</v>
      </c>
      <c r="BN157" s="128">
        <f t="shared" si="442"/>
        <v>137600</v>
      </c>
      <c r="BO157" s="130">
        <f t="shared" si="390"/>
        <v>4.3999999999999997E-2</v>
      </c>
      <c r="BP157" s="128">
        <f t="shared" si="391"/>
        <v>140627.20000000001</v>
      </c>
      <c r="BQ157" s="128" t="str">
        <f t="shared" si="392"/>
        <v>nie</v>
      </c>
      <c r="BR157" s="128">
        <f t="shared" si="393"/>
        <v>1376</v>
      </c>
      <c r="BS157" s="128">
        <f t="shared" si="364"/>
        <v>138937.47200000001</v>
      </c>
      <c r="BT157" s="128">
        <f t="shared" si="443"/>
        <v>0</v>
      </c>
      <c r="BU157" s="130">
        <f t="shared" si="394"/>
        <v>3.5999999999999997E-2</v>
      </c>
      <c r="BV157" s="128">
        <f t="shared" si="271"/>
        <v>200.95027135827812</v>
      </c>
      <c r="BW157" s="128">
        <f t="shared" si="365"/>
        <v>139138.42227135829</v>
      </c>
      <c r="BY157" s="130">
        <f t="shared" si="452"/>
        <v>3.1E-2</v>
      </c>
      <c r="BZ157" s="127">
        <f t="shared" si="444"/>
        <v>1341</v>
      </c>
      <c r="CA157" s="128">
        <f t="shared" si="445"/>
        <v>133979.79999999999</v>
      </c>
      <c r="CB157" s="128">
        <f t="shared" si="366"/>
        <v>134100</v>
      </c>
      <c r="CC157" s="128">
        <f t="shared" si="359"/>
        <v>134100</v>
      </c>
      <c r="CD157" s="130">
        <f t="shared" si="395"/>
        <v>4.5999999999999999E-2</v>
      </c>
      <c r="CE157" s="128">
        <f t="shared" si="396"/>
        <v>137184.29999999999</v>
      </c>
      <c r="CF157" s="128" t="str">
        <f t="shared" si="397"/>
        <v>nie</v>
      </c>
      <c r="CG157" s="128">
        <f t="shared" si="398"/>
        <v>2682</v>
      </c>
      <c r="CH157" s="128">
        <f t="shared" si="369"/>
        <v>134425.86299999998</v>
      </c>
      <c r="CI157" s="128">
        <f t="shared" si="399"/>
        <v>0</v>
      </c>
      <c r="CJ157" s="130">
        <f t="shared" si="277"/>
        <v>3.5999999999999997E-2</v>
      </c>
      <c r="CK157" s="128">
        <f t="shared" si="400"/>
        <v>5265.2437127830317</v>
      </c>
      <c r="CL157" s="128">
        <f t="shared" si="401"/>
        <v>139691.10671278302</v>
      </c>
      <c r="CN157" s="127">
        <f t="shared" si="446"/>
        <v>1000</v>
      </c>
      <c r="CO157" s="128">
        <f t="shared" si="447"/>
        <v>100000</v>
      </c>
      <c r="CP157" s="128">
        <f t="shared" si="342"/>
        <v>100000</v>
      </c>
      <c r="CQ157" s="128">
        <f t="shared" si="448"/>
        <v>156839.79579203436</v>
      </c>
      <c r="CR157" s="130">
        <f t="shared" si="402"/>
        <v>5.1000000000000004E-2</v>
      </c>
      <c r="CS157" s="128">
        <f t="shared" si="403"/>
        <v>160839.21058473125</v>
      </c>
      <c r="CT157" s="128" t="str">
        <f t="shared" si="404"/>
        <v>nie</v>
      </c>
      <c r="CU157" s="128">
        <f t="shared" si="405"/>
        <v>3000</v>
      </c>
      <c r="CV157" s="128">
        <f t="shared" si="406"/>
        <v>146849.76057363232</v>
      </c>
      <c r="CW157" s="128">
        <f t="shared" si="285"/>
        <v>0</v>
      </c>
      <c r="CX157" s="130">
        <f t="shared" si="407"/>
        <v>3.5999999999999997E-2</v>
      </c>
      <c r="CY157" s="128">
        <f t="shared" si="408"/>
        <v>0</v>
      </c>
      <c r="CZ157" s="128">
        <f t="shared" si="409"/>
        <v>146849.76057363232</v>
      </c>
      <c r="DA157" s="20"/>
      <c r="DB157" s="127">
        <f t="shared" si="350"/>
        <v>1280</v>
      </c>
      <c r="DC157" s="128">
        <f t="shared" si="351"/>
        <v>128000</v>
      </c>
      <c r="DD157" s="128">
        <f t="shared" si="344"/>
        <v>128000</v>
      </c>
      <c r="DE157" s="128">
        <f t="shared" si="449"/>
        <v>148458.37439999997</v>
      </c>
      <c r="DF157" s="130">
        <f t="shared" si="410"/>
        <v>5.1000000000000004E-2</v>
      </c>
      <c r="DG157" s="128">
        <f t="shared" si="411"/>
        <v>152244.06294719997</v>
      </c>
      <c r="DH157" s="128" t="str">
        <f t="shared" si="412"/>
        <v>nie</v>
      </c>
      <c r="DI157" s="128">
        <f t="shared" si="413"/>
        <v>2560</v>
      </c>
      <c r="DJ157" s="128">
        <f t="shared" si="355"/>
        <v>145564.09098723199</v>
      </c>
      <c r="DK157" s="128">
        <f t="shared" si="294"/>
        <v>0</v>
      </c>
      <c r="DL157" s="130">
        <f t="shared" si="414"/>
        <v>3.5999999999999997E-2</v>
      </c>
      <c r="DM157" s="128">
        <f t="shared" si="415"/>
        <v>72.668978012042288</v>
      </c>
      <c r="DN157" s="128">
        <f t="shared" si="416"/>
        <v>145636.75996524404</v>
      </c>
      <c r="DP157" s="127">
        <f t="shared" si="352"/>
        <v>1000</v>
      </c>
      <c r="DQ157" s="128">
        <f t="shared" si="353"/>
        <v>100000</v>
      </c>
      <c r="DR157" s="128">
        <f t="shared" si="346"/>
        <v>100000</v>
      </c>
      <c r="DS157" s="128">
        <f t="shared" si="450"/>
        <v>163295.89363933378</v>
      </c>
      <c r="DT157" s="130">
        <f t="shared" si="417"/>
        <v>5.6000000000000001E-2</v>
      </c>
      <c r="DU157" s="128">
        <f t="shared" si="418"/>
        <v>167868.17866123514</v>
      </c>
      <c r="DV157" s="128" t="str">
        <f t="shared" si="419"/>
        <v>nie</v>
      </c>
      <c r="DW157" s="128">
        <f t="shared" si="420"/>
        <v>3000</v>
      </c>
      <c r="DX157" s="128">
        <f t="shared" si="302"/>
        <v>152543.22471560046</v>
      </c>
      <c r="DY157" s="128">
        <f t="shared" si="303"/>
        <v>0</v>
      </c>
      <c r="DZ157" s="130">
        <f t="shared" si="421"/>
        <v>3.5999999999999997E-2</v>
      </c>
      <c r="EA157" s="128">
        <f t="shared" si="422"/>
        <v>0</v>
      </c>
      <c r="EB157" s="128">
        <f t="shared" si="423"/>
        <v>152543.22471560046</v>
      </c>
    </row>
    <row r="158" spans="1:132">
      <c r="A158" s="212"/>
      <c r="B158" s="188">
        <f t="shared" si="424"/>
        <v>114</v>
      </c>
      <c r="C158" s="128">
        <f t="shared" si="425"/>
        <v>137889.2633736284</v>
      </c>
      <c r="D158" s="128">
        <f t="shared" si="426"/>
        <v>136344.35114023159</v>
      </c>
      <c r="E158" s="128">
        <f t="shared" si="427"/>
        <v>139138.42227135829</v>
      </c>
      <c r="F158" s="128">
        <f t="shared" si="428"/>
        <v>139691.10671278302</v>
      </c>
      <c r="G158" s="128">
        <f t="shared" si="429"/>
        <v>146849.76057363232</v>
      </c>
      <c r="H158" s="128">
        <f t="shared" si="430"/>
        <v>145636.75996524404</v>
      </c>
      <c r="I158" s="128">
        <f t="shared" si="431"/>
        <v>152543.22471560046</v>
      </c>
      <c r="J158" s="128">
        <f t="shared" si="432"/>
        <v>131874.95341179013</v>
      </c>
      <c r="K158" s="128">
        <f t="shared" si="433"/>
        <v>133661.98770697368</v>
      </c>
      <c r="M158" s="36"/>
      <c r="N158" s="32">
        <f t="shared" si="434"/>
        <v>114</v>
      </c>
      <c r="O158" s="25">
        <f t="shared" si="318"/>
        <v>0.37889263373628412</v>
      </c>
      <c r="P158" s="25">
        <f t="shared" si="319"/>
        <v>0.36344351140231601</v>
      </c>
      <c r="Q158" s="25">
        <f t="shared" si="320"/>
        <v>0.39138422271358286</v>
      </c>
      <c r="R158" s="25">
        <f t="shared" si="370"/>
        <v>0.3969110671278302</v>
      </c>
      <c r="S158" s="25">
        <f t="shared" si="371"/>
        <v>0.46849760573632326</v>
      </c>
      <c r="T158" s="25">
        <f t="shared" si="372"/>
        <v>0.45636759965244034</v>
      </c>
      <c r="U158" s="25">
        <f t="shared" si="373"/>
        <v>0.52543224715600467</v>
      </c>
      <c r="V158" s="25">
        <f t="shared" si="374"/>
        <v>0.31874953411790141</v>
      </c>
      <c r="W158" s="25">
        <f t="shared" si="375"/>
        <v>0.33661987706973684</v>
      </c>
      <c r="X158" s="36"/>
      <c r="Y158" s="36"/>
      <c r="AA158" s="124">
        <f t="shared" si="321"/>
        <v>115</v>
      </c>
      <c r="AB158" s="128">
        <f t="shared" si="376"/>
        <v>134002.01081701109</v>
      </c>
      <c r="AC158" s="124">
        <f t="shared" si="322"/>
        <v>115</v>
      </c>
      <c r="AD158" s="130">
        <f t="shared" si="435"/>
        <v>3.7499999999999999E-2</v>
      </c>
      <c r="AE158" s="127">
        <f t="shared" si="436"/>
        <v>1363</v>
      </c>
      <c r="AF158" s="128">
        <f t="shared" si="437"/>
        <v>136167.9</v>
      </c>
      <c r="AG158" s="128">
        <f t="shared" si="348"/>
        <v>136300</v>
      </c>
      <c r="AH158" s="128">
        <f t="shared" si="357"/>
        <v>136300</v>
      </c>
      <c r="AI158" s="130">
        <f t="shared" si="377"/>
        <v>3.7499999999999999E-2</v>
      </c>
      <c r="AJ158" s="128">
        <f t="shared" si="378"/>
        <v>136725.9375</v>
      </c>
      <c r="AK158" s="128" t="str">
        <f t="shared" si="379"/>
        <v>nie</v>
      </c>
      <c r="AL158" s="128">
        <f t="shared" si="380"/>
        <v>681.5</v>
      </c>
      <c r="AM158" s="128">
        <f t="shared" si="361"/>
        <v>136092.99437500001</v>
      </c>
      <c r="AN158" s="128">
        <f t="shared" si="381"/>
        <v>345.00937500000003</v>
      </c>
      <c r="AO158" s="130">
        <f t="shared" si="382"/>
        <v>3.5999999999999997E-2</v>
      </c>
      <c r="AP158" s="128">
        <f t="shared" si="383"/>
        <v>2491.4910550763179</v>
      </c>
      <c r="AQ158" s="128">
        <f t="shared" si="362"/>
        <v>138239.47605507632</v>
      </c>
      <c r="AS158" s="124">
        <f t="shared" si="327"/>
        <v>115</v>
      </c>
      <c r="AT158" s="130">
        <f t="shared" si="328"/>
        <v>3.7499999999999999E-2</v>
      </c>
      <c r="AU158" s="127">
        <f t="shared" si="438"/>
        <v>1307</v>
      </c>
      <c r="AV158" s="128">
        <f t="shared" si="439"/>
        <v>130577.40000000001</v>
      </c>
      <c r="AW158" s="128">
        <f t="shared" si="363"/>
        <v>130700</v>
      </c>
      <c r="AX158" s="128">
        <f t="shared" si="358"/>
        <v>130700</v>
      </c>
      <c r="AY158" s="130">
        <f t="shared" si="384"/>
        <v>3.9E-2</v>
      </c>
      <c r="AZ158" s="128">
        <f t="shared" si="385"/>
        <v>131124.77499999999</v>
      </c>
      <c r="BA158" s="128" t="str">
        <f t="shared" si="386"/>
        <v>nie</v>
      </c>
      <c r="BB158" s="128">
        <f t="shared" si="387"/>
        <v>914.9</v>
      </c>
      <c r="BC158" s="128">
        <f t="shared" si="367"/>
        <v>130302.99875</v>
      </c>
      <c r="BD158" s="128">
        <f t="shared" si="388"/>
        <v>344.06774999999533</v>
      </c>
      <c r="BE158" s="130">
        <f t="shared" si="264"/>
        <v>3.5999999999999997E-2</v>
      </c>
      <c r="BF158" s="128">
        <f t="shared" si="389"/>
        <v>6745.0044611723542</v>
      </c>
      <c r="BG158" s="128">
        <f t="shared" si="368"/>
        <v>136703.93546117237</v>
      </c>
      <c r="BI158" s="124">
        <f t="shared" si="332"/>
        <v>115</v>
      </c>
      <c r="BJ158" s="130">
        <f t="shared" si="451"/>
        <v>3.9100000000000003E-2</v>
      </c>
      <c r="BK158" s="127">
        <f t="shared" si="440"/>
        <v>1376</v>
      </c>
      <c r="BL158" s="128">
        <f t="shared" si="441"/>
        <v>137462.39999999999</v>
      </c>
      <c r="BM158" s="128">
        <f t="shared" si="349"/>
        <v>137600</v>
      </c>
      <c r="BN158" s="128">
        <f t="shared" si="442"/>
        <v>137600</v>
      </c>
      <c r="BO158" s="130">
        <f t="shared" si="390"/>
        <v>4.3999999999999997E-2</v>
      </c>
      <c r="BP158" s="128">
        <f t="shared" si="391"/>
        <v>141131.73333333334</v>
      </c>
      <c r="BQ158" s="128" t="str">
        <f t="shared" si="392"/>
        <v>nie</v>
      </c>
      <c r="BR158" s="128">
        <f t="shared" si="393"/>
        <v>1376</v>
      </c>
      <c r="BS158" s="128">
        <f t="shared" si="364"/>
        <v>139346.144</v>
      </c>
      <c r="BT158" s="128">
        <f t="shared" si="443"/>
        <v>0</v>
      </c>
      <c r="BU158" s="130">
        <f t="shared" si="394"/>
        <v>3.5999999999999997E-2</v>
      </c>
      <c r="BV158" s="128">
        <f t="shared" si="271"/>
        <v>201.43858051767873</v>
      </c>
      <c r="BW158" s="128">
        <f t="shared" si="365"/>
        <v>139547.58258051769</v>
      </c>
      <c r="BY158" s="130">
        <f t="shared" si="452"/>
        <v>3.1E-2</v>
      </c>
      <c r="BZ158" s="127">
        <f t="shared" si="444"/>
        <v>1341</v>
      </c>
      <c r="CA158" s="128">
        <f t="shared" si="445"/>
        <v>133979.79999999999</v>
      </c>
      <c r="CB158" s="128">
        <f t="shared" si="366"/>
        <v>134100</v>
      </c>
      <c r="CC158" s="128">
        <f t="shared" si="359"/>
        <v>134100</v>
      </c>
      <c r="CD158" s="130">
        <f t="shared" si="395"/>
        <v>4.5999999999999999E-2</v>
      </c>
      <c r="CE158" s="128">
        <f t="shared" si="396"/>
        <v>137698.34999999998</v>
      </c>
      <c r="CF158" s="128" t="str">
        <f t="shared" si="397"/>
        <v>nie</v>
      </c>
      <c r="CG158" s="128">
        <f t="shared" si="398"/>
        <v>2682</v>
      </c>
      <c r="CH158" s="128">
        <f t="shared" si="369"/>
        <v>134842.24349999998</v>
      </c>
      <c r="CI158" s="128">
        <f t="shared" si="399"/>
        <v>0</v>
      </c>
      <c r="CJ158" s="130">
        <f t="shared" si="277"/>
        <v>3.5999999999999997E-2</v>
      </c>
      <c r="CK158" s="128">
        <f t="shared" si="400"/>
        <v>5278.0382550050945</v>
      </c>
      <c r="CL158" s="128">
        <f t="shared" si="401"/>
        <v>140120.28175500507</v>
      </c>
      <c r="CN158" s="127">
        <f t="shared" si="446"/>
        <v>1000</v>
      </c>
      <c r="CO158" s="128">
        <f t="shared" si="447"/>
        <v>100000</v>
      </c>
      <c r="CP158" s="128">
        <f t="shared" si="342"/>
        <v>100000</v>
      </c>
      <c r="CQ158" s="128">
        <f t="shared" si="448"/>
        <v>156839.79579203436</v>
      </c>
      <c r="CR158" s="130">
        <f t="shared" si="402"/>
        <v>5.1000000000000004E-2</v>
      </c>
      <c r="CS158" s="128">
        <f t="shared" si="403"/>
        <v>161505.77971684738</v>
      </c>
      <c r="CT158" s="128" t="str">
        <f t="shared" si="404"/>
        <v>nie</v>
      </c>
      <c r="CU158" s="128">
        <f t="shared" si="405"/>
        <v>3000</v>
      </c>
      <c r="CV158" s="128">
        <f t="shared" si="406"/>
        <v>147389.68157064638</v>
      </c>
      <c r="CW158" s="128">
        <f t="shared" si="285"/>
        <v>0</v>
      </c>
      <c r="CX158" s="130">
        <f t="shared" si="407"/>
        <v>3.5999999999999997E-2</v>
      </c>
      <c r="CY158" s="128">
        <f t="shared" si="408"/>
        <v>0</v>
      </c>
      <c r="CZ158" s="128">
        <f t="shared" si="409"/>
        <v>147389.68157064638</v>
      </c>
      <c r="DA158" s="20"/>
      <c r="DB158" s="127">
        <f t="shared" si="350"/>
        <v>1280</v>
      </c>
      <c r="DC158" s="128">
        <f t="shared" si="351"/>
        <v>128000</v>
      </c>
      <c r="DD158" s="128">
        <f t="shared" si="344"/>
        <v>128000</v>
      </c>
      <c r="DE158" s="128">
        <f t="shared" si="449"/>
        <v>148458.37439999997</v>
      </c>
      <c r="DF158" s="130">
        <f t="shared" si="410"/>
        <v>5.1000000000000004E-2</v>
      </c>
      <c r="DG158" s="128">
        <f t="shared" si="411"/>
        <v>152875.01103839997</v>
      </c>
      <c r="DH158" s="128" t="str">
        <f t="shared" si="412"/>
        <v>nie</v>
      </c>
      <c r="DI158" s="128">
        <f t="shared" si="413"/>
        <v>2560</v>
      </c>
      <c r="DJ158" s="128">
        <f t="shared" si="355"/>
        <v>146075.15894110399</v>
      </c>
      <c r="DK158" s="128">
        <f t="shared" si="294"/>
        <v>0</v>
      </c>
      <c r="DL158" s="130">
        <f t="shared" si="414"/>
        <v>3.5999999999999997E-2</v>
      </c>
      <c r="DM158" s="128">
        <f t="shared" si="415"/>
        <v>72.845563628611544</v>
      </c>
      <c r="DN158" s="128">
        <f t="shared" si="416"/>
        <v>146148.00450473261</v>
      </c>
      <c r="DP158" s="127">
        <f t="shared" si="352"/>
        <v>1000</v>
      </c>
      <c r="DQ158" s="128">
        <f t="shared" si="353"/>
        <v>100000</v>
      </c>
      <c r="DR158" s="128">
        <f t="shared" si="346"/>
        <v>100000</v>
      </c>
      <c r="DS158" s="128">
        <f t="shared" si="450"/>
        <v>163295.89363933378</v>
      </c>
      <c r="DT158" s="130">
        <f t="shared" si="417"/>
        <v>5.6000000000000001E-2</v>
      </c>
      <c r="DU158" s="128">
        <f t="shared" si="418"/>
        <v>168630.22616488533</v>
      </c>
      <c r="DV158" s="128" t="str">
        <f t="shared" si="419"/>
        <v>nie</v>
      </c>
      <c r="DW158" s="128">
        <f t="shared" si="420"/>
        <v>3000</v>
      </c>
      <c r="DX158" s="128">
        <f t="shared" si="302"/>
        <v>153160.48319355713</v>
      </c>
      <c r="DY158" s="128">
        <f t="shared" si="303"/>
        <v>0</v>
      </c>
      <c r="DZ158" s="130">
        <f t="shared" si="421"/>
        <v>3.5999999999999997E-2</v>
      </c>
      <c r="EA158" s="128">
        <f t="shared" si="422"/>
        <v>0</v>
      </c>
      <c r="EB158" s="128">
        <f t="shared" si="423"/>
        <v>153160.48319355713</v>
      </c>
    </row>
    <row r="159" spans="1:132">
      <c r="A159" s="212"/>
      <c r="B159" s="188">
        <f t="shared" si="424"/>
        <v>115</v>
      </c>
      <c r="C159" s="128">
        <f t="shared" si="425"/>
        <v>138239.47605507632</v>
      </c>
      <c r="D159" s="128">
        <f t="shared" si="426"/>
        <v>136703.93546117237</v>
      </c>
      <c r="E159" s="128">
        <f t="shared" si="427"/>
        <v>139547.58258051769</v>
      </c>
      <c r="F159" s="128">
        <f t="shared" si="428"/>
        <v>140120.28175500507</v>
      </c>
      <c r="G159" s="128">
        <f t="shared" si="429"/>
        <v>147389.68157064638</v>
      </c>
      <c r="H159" s="128">
        <f t="shared" si="430"/>
        <v>146148.00450473261</v>
      </c>
      <c r="I159" s="128">
        <f t="shared" si="431"/>
        <v>153160.48319355713</v>
      </c>
      <c r="J159" s="128">
        <f t="shared" si="432"/>
        <v>132195.40954858076</v>
      </c>
      <c r="K159" s="128">
        <f t="shared" si="433"/>
        <v>134002.01081701109</v>
      </c>
      <c r="M159" s="36"/>
      <c r="N159" s="32">
        <f t="shared" si="434"/>
        <v>115</v>
      </c>
      <c r="O159" s="25">
        <f t="shared" si="318"/>
        <v>0.38239476055076316</v>
      </c>
      <c r="P159" s="25">
        <f t="shared" si="319"/>
        <v>0.36703935461172366</v>
      </c>
      <c r="Q159" s="25">
        <f t="shared" si="320"/>
        <v>0.39547582580517693</v>
      </c>
      <c r="R159" s="25">
        <f t="shared" si="370"/>
        <v>0.40120281755005061</v>
      </c>
      <c r="S159" s="25">
        <f t="shared" si="371"/>
        <v>0.4738968157064638</v>
      </c>
      <c r="T159" s="25">
        <f t="shared" si="372"/>
        <v>0.4614800450473262</v>
      </c>
      <c r="U159" s="25">
        <f t="shared" si="373"/>
        <v>0.53160483193557129</v>
      </c>
      <c r="V159" s="25">
        <f t="shared" si="374"/>
        <v>0.32195409548580756</v>
      </c>
      <c r="W159" s="25">
        <f t="shared" si="375"/>
        <v>0.34002010817011086</v>
      </c>
      <c r="X159" s="36"/>
      <c r="Y159" s="36"/>
      <c r="AA159" s="124">
        <f t="shared" si="321"/>
        <v>116</v>
      </c>
      <c r="AB159" s="128">
        <f t="shared" si="376"/>
        <v>134342.03392704853</v>
      </c>
      <c r="AC159" s="124">
        <f t="shared" si="322"/>
        <v>116</v>
      </c>
      <c r="AD159" s="130">
        <f t="shared" si="435"/>
        <v>3.7499999999999999E-2</v>
      </c>
      <c r="AE159" s="127">
        <f t="shared" si="436"/>
        <v>1363</v>
      </c>
      <c r="AF159" s="128">
        <f t="shared" si="437"/>
        <v>136167.9</v>
      </c>
      <c r="AG159" s="128">
        <f t="shared" si="348"/>
        <v>136300</v>
      </c>
      <c r="AH159" s="128">
        <f t="shared" si="357"/>
        <v>136300</v>
      </c>
      <c r="AI159" s="130">
        <f t="shared" si="377"/>
        <v>3.7499999999999999E-2</v>
      </c>
      <c r="AJ159" s="128">
        <f t="shared" si="378"/>
        <v>136725.9375</v>
      </c>
      <c r="AK159" s="128" t="str">
        <f t="shared" si="379"/>
        <v>nie</v>
      </c>
      <c r="AL159" s="128">
        <f t="shared" si="380"/>
        <v>681.5</v>
      </c>
      <c r="AM159" s="128">
        <f t="shared" si="361"/>
        <v>136092.99437500001</v>
      </c>
      <c r="AN159" s="128">
        <f t="shared" si="381"/>
        <v>345.00937500000003</v>
      </c>
      <c r="AO159" s="130">
        <f t="shared" si="382"/>
        <v>3.5999999999999997E-2</v>
      </c>
      <c r="AP159" s="128">
        <f t="shared" si="383"/>
        <v>2842.5547533401532</v>
      </c>
      <c r="AQ159" s="128">
        <f t="shared" si="362"/>
        <v>138590.53975334016</v>
      </c>
      <c r="AS159" s="124">
        <f t="shared" si="327"/>
        <v>116</v>
      </c>
      <c r="AT159" s="130">
        <f t="shared" si="328"/>
        <v>3.7499999999999999E-2</v>
      </c>
      <c r="AU159" s="127">
        <f t="shared" si="438"/>
        <v>1307</v>
      </c>
      <c r="AV159" s="128">
        <f t="shared" si="439"/>
        <v>130577.40000000001</v>
      </c>
      <c r="AW159" s="128">
        <f t="shared" si="363"/>
        <v>130700</v>
      </c>
      <c r="AX159" s="128">
        <f t="shared" si="358"/>
        <v>130700</v>
      </c>
      <c r="AY159" s="130">
        <f t="shared" si="384"/>
        <v>3.9E-2</v>
      </c>
      <c r="AZ159" s="128">
        <f t="shared" si="385"/>
        <v>131124.77499999999</v>
      </c>
      <c r="BA159" s="128" t="str">
        <f t="shared" si="386"/>
        <v>nie</v>
      </c>
      <c r="BB159" s="128">
        <f t="shared" si="387"/>
        <v>914.9</v>
      </c>
      <c r="BC159" s="128">
        <f t="shared" si="367"/>
        <v>130302.99875</v>
      </c>
      <c r="BD159" s="128">
        <f t="shared" si="388"/>
        <v>344.06774999999533</v>
      </c>
      <c r="BE159" s="130">
        <f t="shared" si="264"/>
        <v>3.5999999999999997E-2</v>
      </c>
      <c r="BF159" s="128">
        <f t="shared" si="389"/>
        <v>7105.462572012998</v>
      </c>
      <c r="BG159" s="128">
        <f t="shared" si="368"/>
        <v>137064.39357201301</v>
      </c>
      <c r="BI159" s="124">
        <f t="shared" si="332"/>
        <v>116</v>
      </c>
      <c r="BJ159" s="130">
        <f t="shared" si="451"/>
        <v>3.9100000000000003E-2</v>
      </c>
      <c r="BK159" s="127">
        <f t="shared" si="440"/>
        <v>1376</v>
      </c>
      <c r="BL159" s="128">
        <f t="shared" si="441"/>
        <v>137462.39999999999</v>
      </c>
      <c r="BM159" s="128">
        <f t="shared" si="349"/>
        <v>137600</v>
      </c>
      <c r="BN159" s="128">
        <f t="shared" si="442"/>
        <v>137600</v>
      </c>
      <c r="BO159" s="130">
        <f t="shared" si="390"/>
        <v>4.3999999999999997E-2</v>
      </c>
      <c r="BP159" s="128">
        <f t="shared" si="391"/>
        <v>141636.26666666669</v>
      </c>
      <c r="BQ159" s="128" t="str">
        <f t="shared" si="392"/>
        <v>nie</v>
      </c>
      <c r="BR159" s="128">
        <f t="shared" si="393"/>
        <v>1376</v>
      </c>
      <c r="BS159" s="128">
        <f t="shared" si="364"/>
        <v>139754.81600000002</v>
      </c>
      <c r="BT159" s="128">
        <f t="shared" si="443"/>
        <v>0</v>
      </c>
      <c r="BU159" s="130">
        <f t="shared" si="394"/>
        <v>3.5999999999999997E-2</v>
      </c>
      <c r="BV159" s="128">
        <f t="shared" si="271"/>
        <v>201.92807626833667</v>
      </c>
      <c r="BW159" s="128">
        <f t="shared" si="365"/>
        <v>139956.74407626837</v>
      </c>
      <c r="BY159" s="130">
        <f t="shared" si="452"/>
        <v>3.1E-2</v>
      </c>
      <c r="BZ159" s="127">
        <f t="shared" si="444"/>
        <v>1341</v>
      </c>
      <c r="CA159" s="128">
        <f t="shared" si="445"/>
        <v>133979.79999999999</v>
      </c>
      <c r="CB159" s="128">
        <f t="shared" si="366"/>
        <v>134100</v>
      </c>
      <c r="CC159" s="128">
        <f t="shared" si="359"/>
        <v>134100</v>
      </c>
      <c r="CD159" s="130">
        <f t="shared" si="395"/>
        <v>4.5999999999999999E-2</v>
      </c>
      <c r="CE159" s="128">
        <f t="shared" si="396"/>
        <v>138212.4</v>
      </c>
      <c r="CF159" s="128" t="str">
        <f t="shared" si="397"/>
        <v>nie</v>
      </c>
      <c r="CG159" s="128">
        <f t="shared" si="398"/>
        <v>2682</v>
      </c>
      <c r="CH159" s="128">
        <f t="shared" si="369"/>
        <v>135258.62399999998</v>
      </c>
      <c r="CI159" s="128">
        <f t="shared" si="399"/>
        <v>0</v>
      </c>
      <c r="CJ159" s="130">
        <f t="shared" si="277"/>
        <v>3.5999999999999997E-2</v>
      </c>
      <c r="CK159" s="128">
        <f t="shared" si="400"/>
        <v>5290.8638879647569</v>
      </c>
      <c r="CL159" s="128">
        <f t="shared" si="401"/>
        <v>140549.48788796473</v>
      </c>
      <c r="CN159" s="127">
        <f t="shared" si="446"/>
        <v>1000</v>
      </c>
      <c r="CO159" s="128">
        <f t="shared" si="447"/>
        <v>100000</v>
      </c>
      <c r="CP159" s="128">
        <f t="shared" si="342"/>
        <v>100000</v>
      </c>
      <c r="CQ159" s="128">
        <f t="shared" si="448"/>
        <v>156839.79579203436</v>
      </c>
      <c r="CR159" s="130">
        <f t="shared" si="402"/>
        <v>5.1000000000000004E-2</v>
      </c>
      <c r="CS159" s="128">
        <f t="shared" si="403"/>
        <v>162172.34884896353</v>
      </c>
      <c r="CT159" s="128" t="str">
        <f t="shared" si="404"/>
        <v>nie</v>
      </c>
      <c r="CU159" s="128">
        <f t="shared" si="405"/>
        <v>3000</v>
      </c>
      <c r="CV159" s="128">
        <f t="shared" si="406"/>
        <v>147929.60256766045</v>
      </c>
      <c r="CW159" s="128">
        <f t="shared" si="285"/>
        <v>0</v>
      </c>
      <c r="CX159" s="130">
        <f t="shared" si="407"/>
        <v>3.5999999999999997E-2</v>
      </c>
      <c r="CY159" s="128">
        <f t="shared" si="408"/>
        <v>0</v>
      </c>
      <c r="CZ159" s="128">
        <f t="shared" si="409"/>
        <v>147929.60256766045</v>
      </c>
      <c r="DA159" s="20"/>
      <c r="DB159" s="127">
        <f t="shared" si="350"/>
        <v>1280</v>
      </c>
      <c r="DC159" s="128">
        <f t="shared" si="351"/>
        <v>128000</v>
      </c>
      <c r="DD159" s="128">
        <f t="shared" si="344"/>
        <v>128000</v>
      </c>
      <c r="DE159" s="128">
        <f t="shared" si="449"/>
        <v>148458.37439999997</v>
      </c>
      <c r="DF159" s="130">
        <f t="shared" si="410"/>
        <v>5.1000000000000004E-2</v>
      </c>
      <c r="DG159" s="128">
        <f t="shared" si="411"/>
        <v>153505.95912959997</v>
      </c>
      <c r="DH159" s="128" t="str">
        <f t="shared" si="412"/>
        <v>nie</v>
      </c>
      <c r="DI159" s="128">
        <f t="shared" si="413"/>
        <v>2560</v>
      </c>
      <c r="DJ159" s="128">
        <f t="shared" si="355"/>
        <v>146586.22689497599</v>
      </c>
      <c r="DK159" s="128">
        <f t="shared" si="294"/>
        <v>0</v>
      </c>
      <c r="DL159" s="130">
        <f t="shared" si="414"/>
        <v>3.5999999999999997E-2</v>
      </c>
      <c r="DM159" s="128">
        <f t="shared" si="415"/>
        <v>73.022578348229061</v>
      </c>
      <c r="DN159" s="128">
        <f t="shared" si="416"/>
        <v>146659.24947332422</v>
      </c>
      <c r="DP159" s="127">
        <f t="shared" si="352"/>
        <v>1000</v>
      </c>
      <c r="DQ159" s="128">
        <f t="shared" si="353"/>
        <v>100000</v>
      </c>
      <c r="DR159" s="128">
        <f t="shared" si="346"/>
        <v>100000</v>
      </c>
      <c r="DS159" s="128">
        <f t="shared" si="450"/>
        <v>163295.89363933378</v>
      </c>
      <c r="DT159" s="130">
        <f t="shared" si="417"/>
        <v>5.6000000000000001E-2</v>
      </c>
      <c r="DU159" s="128">
        <f t="shared" si="418"/>
        <v>169392.27366853558</v>
      </c>
      <c r="DV159" s="128" t="str">
        <f t="shared" si="419"/>
        <v>nie</v>
      </c>
      <c r="DW159" s="128">
        <f t="shared" si="420"/>
        <v>3000</v>
      </c>
      <c r="DX159" s="128">
        <f t="shared" si="302"/>
        <v>153777.74167151382</v>
      </c>
      <c r="DY159" s="128">
        <f t="shared" si="303"/>
        <v>0</v>
      </c>
      <c r="DZ159" s="130">
        <f t="shared" si="421"/>
        <v>3.5999999999999997E-2</v>
      </c>
      <c r="EA159" s="128">
        <f t="shared" si="422"/>
        <v>0</v>
      </c>
      <c r="EB159" s="128">
        <f t="shared" si="423"/>
        <v>153777.74167151382</v>
      </c>
    </row>
    <row r="160" spans="1:132">
      <c r="A160" s="212"/>
      <c r="B160" s="188">
        <f t="shared" si="424"/>
        <v>116</v>
      </c>
      <c r="C160" s="128">
        <f t="shared" si="425"/>
        <v>138590.53975334016</v>
      </c>
      <c r="D160" s="128">
        <f t="shared" si="426"/>
        <v>137064.39357201301</v>
      </c>
      <c r="E160" s="128">
        <f t="shared" si="427"/>
        <v>139956.74407626837</v>
      </c>
      <c r="F160" s="128">
        <f t="shared" si="428"/>
        <v>140549.48788796473</v>
      </c>
      <c r="G160" s="128">
        <f t="shared" si="429"/>
        <v>147929.60256766045</v>
      </c>
      <c r="H160" s="128">
        <f t="shared" si="430"/>
        <v>146659.24947332422</v>
      </c>
      <c r="I160" s="128">
        <f t="shared" si="431"/>
        <v>153777.74167151382</v>
      </c>
      <c r="J160" s="128">
        <f t="shared" si="432"/>
        <v>132516.64439378382</v>
      </c>
      <c r="K160" s="128">
        <f t="shared" si="433"/>
        <v>134342.03392704853</v>
      </c>
      <c r="M160" s="36"/>
      <c r="N160" s="32">
        <f t="shared" si="434"/>
        <v>116</v>
      </c>
      <c r="O160" s="25">
        <f t="shared" si="318"/>
        <v>0.38590539753340147</v>
      </c>
      <c r="P160" s="25">
        <f t="shared" si="319"/>
        <v>0.3706439357201301</v>
      </c>
      <c r="Q160" s="25">
        <f t="shared" si="320"/>
        <v>0.39956744076268369</v>
      </c>
      <c r="R160" s="25">
        <f t="shared" si="370"/>
        <v>0.4054948788796473</v>
      </c>
      <c r="S160" s="25">
        <f t="shared" si="371"/>
        <v>0.47929602567660456</v>
      </c>
      <c r="T160" s="25">
        <f t="shared" si="372"/>
        <v>0.46659249473324227</v>
      </c>
      <c r="U160" s="25">
        <f t="shared" si="373"/>
        <v>0.53777741671513835</v>
      </c>
      <c r="V160" s="25">
        <f t="shared" si="374"/>
        <v>0.32516644393783811</v>
      </c>
      <c r="W160" s="25">
        <f t="shared" si="375"/>
        <v>0.34342033927048532</v>
      </c>
      <c r="X160" s="36"/>
      <c r="Y160" s="36"/>
      <c r="AA160" s="124">
        <f t="shared" si="321"/>
        <v>117</v>
      </c>
      <c r="AB160" s="128">
        <f t="shared" si="376"/>
        <v>134682.05703708596</v>
      </c>
      <c r="AC160" s="124">
        <f t="shared" si="322"/>
        <v>117</v>
      </c>
      <c r="AD160" s="130">
        <f t="shared" si="435"/>
        <v>3.7499999999999999E-2</v>
      </c>
      <c r="AE160" s="127">
        <f t="shared" si="436"/>
        <v>1363</v>
      </c>
      <c r="AF160" s="128">
        <f t="shared" si="437"/>
        <v>136167.9</v>
      </c>
      <c r="AG160" s="128">
        <f t="shared" si="348"/>
        <v>136300</v>
      </c>
      <c r="AH160" s="128">
        <f t="shared" si="357"/>
        <v>136300</v>
      </c>
      <c r="AI160" s="130">
        <f t="shared" si="377"/>
        <v>3.7499999999999999E-2</v>
      </c>
      <c r="AJ160" s="128">
        <f t="shared" si="378"/>
        <v>136725.9375</v>
      </c>
      <c r="AK160" s="128" t="str">
        <f t="shared" si="379"/>
        <v>nie</v>
      </c>
      <c r="AL160" s="128">
        <f t="shared" si="380"/>
        <v>681.5</v>
      </c>
      <c r="AM160" s="128">
        <f t="shared" si="361"/>
        <v>136092.99437500001</v>
      </c>
      <c r="AN160" s="128">
        <f t="shared" si="381"/>
        <v>345.00937500000003</v>
      </c>
      <c r="AO160" s="130">
        <f t="shared" si="382"/>
        <v>3.5999999999999997E-2</v>
      </c>
      <c r="AP160" s="128">
        <f t="shared" si="383"/>
        <v>3194.4715363907699</v>
      </c>
      <c r="AQ160" s="128">
        <f t="shared" si="362"/>
        <v>138942.45653639079</v>
      </c>
      <c r="AS160" s="124">
        <f t="shared" si="327"/>
        <v>117</v>
      </c>
      <c r="AT160" s="130">
        <f t="shared" si="328"/>
        <v>3.7499999999999999E-2</v>
      </c>
      <c r="AU160" s="127">
        <f t="shared" si="438"/>
        <v>1307</v>
      </c>
      <c r="AV160" s="128">
        <f t="shared" si="439"/>
        <v>130577.40000000001</v>
      </c>
      <c r="AW160" s="128">
        <f t="shared" si="363"/>
        <v>130700</v>
      </c>
      <c r="AX160" s="128">
        <f t="shared" si="358"/>
        <v>130700</v>
      </c>
      <c r="AY160" s="130">
        <f t="shared" si="384"/>
        <v>3.9E-2</v>
      </c>
      <c r="AZ160" s="128">
        <f t="shared" si="385"/>
        <v>131124.77499999999</v>
      </c>
      <c r="BA160" s="128" t="str">
        <f t="shared" si="386"/>
        <v>nie</v>
      </c>
      <c r="BB160" s="128">
        <f t="shared" si="387"/>
        <v>914.9</v>
      </c>
      <c r="BC160" s="128">
        <f t="shared" si="367"/>
        <v>130302.99875</v>
      </c>
      <c r="BD160" s="128">
        <f t="shared" si="388"/>
        <v>344.06774999999533</v>
      </c>
      <c r="BE160" s="130">
        <f t="shared" si="264"/>
        <v>3.5999999999999997E-2</v>
      </c>
      <c r="BF160" s="128">
        <f t="shared" si="389"/>
        <v>7466.7965960629845</v>
      </c>
      <c r="BG160" s="128">
        <f t="shared" si="368"/>
        <v>137425.72759606299</v>
      </c>
      <c r="BI160" s="124">
        <f t="shared" si="332"/>
        <v>117</v>
      </c>
      <c r="BJ160" s="130">
        <f t="shared" si="451"/>
        <v>3.9100000000000003E-2</v>
      </c>
      <c r="BK160" s="127">
        <f t="shared" si="440"/>
        <v>1376</v>
      </c>
      <c r="BL160" s="128">
        <f t="shared" si="441"/>
        <v>137462.39999999999</v>
      </c>
      <c r="BM160" s="128">
        <f t="shared" si="349"/>
        <v>137600</v>
      </c>
      <c r="BN160" s="128">
        <f t="shared" si="442"/>
        <v>137600</v>
      </c>
      <c r="BO160" s="130">
        <f t="shared" si="390"/>
        <v>4.3999999999999997E-2</v>
      </c>
      <c r="BP160" s="128">
        <f t="shared" si="391"/>
        <v>142140.79999999999</v>
      </c>
      <c r="BQ160" s="128" t="str">
        <f t="shared" si="392"/>
        <v>nie</v>
      </c>
      <c r="BR160" s="128">
        <f t="shared" si="393"/>
        <v>1376</v>
      </c>
      <c r="BS160" s="128">
        <f t="shared" si="364"/>
        <v>140163.48799999998</v>
      </c>
      <c r="BT160" s="128">
        <f t="shared" si="443"/>
        <v>0</v>
      </c>
      <c r="BU160" s="130">
        <f t="shared" si="394"/>
        <v>3.5999999999999997E-2</v>
      </c>
      <c r="BV160" s="128">
        <f t="shared" si="271"/>
        <v>202.41876149366871</v>
      </c>
      <c r="BW160" s="128">
        <f t="shared" si="365"/>
        <v>140365.90676149365</v>
      </c>
      <c r="BY160" s="130">
        <f t="shared" si="452"/>
        <v>3.1E-2</v>
      </c>
      <c r="BZ160" s="127">
        <f t="shared" si="444"/>
        <v>1341</v>
      </c>
      <c r="CA160" s="128">
        <f t="shared" si="445"/>
        <v>133979.79999999999</v>
      </c>
      <c r="CB160" s="128">
        <f t="shared" si="366"/>
        <v>134100</v>
      </c>
      <c r="CC160" s="128">
        <f t="shared" si="359"/>
        <v>134100</v>
      </c>
      <c r="CD160" s="130">
        <f t="shared" si="395"/>
        <v>4.5999999999999999E-2</v>
      </c>
      <c r="CE160" s="128">
        <f t="shared" si="396"/>
        <v>138726.44999999998</v>
      </c>
      <c r="CF160" s="128" t="str">
        <f t="shared" si="397"/>
        <v>nie</v>
      </c>
      <c r="CG160" s="128">
        <f t="shared" si="398"/>
        <v>2682</v>
      </c>
      <c r="CH160" s="128">
        <f t="shared" si="369"/>
        <v>135675.00449999998</v>
      </c>
      <c r="CI160" s="128">
        <f t="shared" si="399"/>
        <v>0</v>
      </c>
      <c r="CJ160" s="130">
        <f t="shared" si="277"/>
        <v>3.5999999999999997E-2</v>
      </c>
      <c r="CK160" s="128">
        <f t="shared" si="400"/>
        <v>5303.7206872125107</v>
      </c>
      <c r="CL160" s="128">
        <f t="shared" si="401"/>
        <v>140978.72518721249</v>
      </c>
      <c r="CN160" s="127">
        <f t="shared" si="446"/>
        <v>1000</v>
      </c>
      <c r="CO160" s="128">
        <f t="shared" si="447"/>
        <v>100000</v>
      </c>
      <c r="CP160" s="128">
        <f t="shared" si="342"/>
        <v>100000</v>
      </c>
      <c r="CQ160" s="128">
        <f t="shared" si="448"/>
        <v>156839.79579203436</v>
      </c>
      <c r="CR160" s="130">
        <f t="shared" si="402"/>
        <v>5.1000000000000004E-2</v>
      </c>
      <c r="CS160" s="128">
        <f t="shared" si="403"/>
        <v>162838.91798107966</v>
      </c>
      <c r="CT160" s="128" t="str">
        <f t="shared" si="404"/>
        <v>nie</v>
      </c>
      <c r="CU160" s="128">
        <f t="shared" si="405"/>
        <v>3000</v>
      </c>
      <c r="CV160" s="128">
        <f t="shared" si="406"/>
        <v>148469.52356467454</v>
      </c>
      <c r="CW160" s="128">
        <f t="shared" si="285"/>
        <v>0</v>
      </c>
      <c r="CX160" s="130">
        <f t="shared" si="407"/>
        <v>3.5999999999999997E-2</v>
      </c>
      <c r="CY160" s="128">
        <f t="shared" si="408"/>
        <v>0</v>
      </c>
      <c r="CZ160" s="128">
        <f t="shared" si="409"/>
        <v>148469.52356467454</v>
      </c>
      <c r="DA160" s="20"/>
      <c r="DB160" s="127">
        <f t="shared" si="350"/>
        <v>1280</v>
      </c>
      <c r="DC160" s="128">
        <f t="shared" si="351"/>
        <v>128000</v>
      </c>
      <c r="DD160" s="128">
        <f t="shared" si="344"/>
        <v>128000</v>
      </c>
      <c r="DE160" s="128">
        <f t="shared" si="449"/>
        <v>148458.37439999997</v>
      </c>
      <c r="DF160" s="130">
        <f t="shared" si="410"/>
        <v>5.1000000000000004E-2</v>
      </c>
      <c r="DG160" s="128">
        <f t="shared" si="411"/>
        <v>154136.90722079994</v>
      </c>
      <c r="DH160" s="128" t="str">
        <f t="shared" si="412"/>
        <v>nie</v>
      </c>
      <c r="DI160" s="128">
        <f t="shared" si="413"/>
        <v>2560</v>
      </c>
      <c r="DJ160" s="128">
        <f t="shared" si="355"/>
        <v>147097.29484884796</v>
      </c>
      <c r="DK160" s="128">
        <f t="shared" si="294"/>
        <v>0</v>
      </c>
      <c r="DL160" s="130">
        <f t="shared" si="414"/>
        <v>3.5999999999999997E-2</v>
      </c>
      <c r="DM160" s="128">
        <f t="shared" si="415"/>
        <v>73.200023213615253</v>
      </c>
      <c r="DN160" s="128">
        <f t="shared" si="416"/>
        <v>147170.49487206156</v>
      </c>
      <c r="DP160" s="127">
        <f t="shared" si="352"/>
        <v>1000</v>
      </c>
      <c r="DQ160" s="128">
        <f t="shared" si="353"/>
        <v>100000</v>
      </c>
      <c r="DR160" s="128">
        <f t="shared" si="346"/>
        <v>100000</v>
      </c>
      <c r="DS160" s="128">
        <f t="shared" si="450"/>
        <v>163295.89363933378</v>
      </c>
      <c r="DT160" s="130">
        <f t="shared" si="417"/>
        <v>5.6000000000000001E-2</v>
      </c>
      <c r="DU160" s="128">
        <f t="shared" si="418"/>
        <v>170154.3211721858</v>
      </c>
      <c r="DV160" s="128" t="str">
        <f t="shared" si="419"/>
        <v>nie</v>
      </c>
      <c r="DW160" s="128">
        <f t="shared" si="420"/>
        <v>3000</v>
      </c>
      <c r="DX160" s="128">
        <f t="shared" si="302"/>
        <v>154395.00014947049</v>
      </c>
      <c r="DY160" s="128">
        <f t="shared" si="303"/>
        <v>0</v>
      </c>
      <c r="DZ160" s="130">
        <f t="shared" si="421"/>
        <v>3.5999999999999997E-2</v>
      </c>
      <c r="EA160" s="128">
        <f t="shared" si="422"/>
        <v>0</v>
      </c>
      <c r="EB160" s="128">
        <f t="shared" si="423"/>
        <v>154395.00014947049</v>
      </c>
    </row>
    <row r="161" spans="1:132">
      <c r="A161" s="212"/>
      <c r="B161" s="188">
        <f t="shared" si="424"/>
        <v>117</v>
      </c>
      <c r="C161" s="128">
        <f t="shared" si="425"/>
        <v>138942.45653639079</v>
      </c>
      <c r="D161" s="128">
        <f t="shared" si="426"/>
        <v>137425.72759606299</v>
      </c>
      <c r="E161" s="128">
        <f t="shared" si="427"/>
        <v>140365.90676149365</v>
      </c>
      <c r="F161" s="128">
        <f t="shared" si="428"/>
        <v>140978.72518721249</v>
      </c>
      <c r="G161" s="128">
        <f t="shared" si="429"/>
        <v>148469.52356467454</v>
      </c>
      <c r="H161" s="128">
        <f t="shared" si="430"/>
        <v>147170.49487206156</v>
      </c>
      <c r="I161" s="128">
        <f t="shared" si="431"/>
        <v>154395.00014947049</v>
      </c>
      <c r="J161" s="128">
        <f t="shared" si="432"/>
        <v>132838.65983966072</v>
      </c>
      <c r="K161" s="128">
        <f t="shared" si="433"/>
        <v>134682.05703708596</v>
      </c>
      <c r="M161" s="36"/>
      <c r="N161" s="32">
        <f t="shared" si="434"/>
        <v>117</v>
      </c>
      <c r="O161" s="25">
        <f t="shared" si="318"/>
        <v>0.3894245653639079</v>
      </c>
      <c r="P161" s="25">
        <f t="shared" si="319"/>
        <v>0.37425727596062996</v>
      </c>
      <c r="Q161" s="25">
        <f t="shared" si="320"/>
        <v>0.40365906761493653</v>
      </c>
      <c r="R161" s="25">
        <f t="shared" si="370"/>
        <v>0.40978725187212484</v>
      </c>
      <c r="S161" s="25">
        <f t="shared" si="371"/>
        <v>0.48469523564674533</v>
      </c>
      <c r="T161" s="25">
        <f t="shared" si="372"/>
        <v>0.47170494872061575</v>
      </c>
      <c r="U161" s="25">
        <f t="shared" si="373"/>
        <v>0.54395000149470496</v>
      </c>
      <c r="V161" s="25">
        <f t="shared" si="374"/>
        <v>0.32838659839660722</v>
      </c>
      <c r="W161" s="25">
        <f t="shared" si="375"/>
        <v>0.34682057037085956</v>
      </c>
      <c r="X161" s="36"/>
      <c r="Y161" s="36"/>
      <c r="AA161" s="124">
        <f t="shared" si="321"/>
        <v>118</v>
      </c>
      <c r="AB161" s="128">
        <f t="shared" si="376"/>
        <v>135022.08014712343</v>
      </c>
      <c r="AC161" s="124">
        <f t="shared" si="322"/>
        <v>118</v>
      </c>
      <c r="AD161" s="130">
        <f t="shared" si="435"/>
        <v>3.7499999999999999E-2</v>
      </c>
      <c r="AE161" s="127">
        <f t="shared" si="436"/>
        <v>1363</v>
      </c>
      <c r="AF161" s="128">
        <f t="shared" si="437"/>
        <v>136167.9</v>
      </c>
      <c r="AG161" s="128">
        <f t="shared" si="348"/>
        <v>136300</v>
      </c>
      <c r="AH161" s="128">
        <f t="shared" si="357"/>
        <v>136300</v>
      </c>
      <c r="AI161" s="130">
        <f t="shared" si="377"/>
        <v>3.7499999999999999E-2</v>
      </c>
      <c r="AJ161" s="128">
        <f t="shared" si="378"/>
        <v>136725.9375</v>
      </c>
      <c r="AK161" s="128" t="str">
        <f t="shared" si="379"/>
        <v>nie</v>
      </c>
      <c r="AL161" s="128">
        <f t="shared" si="380"/>
        <v>681.5</v>
      </c>
      <c r="AM161" s="128">
        <f t="shared" si="361"/>
        <v>136092.99437500001</v>
      </c>
      <c r="AN161" s="128">
        <f t="shared" si="381"/>
        <v>345.00937500000003</v>
      </c>
      <c r="AO161" s="130">
        <f t="shared" si="382"/>
        <v>3.5999999999999997E-2</v>
      </c>
      <c r="AP161" s="128">
        <f t="shared" si="383"/>
        <v>3547.2434772241995</v>
      </c>
      <c r="AQ161" s="128">
        <f t="shared" si="362"/>
        <v>139295.22847722421</v>
      </c>
      <c r="AS161" s="124">
        <f t="shared" si="327"/>
        <v>118</v>
      </c>
      <c r="AT161" s="130">
        <f t="shared" si="328"/>
        <v>3.7499999999999999E-2</v>
      </c>
      <c r="AU161" s="127">
        <f t="shared" si="438"/>
        <v>1307</v>
      </c>
      <c r="AV161" s="128">
        <f t="shared" si="439"/>
        <v>130577.40000000001</v>
      </c>
      <c r="AW161" s="128">
        <f t="shared" si="363"/>
        <v>130700</v>
      </c>
      <c r="AX161" s="128">
        <f t="shared" si="358"/>
        <v>130700</v>
      </c>
      <c r="AY161" s="130">
        <f t="shared" si="384"/>
        <v>3.9E-2</v>
      </c>
      <c r="AZ161" s="128">
        <f t="shared" si="385"/>
        <v>131124.77499999999</v>
      </c>
      <c r="BA161" s="128" t="str">
        <f t="shared" si="386"/>
        <v>nie</v>
      </c>
      <c r="BB161" s="128">
        <f t="shared" si="387"/>
        <v>914.9</v>
      </c>
      <c r="BC161" s="128">
        <f t="shared" si="367"/>
        <v>130302.99875</v>
      </c>
      <c r="BD161" s="128">
        <f t="shared" si="388"/>
        <v>344.06774999999533</v>
      </c>
      <c r="BE161" s="130">
        <f t="shared" si="264"/>
        <v>3.5999999999999997E-2</v>
      </c>
      <c r="BF161" s="128">
        <f t="shared" si="389"/>
        <v>7829.008661791413</v>
      </c>
      <c r="BG161" s="128">
        <f t="shared" si="368"/>
        <v>137787.9396617914</v>
      </c>
      <c r="BI161" s="124">
        <f t="shared" si="332"/>
        <v>118</v>
      </c>
      <c r="BJ161" s="130">
        <f t="shared" si="451"/>
        <v>3.9100000000000003E-2</v>
      </c>
      <c r="BK161" s="127">
        <f t="shared" si="440"/>
        <v>1376</v>
      </c>
      <c r="BL161" s="128">
        <f t="shared" si="441"/>
        <v>137462.39999999999</v>
      </c>
      <c r="BM161" s="128">
        <f t="shared" si="349"/>
        <v>137600</v>
      </c>
      <c r="BN161" s="128">
        <f t="shared" si="442"/>
        <v>137600</v>
      </c>
      <c r="BO161" s="130">
        <f t="shared" si="390"/>
        <v>4.3999999999999997E-2</v>
      </c>
      <c r="BP161" s="128">
        <f t="shared" si="391"/>
        <v>142645.33333333331</v>
      </c>
      <c r="BQ161" s="128" t="str">
        <f t="shared" si="392"/>
        <v>nie</v>
      </c>
      <c r="BR161" s="128">
        <f t="shared" si="393"/>
        <v>1376</v>
      </c>
      <c r="BS161" s="128">
        <f t="shared" si="364"/>
        <v>140572.15999999997</v>
      </c>
      <c r="BT161" s="128">
        <f t="shared" si="443"/>
        <v>0</v>
      </c>
      <c r="BU161" s="130">
        <f t="shared" si="394"/>
        <v>3.5999999999999997E-2</v>
      </c>
      <c r="BV161" s="128">
        <f t="shared" si="271"/>
        <v>202.91063908409831</v>
      </c>
      <c r="BW161" s="128">
        <f t="shared" si="365"/>
        <v>140775.07063908406</v>
      </c>
      <c r="BY161" s="130">
        <f t="shared" si="452"/>
        <v>3.1E-2</v>
      </c>
      <c r="BZ161" s="127">
        <f t="shared" si="444"/>
        <v>1341</v>
      </c>
      <c r="CA161" s="128">
        <f t="shared" si="445"/>
        <v>133979.79999999999</v>
      </c>
      <c r="CB161" s="128">
        <f t="shared" si="366"/>
        <v>134100</v>
      </c>
      <c r="CC161" s="128">
        <f t="shared" si="359"/>
        <v>134100</v>
      </c>
      <c r="CD161" s="130">
        <f t="shared" si="395"/>
        <v>4.5999999999999999E-2</v>
      </c>
      <c r="CE161" s="128">
        <f t="shared" si="396"/>
        <v>139240.5</v>
      </c>
      <c r="CF161" s="128" t="str">
        <f t="shared" si="397"/>
        <v>nie</v>
      </c>
      <c r="CG161" s="128">
        <f t="shared" si="398"/>
        <v>2682</v>
      </c>
      <c r="CH161" s="128">
        <f t="shared" si="369"/>
        <v>136091.38500000001</v>
      </c>
      <c r="CI161" s="128">
        <f t="shared" si="399"/>
        <v>0</v>
      </c>
      <c r="CJ161" s="130">
        <f t="shared" si="277"/>
        <v>3.5999999999999997E-2</v>
      </c>
      <c r="CK161" s="128">
        <f t="shared" si="400"/>
        <v>5316.6087284824371</v>
      </c>
      <c r="CL161" s="128">
        <f t="shared" si="401"/>
        <v>141407.99372848246</v>
      </c>
      <c r="CN161" s="127">
        <f t="shared" si="446"/>
        <v>1000</v>
      </c>
      <c r="CO161" s="128">
        <f t="shared" si="447"/>
        <v>100000</v>
      </c>
      <c r="CP161" s="128">
        <f t="shared" si="342"/>
        <v>100000</v>
      </c>
      <c r="CQ161" s="128">
        <f t="shared" si="448"/>
        <v>156839.79579203436</v>
      </c>
      <c r="CR161" s="130">
        <f t="shared" si="402"/>
        <v>5.1000000000000004E-2</v>
      </c>
      <c r="CS161" s="128">
        <f t="shared" si="403"/>
        <v>163505.48711319582</v>
      </c>
      <c r="CT161" s="128" t="str">
        <f t="shared" si="404"/>
        <v>nie</v>
      </c>
      <c r="CU161" s="128">
        <f t="shared" si="405"/>
        <v>3000</v>
      </c>
      <c r="CV161" s="128">
        <f t="shared" si="406"/>
        <v>149009.44456168861</v>
      </c>
      <c r="CW161" s="128">
        <f t="shared" si="285"/>
        <v>0</v>
      </c>
      <c r="CX161" s="130">
        <f t="shared" si="407"/>
        <v>3.5999999999999997E-2</v>
      </c>
      <c r="CY161" s="128">
        <f t="shared" si="408"/>
        <v>0</v>
      </c>
      <c r="CZ161" s="128">
        <f t="shared" si="409"/>
        <v>149009.44456168861</v>
      </c>
      <c r="DA161" s="20"/>
      <c r="DB161" s="127">
        <f t="shared" si="350"/>
        <v>1280</v>
      </c>
      <c r="DC161" s="128">
        <f t="shared" si="351"/>
        <v>128000</v>
      </c>
      <c r="DD161" s="128">
        <f t="shared" si="344"/>
        <v>128000</v>
      </c>
      <c r="DE161" s="128">
        <f t="shared" si="449"/>
        <v>148458.37439999997</v>
      </c>
      <c r="DF161" s="130">
        <f t="shared" si="410"/>
        <v>5.1000000000000004E-2</v>
      </c>
      <c r="DG161" s="128">
        <f t="shared" si="411"/>
        <v>154767.85531199997</v>
      </c>
      <c r="DH161" s="128" t="str">
        <f t="shared" si="412"/>
        <v>nie</v>
      </c>
      <c r="DI161" s="128">
        <f t="shared" si="413"/>
        <v>2560</v>
      </c>
      <c r="DJ161" s="128">
        <f t="shared" si="355"/>
        <v>147608.36280271999</v>
      </c>
      <c r="DK161" s="128">
        <f t="shared" si="294"/>
        <v>0</v>
      </c>
      <c r="DL161" s="130">
        <f t="shared" si="414"/>
        <v>3.5999999999999997E-2</v>
      </c>
      <c r="DM161" s="128">
        <f t="shared" si="415"/>
        <v>73.377899270024329</v>
      </c>
      <c r="DN161" s="128">
        <f t="shared" si="416"/>
        <v>147681.74070199</v>
      </c>
      <c r="DP161" s="127">
        <f t="shared" si="352"/>
        <v>1000</v>
      </c>
      <c r="DQ161" s="128">
        <f t="shared" si="353"/>
        <v>100000</v>
      </c>
      <c r="DR161" s="128">
        <f t="shared" si="346"/>
        <v>100000</v>
      </c>
      <c r="DS161" s="128">
        <f t="shared" si="450"/>
        <v>163295.89363933378</v>
      </c>
      <c r="DT161" s="130">
        <f t="shared" si="417"/>
        <v>5.6000000000000001E-2</v>
      </c>
      <c r="DU161" s="128">
        <f t="shared" si="418"/>
        <v>170916.36867583601</v>
      </c>
      <c r="DV161" s="128" t="str">
        <f t="shared" si="419"/>
        <v>nie</v>
      </c>
      <c r="DW161" s="128">
        <f t="shared" si="420"/>
        <v>3000</v>
      </c>
      <c r="DX161" s="128">
        <f t="shared" si="302"/>
        <v>155012.25862742716</v>
      </c>
      <c r="DY161" s="128">
        <f t="shared" si="303"/>
        <v>0</v>
      </c>
      <c r="DZ161" s="130">
        <f t="shared" si="421"/>
        <v>3.5999999999999997E-2</v>
      </c>
      <c r="EA161" s="128">
        <f t="shared" si="422"/>
        <v>0</v>
      </c>
      <c r="EB161" s="128">
        <f t="shared" si="423"/>
        <v>155012.25862742716</v>
      </c>
    </row>
    <row r="162" spans="1:132">
      <c r="A162" s="212"/>
      <c r="B162" s="188">
        <f t="shared" si="424"/>
        <v>118</v>
      </c>
      <c r="C162" s="128">
        <f t="shared" si="425"/>
        <v>139295.22847722421</v>
      </c>
      <c r="D162" s="128">
        <f t="shared" si="426"/>
        <v>137787.9396617914</v>
      </c>
      <c r="E162" s="128">
        <f t="shared" si="427"/>
        <v>140775.07063908406</v>
      </c>
      <c r="F162" s="128">
        <f t="shared" si="428"/>
        <v>141407.99372848246</v>
      </c>
      <c r="G162" s="128">
        <f t="shared" si="429"/>
        <v>149009.44456168861</v>
      </c>
      <c r="H162" s="128">
        <f t="shared" si="430"/>
        <v>147681.74070199</v>
      </c>
      <c r="I162" s="128">
        <f t="shared" si="431"/>
        <v>155012.25862742716</v>
      </c>
      <c r="J162" s="128">
        <f t="shared" si="432"/>
        <v>133161.45778307109</v>
      </c>
      <c r="K162" s="128">
        <f t="shared" si="433"/>
        <v>135022.08014712343</v>
      </c>
      <c r="M162" s="36"/>
      <c r="N162" s="32">
        <f t="shared" si="434"/>
        <v>118</v>
      </c>
      <c r="O162" s="25">
        <f t="shared" si="318"/>
        <v>0.3929522847722422</v>
      </c>
      <c r="P162" s="25">
        <f t="shared" si="319"/>
        <v>0.37787939661791392</v>
      </c>
      <c r="Q162" s="25">
        <f t="shared" si="320"/>
        <v>0.40775070639084054</v>
      </c>
      <c r="R162" s="25">
        <f t="shared" si="370"/>
        <v>0.41407993728482451</v>
      </c>
      <c r="S162" s="25">
        <f t="shared" si="371"/>
        <v>0.49009444561688609</v>
      </c>
      <c r="T162" s="25">
        <f t="shared" si="372"/>
        <v>0.47681740701990005</v>
      </c>
      <c r="U162" s="25">
        <f t="shared" si="373"/>
        <v>0.55012258627427157</v>
      </c>
      <c r="V162" s="25">
        <f t="shared" si="374"/>
        <v>0.33161457783071091</v>
      </c>
      <c r="W162" s="25">
        <f t="shared" si="375"/>
        <v>0.35022080147123424</v>
      </c>
      <c r="X162" s="36"/>
      <c r="Y162" s="36"/>
      <c r="AA162" s="124">
        <f t="shared" si="321"/>
        <v>119</v>
      </c>
      <c r="AB162" s="128">
        <f t="shared" si="376"/>
        <v>135362.10325716087</v>
      </c>
      <c r="AC162" s="124">
        <f t="shared" si="322"/>
        <v>119</v>
      </c>
      <c r="AD162" s="130">
        <f t="shared" si="435"/>
        <v>3.7499999999999999E-2</v>
      </c>
      <c r="AE162" s="127">
        <f t="shared" si="436"/>
        <v>1363</v>
      </c>
      <c r="AF162" s="128">
        <f t="shared" si="437"/>
        <v>136167.9</v>
      </c>
      <c r="AG162" s="128">
        <f t="shared" si="348"/>
        <v>136300</v>
      </c>
      <c r="AH162" s="128">
        <f t="shared" si="357"/>
        <v>136300</v>
      </c>
      <c r="AI162" s="130">
        <f t="shared" si="377"/>
        <v>3.7499999999999999E-2</v>
      </c>
      <c r="AJ162" s="128">
        <f t="shared" si="378"/>
        <v>136725.9375</v>
      </c>
      <c r="AK162" s="128" t="str">
        <f t="shared" si="379"/>
        <v>nie</v>
      </c>
      <c r="AL162" s="128">
        <f t="shared" si="380"/>
        <v>681.5</v>
      </c>
      <c r="AM162" s="128">
        <f t="shared" si="361"/>
        <v>136092.99437500001</v>
      </c>
      <c r="AN162" s="128">
        <f t="shared" si="381"/>
        <v>345.00937500000003</v>
      </c>
      <c r="AO162" s="130">
        <f t="shared" si="382"/>
        <v>3.5999999999999997E-2</v>
      </c>
      <c r="AP162" s="128">
        <f t="shared" si="383"/>
        <v>3900.8726538738542</v>
      </c>
      <c r="AQ162" s="128">
        <f t="shared" si="362"/>
        <v>139648.85765387386</v>
      </c>
      <c r="AS162" s="124">
        <f t="shared" si="327"/>
        <v>119</v>
      </c>
      <c r="AT162" s="130">
        <f t="shared" si="328"/>
        <v>3.7499999999999999E-2</v>
      </c>
      <c r="AU162" s="127">
        <f t="shared" si="438"/>
        <v>1307</v>
      </c>
      <c r="AV162" s="128">
        <f t="shared" si="439"/>
        <v>130577.40000000001</v>
      </c>
      <c r="AW162" s="128">
        <f t="shared" si="363"/>
        <v>130700</v>
      </c>
      <c r="AX162" s="128">
        <f t="shared" si="358"/>
        <v>130700</v>
      </c>
      <c r="AY162" s="130">
        <f t="shared" si="384"/>
        <v>3.9E-2</v>
      </c>
      <c r="AZ162" s="128">
        <f t="shared" si="385"/>
        <v>131124.77499999999</v>
      </c>
      <c r="BA162" s="128" t="str">
        <f t="shared" si="386"/>
        <v>nie</v>
      </c>
      <c r="BB162" s="128">
        <f t="shared" si="387"/>
        <v>914.9</v>
      </c>
      <c r="BC162" s="128">
        <f t="shared" si="367"/>
        <v>130302.99875</v>
      </c>
      <c r="BD162" s="128">
        <f t="shared" si="388"/>
        <v>344.06774999999533</v>
      </c>
      <c r="BE162" s="130">
        <f t="shared" si="264"/>
        <v>3.5999999999999997E-2</v>
      </c>
      <c r="BF162" s="128">
        <f t="shared" si="389"/>
        <v>8192.1009028395601</v>
      </c>
      <c r="BG162" s="128">
        <f t="shared" si="368"/>
        <v>138151.03190283958</v>
      </c>
      <c r="BI162" s="124">
        <f t="shared" si="332"/>
        <v>119</v>
      </c>
      <c r="BJ162" s="130">
        <f t="shared" si="451"/>
        <v>3.9100000000000003E-2</v>
      </c>
      <c r="BK162" s="127">
        <f t="shared" si="440"/>
        <v>1376</v>
      </c>
      <c r="BL162" s="128">
        <f t="shared" si="441"/>
        <v>137462.39999999999</v>
      </c>
      <c r="BM162" s="128">
        <f t="shared" si="349"/>
        <v>137600</v>
      </c>
      <c r="BN162" s="128">
        <f t="shared" si="442"/>
        <v>137600</v>
      </c>
      <c r="BO162" s="130">
        <f t="shared" si="390"/>
        <v>4.3999999999999997E-2</v>
      </c>
      <c r="BP162" s="128">
        <f t="shared" si="391"/>
        <v>143149.86666666667</v>
      </c>
      <c r="BQ162" s="128" t="str">
        <f t="shared" si="392"/>
        <v>nie</v>
      </c>
      <c r="BR162" s="128">
        <f t="shared" si="393"/>
        <v>1376</v>
      </c>
      <c r="BS162" s="128">
        <f t="shared" si="364"/>
        <v>140980.83199999999</v>
      </c>
      <c r="BT162" s="128">
        <f t="shared" si="443"/>
        <v>0</v>
      </c>
      <c r="BU162" s="130">
        <f t="shared" si="394"/>
        <v>3.5999999999999997E-2</v>
      </c>
      <c r="BV162" s="128">
        <f t="shared" si="271"/>
        <v>203.40371193707264</v>
      </c>
      <c r="BW162" s="128">
        <f t="shared" si="365"/>
        <v>141184.23571193707</v>
      </c>
      <c r="BY162" s="130">
        <f t="shared" si="452"/>
        <v>3.1E-2</v>
      </c>
      <c r="BZ162" s="127">
        <f t="shared" si="444"/>
        <v>1341</v>
      </c>
      <c r="CA162" s="128">
        <f t="shared" si="445"/>
        <v>133979.79999999999</v>
      </c>
      <c r="CB162" s="128">
        <f t="shared" si="366"/>
        <v>134100</v>
      </c>
      <c r="CC162" s="128">
        <f t="shared" si="359"/>
        <v>134100</v>
      </c>
      <c r="CD162" s="130">
        <f t="shared" si="395"/>
        <v>4.5999999999999999E-2</v>
      </c>
      <c r="CE162" s="128">
        <f t="shared" si="396"/>
        <v>139754.54999999999</v>
      </c>
      <c r="CF162" s="128" t="str">
        <f t="shared" si="397"/>
        <v>nie</v>
      </c>
      <c r="CG162" s="128">
        <f t="shared" si="398"/>
        <v>2682</v>
      </c>
      <c r="CH162" s="128">
        <f t="shared" si="369"/>
        <v>136507.76549999998</v>
      </c>
      <c r="CI162" s="128">
        <f t="shared" si="399"/>
        <v>0</v>
      </c>
      <c r="CJ162" s="130">
        <f t="shared" si="277"/>
        <v>3.5999999999999997E-2</v>
      </c>
      <c r="CK162" s="128">
        <f t="shared" si="400"/>
        <v>5329.528087692649</v>
      </c>
      <c r="CL162" s="128">
        <f t="shared" si="401"/>
        <v>141837.29358769263</v>
      </c>
      <c r="CN162" s="127">
        <f t="shared" si="446"/>
        <v>1000</v>
      </c>
      <c r="CO162" s="128">
        <f t="shared" si="447"/>
        <v>100000</v>
      </c>
      <c r="CP162" s="128">
        <f t="shared" si="342"/>
        <v>100000</v>
      </c>
      <c r="CQ162" s="128">
        <f t="shared" si="448"/>
        <v>156839.79579203436</v>
      </c>
      <c r="CR162" s="130">
        <f t="shared" si="402"/>
        <v>5.1000000000000004E-2</v>
      </c>
      <c r="CS162" s="128">
        <f t="shared" si="403"/>
        <v>164172.05624531198</v>
      </c>
      <c r="CT162" s="128" t="str">
        <f t="shared" si="404"/>
        <v>nie</v>
      </c>
      <c r="CU162" s="128">
        <f t="shared" si="405"/>
        <v>3000</v>
      </c>
      <c r="CV162" s="128">
        <f t="shared" si="406"/>
        <v>149549.3655587027</v>
      </c>
      <c r="CW162" s="128">
        <f t="shared" si="285"/>
        <v>0</v>
      </c>
      <c r="CX162" s="130">
        <f t="shared" si="407"/>
        <v>3.5999999999999997E-2</v>
      </c>
      <c r="CY162" s="128">
        <f t="shared" si="408"/>
        <v>0</v>
      </c>
      <c r="CZ162" s="128">
        <f t="shared" si="409"/>
        <v>149549.3655587027</v>
      </c>
      <c r="DA162" s="20"/>
      <c r="DB162" s="127">
        <f t="shared" si="350"/>
        <v>1280</v>
      </c>
      <c r="DC162" s="128">
        <f t="shared" si="351"/>
        <v>128000</v>
      </c>
      <c r="DD162" s="128">
        <f t="shared" si="344"/>
        <v>128000</v>
      </c>
      <c r="DE162" s="128">
        <f t="shared" si="449"/>
        <v>148458.37439999997</v>
      </c>
      <c r="DF162" s="130">
        <f t="shared" si="410"/>
        <v>5.1000000000000004E-2</v>
      </c>
      <c r="DG162" s="128">
        <f t="shared" si="411"/>
        <v>155398.80340319997</v>
      </c>
      <c r="DH162" s="128" t="str">
        <f t="shared" si="412"/>
        <v>nie</v>
      </c>
      <c r="DI162" s="128">
        <f t="shared" si="413"/>
        <v>2560</v>
      </c>
      <c r="DJ162" s="128">
        <f t="shared" si="355"/>
        <v>148119.43075659199</v>
      </c>
      <c r="DK162" s="128">
        <f t="shared" si="294"/>
        <v>0</v>
      </c>
      <c r="DL162" s="130">
        <f t="shared" si="414"/>
        <v>3.5999999999999997E-2</v>
      </c>
      <c r="DM162" s="128">
        <f t="shared" si="415"/>
        <v>73.556207565250489</v>
      </c>
      <c r="DN162" s="128">
        <f t="shared" si="416"/>
        <v>148192.98696415723</v>
      </c>
      <c r="DP162" s="127">
        <f t="shared" si="352"/>
        <v>1000</v>
      </c>
      <c r="DQ162" s="128">
        <f t="shared" si="353"/>
        <v>100000</v>
      </c>
      <c r="DR162" s="128">
        <f t="shared" si="346"/>
        <v>100000</v>
      </c>
      <c r="DS162" s="128">
        <f t="shared" si="450"/>
        <v>163295.89363933378</v>
      </c>
      <c r="DT162" s="130">
        <f t="shared" si="417"/>
        <v>5.6000000000000001E-2</v>
      </c>
      <c r="DU162" s="128">
        <f t="shared" si="418"/>
        <v>171678.41617948623</v>
      </c>
      <c r="DV162" s="128" t="str">
        <f t="shared" si="419"/>
        <v>nie</v>
      </c>
      <c r="DW162" s="128">
        <f t="shared" si="420"/>
        <v>3000</v>
      </c>
      <c r="DX162" s="128">
        <f t="shared" si="302"/>
        <v>155629.51710538386</v>
      </c>
      <c r="DY162" s="128">
        <f t="shared" si="303"/>
        <v>0</v>
      </c>
      <c r="DZ162" s="130">
        <f t="shared" si="421"/>
        <v>3.5999999999999997E-2</v>
      </c>
      <c r="EA162" s="128">
        <f t="shared" si="422"/>
        <v>0</v>
      </c>
      <c r="EB162" s="128">
        <f t="shared" si="423"/>
        <v>155629.51710538386</v>
      </c>
    </row>
    <row r="163" spans="1:132" ht="14.25" customHeight="1">
      <c r="A163" s="212"/>
      <c r="B163" s="188">
        <f t="shared" si="424"/>
        <v>119</v>
      </c>
      <c r="C163" s="128">
        <f t="shared" si="425"/>
        <v>139648.85765387386</v>
      </c>
      <c r="D163" s="128">
        <f t="shared" si="426"/>
        <v>138151.03190283958</v>
      </c>
      <c r="E163" s="128">
        <f t="shared" si="427"/>
        <v>141184.23571193707</v>
      </c>
      <c r="F163" s="128">
        <f t="shared" si="428"/>
        <v>141837.29358769263</v>
      </c>
      <c r="G163" s="128">
        <f t="shared" si="429"/>
        <v>149549.3655587027</v>
      </c>
      <c r="H163" s="128">
        <f t="shared" si="430"/>
        <v>148192.98696415723</v>
      </c>
      <c r="I163" s="128">
        <f t="shared" si="431"/>
        <v>155629.51710538386</v>
      </c>
      <c r="J163" s="128">
        <f t="shared" si="432"/>
        <v>133485.04012548394</v>
      </c>
      <c r="K163" s="128">
        <f t="shared" si="433"/>
        <v>135362.10325716087</v>
      </c>
      <c r="M163" s="36"/>
      <c r="N163" s="32">
        <f t="shared" si="434"/>
        <v>119</v>
      </c>
      <c r="O163" s="25">
        <f t="shared" si="318"/>
        <v>0.39648857653873848</v>
      </c>
      <c r="P163" s="25">
        <f t="shared" si="319"/>
        <v>0.38151031902839572</v>
      </c>
      <c r="Q163" s="25">
        <f t="shared" si="320"/>
        <v>0.41184235711937078</v>
      </c>
      <c r="R163" s="25">
        <f t="shared" si="370"/>
        <v>0.41837293587692637</v>
      </c>
      <c r="S163" s="25">
        <f t="shared" si="371"/>
        <v>0.49549365558702707</v>
      </c>
      <c r="T163" s="25">
        <f t="shared" si="372"/>
        <v>0.48192986964157236</v>
      </c>
      <c r="U163" s="25">
        <f t="shared" si="373"/>
        <v>0.55629517105383863</v>
      </c>
      <c r="V163" s="25">
        <f t="shared" si="374"/>
        <v>0.33485040125483945</v>
      </c>
      <c r="W163" s="25">
        <f t="shared" si="375"/>
        <v>0.35362103257160871</v>
      </c>
      <c r="X163" s="36"/>
      <c r="Y163" s="36"/>
      <c r="AA163" s="124">
        <f t="shared" si="321"/>
        <v>120</v>
      </c>
      <c r="AB163" s="128">
        <f t="shared" si="376"/>
        <v>135702.12636719827</v>
      </c>
      <c r="AC163" s="124">
        <f t="shared" si="322"/>
        <v>120</v>
      </c>
      <c r="AD163" s="130">
        <f t="shared" si="435"/>
        <v>3.7499999999999999E-2</v>
      </c>
      <c r="AE163" s="127">
        <f t="shared" si="436"/>
        <v>1363</v>
      </c>
      <c r="AF163" s="128">
        <f t="shared" si="437"/>
        <v>136167.9</v>
      </c>
      <c r="AG163" s="128">
        <f t="shared" si="348"/>
        <v>136300</v>
      </c>
      <c r="AH163" s="128">
        <f t="shared" si="357"/>
        <v>136300</v>
      </c>
      <c r="AI163" s="130">
        <f t="shared" si="377"/>
        <v>3.7499999999999999E-2</v>
      </c>
      <c r="AJ163" s="128">
        <f t="shared" si="378"/>
        <v>136725.9375</v>
      </c>
      <c r="AK163" s="128" t="str">
        <f t="shared" si="379"/>
        <v>tak</v>
      </c>
      <c r="AL163" s="128">
        <f t="shared" si="380"/>
        <v>0</v>
      </c>
      <c r="AM163" s="128">
        <f t="shared" si="361"/>
        <v>136645.00937499999</v>
      </c>
      <c r="AN163" s="128">
        <f t="shared" si="381"/>
        <v>481.80937499999226</v>
      </c>
      <c r="AO163" s="130">
        <f t="shared" si="382"/>
        <v>3.5999999999999997E-2</v>
      </c>
      <c r="AP163" s="128">
        <f t="shared" si="383"/>
        <v>4392.16114942276</v>
      </c>
      <c r="AQ163" s="128">
        <f t="shared" si="362"/>
        <v>140555.36114942277</v>
      </c>
      <c r="AS163" s="124">
        <f t="shared" si="327"/>
        <v>120</v>
      </c>
      <c r="AT163" s="130">
        <f t="shared" si="328"/>
        <v>3.7499999999999999E-2</v>
      </c>
      <c r="AU163" s="127">
        <f t="shared" si="438"/>
        <v>1307</v>
      </c>
      <c r="AV163" s="128">
        <f t="shared" si="439"/>
        <v>130577.40000000001</v>
      </c>
      <c r="AW163" s="128">
        <f t="shared" si="363"/>
        <v>130700</v>
      </c>
      <c r="AX163" s="128">
        <f t="shared" si="358"/>
        <v>130700</v>
      </c>
      <c r="AY163" s="130">
        <f t="shared" si="384"/>
        <v>3.9E-2</v>
      </c>
      <c r="AZ163" s="128">
        <f t="shared" si="385"/>
        <v>131124.77499999999</v>
      </c>
      <c r="BA163" s="128" t="str">
        <f t="shared" si="386"/>
        <v>tak</v>
      </c>
      <c r="BB163" s="128">
        <f t="shared" si="387"/>
        <v>0</v>
      </c>
      <c r="BC163" s="128">
        <f t="shared" si="367"/>
        <v>131044.06775</v>
      </c>
      <c r="BD163" s="128">
        <f t="shared" si="388"/>
        <v>475.26774999998787</v>
      </c>
      <c r="BE163" s="130">
        <f t="shared" si="264"/>
        <v>3.5999999999999997E-2</v>
      </c>
      <c r="BF163" s="128">
        <f t="shared" si="389"/>
        <v>8687.2754580334476</v>
      </c>
      <c r="BG163" s="128">
        <f t="shared" si="368"/>
        <v>139256.07545803348</v>
      </c>
      <c r="BI163" s="124">
        <f t="shared" si="332"/>
        <v>120</v>
      </c>
      <c r="BJ163" s="130">
        <f t="shared" si="451"/>
        <v>3.9100000000000003E-2</v>
      </c>
      <c r="BK163" s="127">
        <f t="shared" si="440"/>
        <v>1376</v>
      </c>
      <c r="BL163" s="128">
        <f t="shared" si="441"/>
        <v>137462.39999999999</v>
      </c>
      <c r="BM163" s="128">
        <f t="shared" si="349"/>
        <v>137600</v>
      </c>
      <c r="BN163" s="128">
        <f t="shared" si="442"/>
        <v>137600</v>
      </c>
      <c r="BO163" s="130">
        <f t="shared" si="390"/>
        <v>4.3999999999999997E-2</v>
      </c>
      <c r="BP163" s="128">
        <f t="shared" si="391"/>
        <v>143654.39999999999</v>
      </c>
      <c r="BQ163" s="128" t="str">
        <f t="shared" si="392"/>
        <v>nie</v>
      </c>
      <c r="BR163" s="128">
        <f t="shared" si="393"/>
        <v>1376</v>
      </c>
      <c r="BS163" s="128">
        <f t="shared" si="364"/>
        <v>141389.50399999999</v>
      </c>
      <c r="BT163" s="128">
        <f t="shared" si="443"/>
        <v>0</v>
      </c>
      <c r="BU163" s="130">
        <f t="shared" si="394"/>
        <v>3.5999999999999997E-2</v>
      </c>
      <c r="BV163" s="128">
        <f t="shared" si="271"/>
        <v>203.89798295707971</v>
      </c>
      <c r="BW163" s="128">
        <f t="shared" si="365"/>
        <v>141593.40198295706</v>
      </c>
      <c r="BY163" s="130">
        <f t="shared" si="452"/>
        <v>3.1E-2</v>
      </c>
      <c r="BZ163" s="127">
        <f t="shared" si="444"/>
        <v>1341</v>
      </c>
      <c r="CA163" s="128">
        <f t="shared" si="445"/>
        <v>133979.79999999999</v>
      </c>
      <c r="CB163" s="128">
        <f t="shared" si="366"/>
        <v>134100</v>
      </c>
      <c r="CC163" s="128">
        <f t="shared" si="359"/>
        <v>134100</v>
      </c>
      <c r="CD163" s="130">
        <f t="shared" si="395"/>
        <v>4.5999999999999999E-2</v>
      </c>
      <c r="CE163" s="128">
        <f t="shared" si="396"/>
        <v>140268.6</v>
      </c>
      <c r="CF163" s="128" t="str">
        <f t="shared" si="397"/>
        <v>nie</v>
      </c>
      <c r="CG163" s="128">
        <f t="shared" si="398"/>
        <v>2682</v>
      </c>
      <c r="CH163" s="128">
        <f t="shared" si="369"/>
        <v>136924.14600000001</v>
      </c>
      <c r="CI163" s="128">
        <f t="shared" si="399"/>
        <v>4996.5660000000053</v>
      </c>
      <c r="CJ163" s="130">
        <f t="shared" si="277"/>
        <v>3.5999999999999997E-2</v>
      </c>
      <c r="CK163" s="128">
        <f t="shared" si="400"/>
        <v>10339.044840945746</v>
      </c>
      <c r="CL163" s="128">
        <f t="shared" si="401"/>
        <v>142266.62484094576</v>
      </c>
      <c r="CN163" s="127">
        <f t="shared" si="446"/>
        <v>1000</v>
      </c>
      <c r="CO163" s="128">
        <f t="shared" si="447"/>
        <v>100000</v>
      </c>
      <c r="CP163" s="128">
        <f t="shared" si="342"/>
        <v>100000</v>
      </c>
      <c r="CQ163" s="128">
        <f t="shared" si="448"/>
        <v>156839.79579203436</v>
      </c>
      <c r="CR163" s="130">
        <f t="shared" si="402"/>
        <v>5.1000000000000004E-2</v>
      </c>
      <c r="CS163" s="128">
        <f t="shared" si="403"/>
        <v>164838.62537742811</v>
      </c>
      <c r="CT163" s="128" t="str">
        <f t="shared" si="404"/>
        <v>tak</v>
      </c>
      <c r="CU163" s="128">
        <f t="shared" si="405"/>
        <v>0</v>
      </c>
      <c r="CV163" s="128">
        <f t="shared" si="406"/>
        <v>152519.28655571677</v>
      </c>
      <c r="CW163" s="128">
        <f t="shared" ref="CW163:CW186" si="453">IF(AND(CT163="tak",CO164&lt;&gt;""),
 CV163-CO164,
0)</f>
        <v>71.886555716773728</v>
      </c>
      <c r="CX163" s="130">
        <f t="shared" si="407"/>
        <v>3.5999999999999997E-2</v>
      </c>
      <c r="CY163" s="128">
        <f t="shared" si="408"/>
        <v>71.886555716773728</v>
      </c>
      <c r="CZ163" s="128">
        <f t="shared" si="409"/>
        <v>152519.28655571677</v>
      </c>
      <c r="DA163" s="20"/>
      <c r="DB163" s="127">
        <f t="shared" si="350"/>
        <v>1280</v>
      </c>
      <c r="DC163" s="128">
        <f t="shared" si="351"/>
        <v>128000</v>
      </c>
      <c r="DD163" s="128">
        <f t="shared" si="344"/>
        <v>128000</v>
      </c>
      <c r="DE163" s="128">
        <f t="shared" si="449"/>
        <v>148458.37439999997</v>
      </c>
      <c r="DF163" s="130">
        <f t="shared" si="410"/>
        <v>5.1000000000000004E-2</v>
      </c>
      <c r="DG163" s="128">
        <f t="shared" si="411"/>
        <v>156029.75149439997</v>
      </c>
      <c r="DH163" s="128" t="str">
        <f t="shared" si="412"/>
        <v>nie</v>
      </c>
      <c r="DI163" s="128">
        <f t="shared" si="413"/>
        <v>2560</v>
      </c>
      <c r="DJ163" s="128">
        <f t="shared" si="355"/>
        <v>148630.49871046399</v>
      </c>
      <c r="DK163" s="128">
        <f t="shared" ref="DK163:DK186" si="454">IF(AND(DH163="tak",DC164&lt;&gt;""),
 DJ163-DC164,
0)</f>
        <v>0</v>
      </c>
      <c r="DL163" s="130">
        <f t="shared" si="414"/>
        <v>3.5999999999999997E-2</v>
      </c>
      <c r="DM163" s="128">
        <f t="shared" si="415"/>
        <v>73.734949149634048</v>
      </c>
      <c r="DN163" s="128">
        <f t="shared" si="416"/>
        <v>148704.23365961362</v>
      </c>
      <c r="DP163" s="127">
        <f t="shared" si="352"/>
        <v>1000</v>
      </c>
      <c r="DQ163" s="128">
        <f t="shared" si="353"/>
        <v>100000</v>
      </c>
      <c r="DR163" s="128">
        <f t="shared" si="346"/>
        <v>100000</v>
      </c>
      <c r="DS163" s="128">
        <f t="shared" si="450"/>
        <v>163295.89363933378</v>
      </c>
      <c r="DT163" s="130">
        <f t="shared" si="417"/>
        <v>5.6000000000000001E-2</v>
      </c>
      <c r="DU163" s="128">
        <f t="shared" si="418"/>
        <v>172440.46368313648</v>
      </c>
      <c r="DV163" s="128" t="str">
        <f t="shared" si="419"/>
        <v>nie</v>
      </c>
      <c r="DW163" s="128">
        <f t="shared" si="420"/>
        <v>3000</v>
      </c>
      <c r="DX163" s="128">
        <f t="shared" si="302"/>
        <v>156246.77558334055</v>
      </c>
      <c r="DY163" s="128">
        <f t="shared" ref="DY163:DY186" si="455">IF(AND(DV163="tak",DQ164&lt;&gt;""),
 DX163-DQ164,
0)</f>
        <v>0</v>
      </c>
      <c r="DZ163" s="130">
        <f t="shared" si="421"/>
        <v>3.5999999999999997E-2</v>
      </c>
      <c r="EA163" s="128">
        <f t="shared" si="422"/>
        <v>0</v>
      </c>
      <c r="EB163" s="128">
        <f t="shared" si="423"/>
        <v>156246.77558334055</v>
      </c>
    </row>
    <row r="164" spans="1:132">
      <c r="A164" s="212"/>
      <c r="B164" s="188">
        <f t="shared" si="424"/>
        <v>120</v>
      </c>
      <c r="C164" s="128">
        <f t="shared" si="425"/>
        <v>140555.36114942277</v>
      </c>
      <c r="D164" s="128">
        <f t="shared" si="426"/>
        <v>139256.07545803348</v>
      </c>
      <c r="E164" s="128">
        <f t="shared" si="427"/>
        <v>141593.40198295706</v>
      </c>
      <c r="F164" s="128">
        <f t="shared" si="428"/>
        <v>142266.62484094576</v>
      </c>
      <c r="G164" s="128">
        <f t="shared" si="429"/>
        <v>152519.28655571677</v>
      </c>
      <c r="H164" s="128">
        <f t="shared" si="430"/>
        <v>148704.23365961362</v>
      </c>
      <c r="I164" s="128">
        <f t="shared" si="431"/>
        <v>156246.77558334055</v>
      </c>
      <c r="J164" s="128">
        <f t="shared" si="432"/>
        <v>133809.40877298886</v>
      </c>
      <c r="K164" s="128">
        <f t="shared" si="433"/>
        <v>135702.12636719827</v>
      </c>
      <c r="M164" s="36"/>
      <c r="N164" s="32">
        <f t="shared" si="434"/>
        <v>120</v>
      </c>
      <c r="O164" s="25">
        <f t="shared" si="318"/>
        <v>0.40555361149422775</v>
      </c>
      <c r="P164" s="25">
        <f t="shared" si="319"/>
        <v>0.39256075458033468</v>
      </c>
      <c r="Q164" s="25">
        <f t="shared" si="320"/>
        <v>0.41593401982957068</v>
      </c>
      <c r="R164" s="25">
        <f t="shared" si="370"/>
        <v>0.42266624840945766</v>
      </c>
      <c r="S164" s="25">
        <f t="shared" si="371"/>
        <v>0.5251928655571676</v>
      </c>
      <c r="T164" s="25">
        <f t="shared" si="372"/>
        <v>0.48704233659613605</v>
      </c>
      <c r="U164" s="25">
        <f t="shared" si="373"/>
        <v>0.56246775583340547</v>
      </c>
      <c r="V164" s="25">
        <f t="shared" si="374"/>
        <v>0.33809408772988858</v>
      </c>
      <c r="W164" s="25">
        <f t="shared" si="375"/>
        <v>0.35702126367198272</v>
      </c>
      <c r="X164" s="36"/>
      <c r="Y164" s="36"/>
      <c r="AA164" s="124">
        <f t="shared" si="321"/>
        <v>121</v>
      </c>
      <c r="AB164" s="128">
        <f t="shared" si="376"/>
        <v>136052.69019364688</v>
      </c>
      <c r="AC164" s="124">
        <f t="shared" si="322"/>
        <v>121</v>
      </c>
      <c r="AD164" s="130">
        <f t="shared" si="435"/>
        <v>3.7499999999999999E-2</v>
      </c>
      <c r="AE164" s="127">
        <f t="shared" si="436"/>
        <v>1410</v>
      </c>
      <c r="AF164" s="128">
        <f t="shared" si="437"/>
        <v>140863.30000000002</v>
      </c>
      <c r="AG164" s="128">
        <f t="shared" si="348"/>
        <v>141000</v>
      </c>
      <c r="AH164" s="128">
        <f t="shared" si="357"/>
        <v>141000</v>
      </c>
      <c r="AI164" s="130">
        <f t="shared" si="377"/>
        <v>0.04</v>
      </c>
      <c r="AJ164" s="128">
        <f t="shared" si="378"/>
        <v>141470</v>
      </c>
      <c r="AK164" s="128" t="str">
        <f t="shared" si="379"/>
        <v>nie</v>
      </c>
      <c r="AL164" s="128">
        <f t="shared" si="380"/>
        <v>470</v>
      </c>
      <c r="AM164" s="128">
        <f t="shared" si="361"/>
        <v>141000</v>
      </c>
      <c r="AN164" s="128">
        <f t="shared" si="381"/>
        <v>380.70000000000005</v>
      </c>
      <c r="AO164" s="130">
        <f t="shared" si="382"/>
        <v>3.5999999999999997E-2</v>
      </c>
      <c r="AP164" s="128">
        <f t="shared" si="383"/>
        <v>473.08510101585733</v>
      </c>
      <c r="AQ164" s="128">
        <f t="shared" si="362"/>
        <v>145402.83410101585</v>
      </c>
      <c r="AS164" s="124">
        <f t="shared" si="327"/>
        <v>121</v>
      </c>
      <c r="AT164" s="130">
        <f t="shared" si="328"/>
        <v>3.7499999999999999E-2</v>
      </c>
      <c r="AU164" s="127">
        <f t="shared" si="438"/>
        <v>1397</v>
      </c>
      <c r="AV164" s="128">
        <f t="shared" si="439"/>
        <v>139568.90000000002</v>
      </c>
      <c r="AW164" s="128">
        <f t="shared" si="363"/>
        <v>139700</v>
      </c>
      <c r="AX164" s="128">
        <f t="shared" si="358"/>
        <v>139700</v>
      </c>
      <c r="AY164" s="130">
        <f t="shared" si="384"/>
        <v>4.1500000000000002E-2</v>
      </c>
      <c r="AZ164" s="128">
        <f t="shared" si="385"/>
        <v>140183.12916666668</v>
      </c>
      <c r="BA164" s="128" t="str">
        <f t="shared" si="386"/>
        <v>nie</v>
      </c>
      <c r="BB164" s="128">
        <f t="shared" si="387"/>
        <v>483.12916666668025</v>
      </c>
      <c r="BC164" s="128">
        <f t="shared" si="367"/>
        <v>139700</v>
      </c>
      <c r="BD164" s="128">
        <f t="shared" si="388"/>
        <v>391.33462500001104</v>
      </c>
      <c r="BE164" s="130">
        <f t="shared" si="264"/>
        <v>3.5999999999999997E-2</v>
      </c>
      <c r="BF164" s="128">
        <f t="shared" si="389"/>
        <v>478.82216239647994</v>
      </c>
      <c r="BG164" s="128">
        <f t="shared" si="368"/>
        <v>148408.38553739648</v>
      </c>
      <c r="BI164" s="124">
        <f t="shared" si="332"/>
        <v>121</v>
      </c>
      <c r="BJ164" s="130">
        <f t="shared" si="451"/>
        <v>3.9100000000000003E-2</v>
      </c>
      <c r="BK164" s="127">
        <f t="shared" si="440"/>
        <v>1376</v>
      </c>
      <c r="BL164" s="128">
        <f t="shared" si="441"/>
        <v>137462.39999999999</v>
      </c>
      <c r="BM164" s="128">
        <f t="shared" si="349"/>
        <v>137600</v>
      </c>
      <c r="BN164" s="128">
        <f t="shared" si="442"/>
        <v>143654.39999999999</v>
      </c>
      <c r="BO164" s="130">
        <f t="shared" si="390"/>
        <v>4.3999999999999997E-2</v>
      </c>
      <c r="BP164" s="128">
        <f t="shared" si="391"/>
        <v>144181.13279999999</v>
      </c>
      <c r="BQ164" s="128" t="str">
        <f t="shared" si="392"/>
        <v>nie</v>
      </c>
      <c r="BR164" s="128">
        <f t="shared" si="393"/>
        <v>1376</v>
      </c>
      <c r="BS164" s="128">
        <f t="shared" si="364"/>
        <v>141816.157568</v>
      </c>
      <c r="BT164" s="128">
        <f>IF(AND(BQ164="tak",BL165&lt;&gt;""),
 BS164-BL165,
0)</f>
        <v>0</v>
      </c>
      <c r="BU164" s="130">
        <f t="shared" si="394"/>
        <v>3.5999999999999997E-2</v>
      </c>
      <c r="BV164" s="128">
        <f t="shared" si="271"/>
        <v>204.39345505566538</v>
      </c>
      <c r="BW164" s="128">
        <f t="shared" si="365"/>
        <v>142020.55102305565</v>
      </c>
      <c r="BY164" s="130">
        <f t="shared" si="452"/>
        <v>3.1E-2</v>
      </c>
      <c r="BZ164" s="127">
        <f t="shared" si="444"/>
        <v>1341</v>
      </c>
      <c r="CA164" s="128">
        <f t="shared" si="445"/>
        <v>133979.79999999999</v>
      </c>
      <c r="CB164" s="128">
        <f t="shared" si="366"/>
        <v>134100</v>
      </c>
      <c r="CC164" s="128">
        <f t="shared" si="359"/>
        <v>134100</v>
      </c>
      <c r="CD164" s="130">
        <f t="shared" si="395"/>
        <v>4.5999999999999999E-2</v>
      </c>
      <c r="CE164" s="128">
        <f t="shared" si="396"/>
        <v>134614.05000000002</v>
      </c>
      <c r="CF164" s="128" t="str">
        <f t="shared" si="397"/>
        <v>nie</v>
      </c>
      <c r="CG164" s="128">
        <f t="shared" si="398"/>
        <v>2682</v>
      </c>
      <c r="CH164" s="128">
        <f t="shared" si="369"/>
        <v>132343.96050000002</v>
      </c>
      <c r="CI164" s="128">
        <f t="shared" si="399"/>
        <v>0</v>
      </c>
      <c r="CJ164" s="130">
        <f t="shared" si="277"/>
        <v>3.5999999999999997E-2</v>
      </c>
      <c r="CK164" s="128">
        <f t="shared" si="400"/>
        <v>10364.168719909243</v>
      </c>
      <c r="CL164" s="128">
        <f t="shared" si="401"/>
        <v>142708.12921990926</v>
      </c>
      <c r="CN164" s="127">
        <f t="shared" si="446"/>
        <v>1526</v>
      </c>
      <c r="CO164" s="128">
        <f t="shared" si="447"/>
        <v>152447.4</v>
      </c>
      <c r="CP164" s="128">
        <f t="shared" si="342"/>
        <v>152600</v>
      </c>
      <c r="CQ164" s="128">
        <f t="shared" si="448"/>
        <v>152600</v>
      </c>
      <c r="CR164" s="130">
        <f t="shared" si="402"/>
        <v>5.3499999999999999E-2</v>
      </c>
      <c r="CS164" s="128">
        <f t="shared" si="403"/>
        <v>153280.34166666665</v>
      </c>
      <c r="CT164" s="128" t="str">
        <f t="shared" si="404"/>
        <v>nie</v>
      </c>
      <c r="CU164" s="128">
        <f t="shared" si="405"/>
        <v>680.34166666664532</v>
      </c>
      <c r="CV164" s="128">
        <f t="shared" si="406"/>
        <v>152600</v>
      </c>
      <c r="CW164" s="128">
        <f t="shared" si="453"/>
        <v>0</v>
      </c>
      <c r="CX164" s="130">
        <f t="shared" si="407"/>
        <v>3.5999999999999997E-2</v>
      </c>
      <c r="CY164" s="128">
        <f t="shared" si="408"/>
        <v>72.061240047165484</v>
      </c>
      <c r="CZ164" s="128">
        <f t="shared" si="409"/>
        <v>152672.06124004716</v>
      </c>
      <c r="DA164" s="20"/>
      <c r="DB164" s="127">
        <f t="shared" si="350"/>
        <v>1280</v>
      </c>
      <c r="DC164" s="128">
        <f t="shared" si="351"/>
        <v>128000</v>
      </c>
      <c r="DD164" s="128">
        <f t="shared" si="344"/>
        <v>128000</v>
      </c>
      <c r="DE164" s="128">
        <f t="shared" si="449"/>
        <v>156029.75149439997</v>
      </c>
      <c r="DF164" s="130">
        <f t="shared" si="410"/>
        <v>5.1000000000000004E-2</v>
      </c>
      <c r="DG164" s="128">
        <f t="shared" si="411"/>
        <v>156692.87793825119</v>
      </c>
      <c r="DH164" s="128" t="str">
        <f t="shared" si="412"/>
        <v>nie</v>
      </c>
      <c r="DI164" s="128">
        <f t="shared" si="413"/>
        <v>2560</v>
      </c>
      <c r="DJ164" s="128">
        <f t="shared" si="355"/>
        <v>149167.63112998346</v>
      </c>
      <c r="DK164" s="128">
        <f t="shared" si="454"/>
        <v>0</v>
      </c>
      <c r="DL164" s="130">
        <f t="shared" si="414"/>
        <v>3.5999999999999997E-2</v>
      </c>
      <c r="DM164" s="128">
        <f t="shared" si="415"/>
        <v>73.914125076067648</v>
      </c>
      <c r="DN164" s="128">
        <f t="shared" si="416"/>
        <v>149241.54525505952</v>
      </c>
      <c r="DP164" s="127">
        <f t="shared" si="352"/>
        <v>1000</v>
      </c>
      <c r="DQ164" s="128">
        <f t="shared" si="353"/>
        <v>100000</v>
      </c>
      <c r="DR164" s="128">
        <f t="shared" si="346"/>
        <v>100000</v>
      </c>
      <c r="DS164" s="128">
        <f t="shared" si="450"/>
        <v>172440.46368313648</v>
      </c>
      <c r="DT164" s="130">
        <f t="shared" si="417"/>
        <v>5.6000000000000001E-2</v>
      </c>
      <c r="DU164" s="128">
        <f t="shared" si="418"/>
        <v>173245.18584699111</v>
      </c>
      <c r="DV164" s="128" t="str">
        <f t="shared" si="419"/>
        <v>nie</v>
      </c>
      <c r="DW164" s="128">
        <f t="shared" si="420"/>
        <v>3000</v>
      </c>
      <c r="DX164" s="128">
        <f t="shared" si="302"/>
        <v>156898.60053606279</v>
      </c>
      <c r="DY164" s="128">
        <f t="shared" si="455"/>
        <v>0</v>
      </c>
      <c r="DZ164" s="130">
        <f t="shared" si="421"/>
        <v>3.5999999999999997E-2</v>
      </c>
      <c r="EA164" s="128">
        <f t="shared" si="422"/>
        <v>0</v>
      </c>
      <c r="EB164" s="128">
        <f t="shared" si="423"/>
        <v>156898.60053606279</v>
      </c>
    </row>
    <row r="165" spans="1:132">
      <c r="A165" s="212">
        <f>ROUNDUP(B176/12,0)</f>
        <v>11</v>
      </c>
      <c r="B165" s="188">
        <f t="shared" si="424"/>
        <v>121</v>
      </c>
      <c r="C165" s="128">
        <f t="shared" si="425"/>
        <v>145402.83410101585</v>
      </c>
      <c r="D165" s="128">
        <f t="shared" si="426"/>
        <v>148408.38553739648</v>
      </c>
      <c r="E165" s="128">
        <f t="shared" si="427"/>
        <v>142020.55102305565</v>
      </c>
      <c r="F165" s="128">
        <f t="shared" si="428"/>
        <v>142708.12921990926</v>
      </c>
      <c r="G165" s="128">
        <f t="shared" si="429"/>
        <v>152672.06124004716</v>
      </c>
      <c r="H165" s="128">
        <f t="shared" si="430"/>
        <v>149241.54525505952</v>
      </c>
      <c r="I165" s="128">
        <f t="shared" si="431"/>
        <v>156898.60053606279</v>
      </c>
      <c r="J165" s="128">
        <f t="shared" si="432"/>
        <v>134134.5656363072</v>
      </c>
      <c r="K165" s="128">
        <f t="shared" si="433"/>
        <v>136052.69019364688</v>
      </c>
      <c r="M165" s="36"/>
      <c r="N165" s="32">
        <f t="shared" si="434"/>
        <v>121</v>
      </c>
      <c r="O165" s="25">
        <f t="shared" si="318"/>
        <v>0.45402834101015843</v>
      </c>
      <c r="P165" s="25">
        <f t="shared" si="319"/>
        <v>0.48408385537396481</v>
      </c>
      <c r="Q165" s="25">
        <f t="shared" si="320"/>
        <v>0.42020551023055663</v>
      </c>
      <c r="R165" s="25">
        <f t="shared" si="370"/>
        <v>0.42708129219909252</v>
      </c>
      <c r="S165" s="25">
        <f t="shared" si="371"/>
        <v>0.52672061240047152</v>
      </c>
      <c r="T165" s="25">
        <f t="shared" si="372"/>
        <v>0.49241545255059527</v>
      </c>
      <c r="U165" s="25">
        <f t="shared" si="373"/>
        <v>0.56898600536062793</v>
      </c>
      <c r="V165" s="25">
        <f t="shared" si="374"/>
        <v>0.34134565636307213</v>
      </c>
      <c r="W165" s="25">
        <f t="shared" si="375"/>
        <v>0.36052690193646875</v>
      </c>
      <c r="X165" s="36"/>
      <c r="Y165" s="36"/>
      <c r="AA165" s="124">
        <f t="shared" si="321"/>
        <v>122</v>
      </c>
      <c r="AB165" s="128">
        <f t="shared" si="376"/>
        <v>136403.25402009548</v>
      </c>
      <c r="AC165" s="124">
        <f t="shared" si="322"/>
        <v>122</v>
      </c>
      <c r="AD165" s="130">
        <f t="shared" si="435"/>
        <v>3.7499999999999999E-2</v>
      </c>
      <c r="AE165" s="127">
        <f t="shared" si="436"/>
        <v>1410</v>
      </c>
      <c r="AF165" s="128">
        <f t="shared" si="437"/>
        <v>140863.30000000002</v>
      </c>
      <c r="AG165" s="128">
        <f t="shared" si="348"/>
        <v>141000</v>
      </c>
      <c r="AH165" s="128">
        <f t="shared" si="357"/>
        <v>141000</v>
      </c>
      <c r="AI165" s="130">
        <f t="shared" si="377"/>
        <v>3.7499999999999999E-2</v>
      </c>
      <c r="AJ165" s="128">
        <f t="shared" si="378"/>
        <v>141440.625</v>
      </c>
      <c r="AK165" s="128" t="str">
        <f t="shared" si="379"/>
        <v>nie</v>
      </c>
      <c r="AL165" s="128">
        <f t="shared" si="380"/>
        <v>705</v>
      </c>
      <c r="AM165" s="128">
        <f t="shared" si="361"/>
        <v>140785.85625000001</v>
      </c>
      <c r="AN165" s="128">
        <f t="shared" si="381"/>
        <v>356.90625</v>
      </c>
      <c r="AO165" s="130">
        <f t="shared" si="382"/>
        <v>3.5999999999999997E-2</v>
      </c>
      <c r="AP165" s="128">
        <f t="shared" si="383"/>
        <v>831.14094781132576</v>
      </c>
      <c r="AQ165" s="128">
        <f t="shared" si="362"/>
        <v>141260.09094781135</v>
      </c>
      <c r="AS165" s="124">
        <f t="shared" si="327"/>
        <v>122</v>
      </c>
      <c r="AT165" s="130">
        <f t="shared" si="328"/>
        <v>3.7499999999999999E-2</v>
      </c>
      <c r="AU165" s="127">
        <f t="shared" si="438"/>
        <v>1397</v>
      </c>
      <c r="AV165" s="128">
        <f t="shared" si="439"/>
        <v>139568.90000000002</v>
      </c>
      <c r="AW165" s="128">
        <f t="shared" si="363"/>
        <v>139700</v>
      </c>
      <c r="AX165" s="128">
        <f t="shared" si="358"/>
        <v>139700</v>
      </c>
      <c r="AY165" s="130">
        <f t="shared" si="384"/>
        <v>3.9E-2</v>
      </c>
      <c r="AZ165" s="128">
        <f t="shared" si="385"/>
        <v>140154.02499999999</v>
      </c>
      <c r="BA165" s="128" t="str">
        <f t="shared" si="386"/>
        <v>nie</v>
      </c>
      <c r="BB165" s="128">
        <f t="shared" si="387"/>
        <v>977.9</v>
      </c>
      <c r="BC165" s="128">
        <f t="shared" si="367"/>
        <v>139275.66125</v>
      </c>
      <c r="BD165" s="128">
        <f t="shared" si="388"/>
        <v>367.76024999999532</v>
      </c>
      <c r="BE165" s="130">
        <f t="shared" si="264"/>
        <v>3.5999999999999997E-2</v>
      </c>
      <c r="BF165" s="128">
        <f t="shared" si="389"/>
        <v>847.74595025109875</v>
      </c>
      <c r="BG165" s="128">
        <f t="shared" si="368"/>
        <v>139755.6469502511</v>
      </c>
      <c r="BI165" s="124">
        <f t="shared" si="332"/>
        <v>122</v>
      </c>
      <c r="BJ165" s="130">
        <f t="shared" si="451"/>
        <v>3.9100000000000003E-2</v>
      </c>
      <c r="BK165" s="127">
        <f t="shared" si="440"/>
        <v>1376</v>
      </c>
      <c r="BL165" s="128">
        <f t="shared" si="441"/>
        <v>137462.39999999999</v>
      </c>
      <c r="BM165" s="128">
        <f t="shared" si="349"/>
        <v>137600</v>
      </c>
      <c r="BN165" s="128">
        <f t="shared" si="442"/>
        <v>143654.39999999999</v>
      </c>
      <c r="BO165" s="130">
        <f t="shared" si="390"/>
        <v>4.3999999999999997E-2</v>
      </c>
      <c r="BP165" s="128">
        <f t="shared" si="391"/>
        <v>144707.86560000002</v>
      </c>
      <c r="BQ165" s="128" t="str">
        <f t="shared" si="392"/>
        <v>nie</v>
      </c>
      <c r="BR165" s="128">
        <f t="shared" si="393"/>
        <v>1376</v>
      </c>
      <c r="BS165" s="128">
        <f t="shared" si="364"/>
        <v>142242.811136</v>
      </c>
      <c r="BT165" s="128">
        <f t="shared" si="443"/>
        <v>0</v>
      </c>
      <c r="BU165" s="130">
        <f t="shared" si="394"/>
        <v>3.5999999999999997E-2</v>
      </c>
      <c r="BV165" s="128">
        <f t="shared" si="271"/>
        <v>204.89013115145065</v>
      </c>
      <c r="BW165" s="128">
        <f t="shared" si="365"/>
        <v>142447.70126715145</v>
      </c>
      <c r="BY165" s="130">
        <f t="shared" si="452"/>
        <v>3.1E-2</v>
      </c>
      <c r="BZ165" s="127">
        <f t="shared" si="444"/>
        <v>1341</v>
      </c>
      <c r="CA165" s="128">
        <f t="shared" si="445"/>
        <v>133979.79999999999</v>
      </c>
      <c r="CB165" s="128">
        <f t="shared" si="366"/>
        <v>134100</v>
      </c>
      <c r="CC165" s="128">
        <f t="shared" si="359"/>
        <v>134100</v>
      </c>
      <c r="CD165" s="130">
        <f t="shared" si="395"/>
        <v>4.5999999999999999E-2</v>
      </c>
      <c r="CE165" s="128">
        <f t="shared" si="396"/>
        <v>135128.1</v>
      </c>
      <c r="CF165" s="128" t="str">
        <f t="shared" si="397"/>
        <v>nie</v>
      </c>
      <c r="CG165" s="128">
        <f t="shared" si="398"/>
        <v>2682</v>
      </c>
      <c r="CH165" s="128">
        <f t="shared" si="369"/>
        <v>132760.34100000001</v>
      </c>
      <c r="CI165" s="128">
        <f t="shared" si="399"/>
        <v>0</v>
      </c>
      <c r="CJ165" s="130">
        <f t="shared" si="277"/>
        <v>3.5999999999999997E-2</v>
      </c>
      <c r="CK165" s="128">
        <f t="shared" si="400"/>
        <v>10389.353649898621</v>
      </c>
      <c r="CL165" s="128">
        <f t="shared" si="401"/>
        <v>143149.69464989862</v>
      </c>
      <c r="CN165" s="127">
        <f t="shared" si="446"/>
        <v>1526</v>
      </c>
      <c r="CO165" s="128">
        <f t="shared" si="447"/>
        <v>152447.4</v>
      </c>
      <c r="CP165" s="128">
        <f t="shared" si="342"/>
        <v>152600</v>
      </c>
      <c r="CQ165" s="128">
        <f t="shared" si="448"/>
        <v>152600</v>
      </c>
      <c r="CR165" s="130">
        <f t="shared" si="402"/>
        <v>5.3499999999999999E-2</v>
      </c>
      <c r="CS165" s="128">
        <f t="shared" si="403"/>
        <v>153960.68333333335</v>
      </c>
      <c r="CT165" s="128" t="str">
        <f t="shared" si="404"/>
        <v>nie</v>
      </c>
      <c r="CU165" s="128">
        <f t="shared" si="405"/>
        <v>1360.6833333333489</v>
      </c>
      <c r="CV165" s="128">
        <f t="shared" si="406"/>
        <v>152600</v>
      </c>
      <c r="CW165" s="128">
        <f t="shared" si="453"/>
        <v>0</v>
      </c>
      <c r="CX165" s="130">
        <f t="shared" si="407"/>
        <v>3.5999999999999997E-2</v>
      </c>
      <c r="CY165" s="128">
        <f t="shared" si="408"/>
        <v>72.236348860480092</v>
      </c>
      <c r="CZ165" s="128">
        <f t="shared" si="409"/>
        <v>152672.23634886049</v>
      </c>
      <c r="DA165" s="20"/>
      <c r="DB165" s="127">
        <f t="shared" si="350"/>
        <v>1280</v>
      </c>
      <c r="DC165" s="128">
        <f t="shared" si="351"/>
        <v>128000</v>
      </c>
      <c r="DD165" s="128">
        <f t="shared" si="344"/>
        <v>128000</v>
      </c>
      <c r="DE165" s="128">
        <f t="shared" si="449"/>
        <v>156029.75149439997</v>
      </c>
      <c r="DF165" s="130">
        <f t="shared" si="410"/>
        <v>5.1000000000000004E-2</v>
      </c>
      <c r="DG165" s="128">
        <f t="shared" si="411"/>
        <v>157356.00438210237</v>
      </c>
      <c r="DH165" s="128" t="str">
        <f t="shared" si="412"/>
        <v>nie</v>
      </c>
      <c r="DI165" s="128">
        <f t="shared" si="413"/>
        <v>2560</v>
      </c>
      <c r="DJ165" s="128">
        <f t="shared" si="355"/>
        <v>149704.76354950291</v>
      </c>
      <c r="DK165" s="128">
        <f t="shared" si="454"/>
        <v>0</v>
      </c>
      <c r="DL165" s="130">
        <f t="shared" si="414"/>
        <v>3.5999999999999997E-2</v>
      </c>
      <c r="DM165" s="128">
        <f t="shared" si="415"/>
        <v>74.093736400002484</v>
      </c>
      <c r="DN165" s="128">
        <f t="shared" si="416"/>
        <v>149778.85728590292</v>
      </c>
      <c r="DP165" s="127">
        <f t="shared" si="352"/>
        <v>1000</v>
      </c>
      <c r="DQ165" s="128">
        <f t="shared" si="353"/>
        <v>100000</v>
      </c>
      <c r="DR165" s="128">
        <f t="shared" si="346"/>
        <v>100000</v>
      </c>
      <c r="DS165" s="128">
        <f t="shared" si="450"/>
        <v>172440.46368313648</v>
      </c>
      <c r="DT165" s="130">
        <f t="shared" si="417"/>
        <v>5.6000000000000001E-2</v>
      </c>
      <c r="DU165" s="128">
        <f t="shared" si="418"/>
        <v>174049.90801084577</v>
      </c>
      <c r="DV165" s="128" t="str">
        <f t="shared" si="419"/>
        <v>nie</v>
      </c>
      <c r="DW165" s="128">
        <f t="shared" si="420"/>
        <v>3000</v>
      </c>
      <c r="DX165" s="128">
        <f t="shared" si="302"/>
        <v>157550.42548878508</v>
      </c>
      <c r="DY165" s="128">
        <f t="shared" si="455"/>
        <v>0</v>
      </c>
      <c r="DZ165" s="130">
        <f t="shared" si="421"/>
        <v>3.5999999999999997E-2</v>
      </c>
      <c r="EA165" s="128">
        <f t="shared" si="422"/>
        <v>0</v>
      </c>
      <c r="EB165" s="128">
        <f t="shared" si="423"/>
        <v>157550.42548878508</v>
      </c>
    </row>
    <row r="166" spans="1:132">
      <c r="A166" s="212"/>
      <c r="B166" s="188">
        <f t="shared" si="424"/>
        <v>122</v>
      </c>
      <c r="C166" s="128">
        <f t="shared" si="425"/>
        <v>141260.09094781135</v>
      </c>
      <c r="D166" s="128">
        <f t="shared" si="426"/>
        <v>139755.6469502511</v>
      </c>
      <c r="E166" s="128">
        <f t="shared" si="427"/>
        <v>142447.70126715145</v>
      </c>
      <c r="F166" s="128">
        <f t="shared" si="428"/>
        <v>143149.69464989862</v>
      </c>
      <c r="G166" s="128">
        <f t="shared" si="429"/>
        <v>152672.23634886049</v>
      </c>
      <c r="H166" s="128">
        <f t="shared" si="430"/>
        <v>149778.85728590292</v>
      </c>
      <c r="I166" s="128">
        <f t="shared" si="431"/>
        <v>157550.42548878508</v>
      </c>
      <c r="J166" s="128">
        <f t="shared" si="432"/>
        <v>134460.51263080342</v>
      </c>
      <c r="K166" s="128">
        <f t="shared" si="433"/>
        <v>136403.25402009548</v>
      </c>
      <c r="M166" s="36"/>
      <c r="N166" s="32">
        <f t="shared" si="434"/>
        <v>122</v>
      </c>
      <c r="O166" s="25">
        <f t="shared" si="318"/>
        <v>0.41260090947811356</v>
      </c>
      <c r="P166" s="25">
        <f t="shared" si="319"/>
        <v>0.39755646950251111</v>
      </c>
      <c r="Q166" s="25">
        <f t="shared" si="320"/>
        <v>0.4244770126715145</v>
      </c>
      <c r="R166" s="25">
        <f t="shared" si="370"/>
        <v>0.43149694649898618</v>
      </c>
      <c r="S166" s="25">
        <f t="shared" si="371"/>
        <v>0.52672236348860491</v>
      </c>
      <c r="T166" s="25">
        <f t="shared" si="372"/>
        <v>0.49778857285902922</v>
      </c>
      <c r="U166" s="25">
        <f t="shared" si="373"/>
        <v>0.57550425488785084</v>
      </c>
      <c r="V166" s="25">
        <f t="shared" si="374"/>
        <v>0.3446051263080343</v>
      </c>
      <c r="W166" s="25">
        <f t="shared" si="375"/>
        <v>0.36403254020095477</v>
      </c>
      <c r="X166" s="36"/>
      <c r="Y166" s="36"/>
      <c r="AA166" s="124">
        <f t="shared" si="321"/>
        <v>123</v>
      </c>
      <c r="AB166" s="128">
        <f t="shared" si="376"/>
        <v>136753.81784654406</v>
      </c>
      <c r="AC166" s="124">
        <f t="shared" si="322"/>
        <v>123</v>
      </c>
      <c r="AD166" s="130">
        <f t="shared" si="435"/>
        <v>3.7499999999999999E-2</v>
      </c>
      <c r="AE166" s="127">
        <f t="shared" si="436"/>
        <v>1410</v>
      </c>
      <c r="AF166" s="128">
        <f t="shared" si="437"/>
        <v>140863.30000000002</v>
      </c>
      <c r="AG166" s="128">
        <f t="shared" si="348"/>
        <v>141000</v>
      </c>
      <c r="AH166" s="128">
        <f t="shared" si="357"/>
        <v>141000</v>
      </c>
      <c r="AI166" s="130">
        <f t="shared" si="377"/>
        <v>3.7499999999999999E-2</v>
      </c>
      <c r="AJ166" s="128">
        <f t="shared" si="378"/>
        <v>141440.625</v>
      </c>
      <c r="AK166" s="128" t="str">
        <f t="shared" si="379"/>
        <v>nie</v>
      </c>
      <c r="AL166" s="128">
        <f t="shared" si="380"/>
        <v>705</v>
      </c>
      <c r="AM166" s="128">
        <f t="shared" si="361"/>
        <v>140785.85625000001</v>
      </c>
      <c r="AN166" s="128">
        <f t="shared" si="381"/>
        <v>356.90625</v>
      </c>
      <c r="AO166" s="130">
        <f t="shared" si="382"/>
        <v>3.5999999999999997E-2</v>
      </c>
      <c r="AP166" s="128">
        <f t="shared" si="383"/>
        <v>1190.0668703145072</v>
      </c>
      <c r="AQ166" s="128">
        <f t="shared" si="362"/>
        <v>141619.01687031452</v>
      </c>
      <c r="AS166" s="124">
        <f t="shared" si="327"/>
        <v>123</v>
      </c>
      <c r="AT166" s="130">
        <f t="shared" si="328"/>
        <v>3.7499999999999999E-2</v>
      </c>
      <c r="AU166" s="127">
        <f t="shared" si="438"/>
        <v>1397</v>
      </c>
      <c r="AV166" s="128">
        <f t="shared" si="439"/>
        <v>139568.90000000002</v>
      </c>
      <c r="AW166" s="128">
        <f t="shared" si="363"/>
        <v>139700</v>
      </c>
      <c r="AX166" s="128">
        <f t="shared" si="358"/>
        <v>139700</v>
      </c>
      <c r="AY166" s="130">
        <f t="shared" si="384"/>
        <v>3.9E-2</v>
      </c>
      <c r="AZ166" s="128">
        <f t="shared" si="385"/>
        <v>140154.02499999999</v>
      </c>
      <c r="BA166" s="128" t="str">
        <f t="shared" si="386"/>
        <v>nie</v>
      </c>
      <c r="BB166" s="128">
        <f t="shared" si="387"/>
        <v>977.9</v>
      </c>
      <c r="BC166" s="128">
        <f t="shared" si="367"/>
        <v>139275.66125</v>
      </c>
      <c r="BD166" s="128">
        <f t="shared" si="388"/>
        <v>367.76024999999532</v>
      </c>
      <c r="BE166" s="130">
        <f t="shared" si="264"/>
        <v>3.5999999999999997E-2</v>
      </c>
      <c r="BF166" s="128">
        <f t="shared" si="389"/>
        <v>1217.5662229102043</v>
      </c>
      <c r="BG166" s="128">
        <f t="shared" si="368"/>
        <v>140125.4672229102</v>
      </c>
      <c r="BI166" s="124">
        <f t="shared" si="332"/>
        <v>123</v>
      </c>
      <c r="BJ166" s="130">
        <f t="shared" si="451"/>
        <v>3.9100000000000003E-2</v>
      </c>
      <c r="BK166" s="127">
        <f t="shared" si="440"/>
        <v>1376</v>
      </c>
      <c r="BL166" s="128">
        <f t="shared" si="441"/>
        <v>137462.39999999999</v>
      </c>
      <c r="BM166" s="128">
        <f t="shared" si="349"/>
        <v>137600</v>
      </c>
      <c r="BN166" s="128">
        <f t="shared" si="442"/>
        <v>143654.39999999999</v>
      </c>
      <c r="BO166" s="130">
        <f t="shared" si="390"/>
        <v>4.3999999999999997E-2</v>
      </c>
      <c r="BP166" s="128">
        <f t="shared" si="391"/>
        <v>145234.59839999999</v>
      </c>
      <c r="BQ166" s="128" t="str">
        <f t="shared" si="392"/>
        <v>nie</v>
      </c>
      <c r="BR166" s="128">
        <f t="shared" si="393"/>
        <v>1376</v>
      </c>
      <c r="BS166" s="128">
        <f t="shared" si="364"/>
        <v>142669.46470399998</v>
      </c>
      <c r="BT166" s="128">
        <f t="shared" ref="BT166:BT186" si="456">IF(AND(BQ166="tak",BL167&lt;&gt;""),
 BS166-BL167,
0)</f>
        <v>0</v>
      </c>
      <c r="BU166" s="130">
        <f t="shared" si="394"/>
        <v>3.5999999999999997E-2</v>
      </c>
      <c r="BV166" s="128">
        <f t="shared" si="271"/>
        <v>205.38801417014867</v>
      </c>
      <c r="BW166" s="128">
        <f t="shared" si="365"/>
        <v>142874.85271817012</v>
      </c>
      <c r="BY166" s="130">
        <f t="shared" si="452"/>
        <v>3.1E-2</v>
      </c>
      <c r="BZ166" s="127">
        <f t="shared" si="444"/>
        <v>1341</v>
      </c>
      <c r="CA166" s="128">
        <f t="shared" si="445"/>
        <v>133979.79999999999</v>
      </c>
      <c r="CB166" s="128">
        <f t="shared" si="366"/>
        <v>134100</v>
      </c>
      <c r="CC166" s="128">
        <f t="shared" si="359"/>
        <v>134100</v>
      </c>
      <c r="CD166" s="130">
        <f t="shared" si="395"/>
        <v>4.5999999999999999E-2</v>
      </c>
      <c r="CE166" s="128">
        <f t="shared" si="396"/>
        <v>135642.15000000002</v>
      </c>
      <c r="CF166" s="128" t="str">
        <f t="shared" si="397"/>
        <v>nie</v>
      </c>
      <c r="CG166" s="128">
        <f t="shared" si="398"/>
        <v>2682</v>
      </c>
      <c r="CH166" s="128">
        <f t="shared" si="369"/>
        <v>133176.72150000001</v>
      </c>
      <c r="CI166" s="128">
        <f t="shared" si="399"/>
        <v>0</v>
      </c>
      <c r="CJ166" s="130">
        <f t="shared" si="277"/>
        <v>3.5999999999999997E-2</v>
      </c>
      <c r="CK166" s="128">
        <f t="shared" si="400"/>
        <v>10414.599779267874</v>
      </c>
      <c r="CL166" s="128">
        <f t="shared" si="401"/>
        <v>143591.3212792679</v>
      </c>
      <c r="CN166" s="127">
        <f t="shared" si="446"/>
        <v>1526</v>
      </c>
      <c r="CO166" s="128">
        <f t="shared" si="447"/>
        <v>152447.4</v>
      </c>
      <c r="CP166" s="128">
        <f t="shared" si="342"/>
        <v>152600</v>
      </c>
      <c r="CQ166" s="128">
        <f t="shared" si="448"/>
        <v>152600</v>
      </c>
      <c r="CR166" s="130">
        <f t="shared" si="402"/>
        <v>5.3499999999999999E-2</v>
      </c>
      <c r="CS166" s="128">
        <f t="shared" si="403"/>
        <v>154641.02499999999</v>
      </c>
      <c r="CT166" s="128" t="str">
        <f t="shared" si="404"/>
        <v>nie</v>
      </c>
      <c r="CU166" s="128">
        <f t="shared" si="405"/>
        <v>2041.0249999999942</v>
      </c>
      <c r="CV166" s="128">
        <f t="shared" si="406"/>
        <v>152600</v>
      </c>
      <c r="CW166" s="128">
        <f t="shared" si="453"/>
        <v>0</v>
      </c>
      <c r="CX166" s="130">
        <f t="shared" si="407"/>
        <v>3.5999999999999997E-2</v>
      </c>
      <c r="CY166" s="128">
        <f t="shared" si="408"/>
        <v>72.41188318821105</v>
      </c>
      <c r="CZ166" s="128">
        <f t="shared" si="409"/>
        <v>152672.41188318821</v>
      </c>
      <c r="DA166" s="20"/>
      <c r="DB166" s="127">
        <f t="shared" si="350"/>
        <v>1280</v>
      </c>
      <c r="DC166" s="128">
        <f t="shared" si="351"/>
        <v>128000</v>
      </c>
      <c r="DD166" s="128">
        <f t="shared" si="344"/>
        <v>128000</v>
      </c>
      <c r="DE166" s="128">
        <f t="shared" si="449"/>
        <v>156029.75149439997</v>
      </c>
      <c r="DF166" s="130">
        <f t="shared" si="410"/>
        <v>5.1000000000000004E-2</v>
      </c>
      <c r="DG166" s="128">
        <f t="shared" si="411"/>
        <v>158019.13082595359</v>
      </c>
      <c r="DH166" s="128" t="str">
        <f t="shared" si="412"/>
        <v>nie</v>
      </c>
      <c r="DI166" s="128">
        <f t="shared" si="413"/>
        <v>2560</v>
      </c>
      <c r="DJ166" s="128">
        <f t="shared" si="355"/>
        <v>150241.89596902241</v>
      </c>
      <c r="DK166" s="128">
        <f t="shared" si="454"/>
        <v>0</v>
      </c>
      <c r="DL166" s="130">
        <f t="shared" si="414"/>
        <v>3.5999999999999997E-2</v>
      </c>
      <c r="DM166" s="128">
        <f t="shared" si="415"/>
        <v>74.273784179454481</v>
      </c>
      <c r="DN166" s="128">
        <f t="shared" si="416"/>
        <v>150316.16975320186</v>
      </c>
      <c r="DP166" s="127">
        <f t="shared" si="352"/>
        <v>1000</v>
      </c>
      <c r="DQ166" s="128">
        <f t="shared" si="353"/>
        <v>100000</v>
      </c>
      <c r="DR166" s="128">
        <f t="shared" si="346"/>
        <v>100000</v>
      </c>
      <c r="DS166" s="128">
        <f t="shared" si="450"/>
        <v>172440.46368313648</v>
      </c>
      <c r="DT166" s="130">
        <f t="shared" si="417"/>
        <v>5.6000000000000001E-2</v>
      </c>
      <c r="DU166" s="128">
        <f t="shared" si="418"/>
        <v>174854.6301747004</v>
      </c>
      <c r="DV166" s="128" t="str">
        <f t="shared" si="419"/>
        <v>nie</v>
      </c>
      <c r="DW166" s="128">
        <f t="shared" si="420"/>
        <v>3000</v>
      </c>
      <c r="DX166" s="128">
        <f t="shared" si="302"/>
        <v>158202.25044150732</v>
      </c>
      <c r="DY166" s="128">
        <f t="shared" si="455"/>
        <v>0</v>
      </c>
      <c r="DZ166" s="130">
        <f t="shared" si="421"/>
        <v>3.5999999999999997E-2</v>
      </c>
      <c r="EA166" s="128">
        <f t="shared" si="422"/>
        <v>0</v>
      </c>
      <c r="EB166" s="128">
        <f t="shared" si="423"/>
        <v>158202.25044150732</v>
      </c>
    </row>
    <row r="167" spans="1:132">
      <c r="A167" s="212"/>
      <c r="B167" s="188">
        <f t="shared" si="424"/>
        <v>123</v>
      </c>
      <c r="C167" s="128">
        <f t="shared" si="425"/>
        <v>141619.01687031452</v>
      </c>
      <c r="D167" s="128">
        <f t="shared" si="426"/>
        <v>140125.4672229102</v>
      </c>
      <c r="E167" s="128">
        <f t="shared" si="427"/>
        <v>142874.85271817012</v>
      </c>
      <c r="F167" s="128">
        <f t="shared" si="428"/>
        <v>143591.3212792679</v>
      </c>
      <c r="G167" s="128">
        <f t="shared" si="429"/>
        <v>152672.41188318821</v>
      </c>
      <c r="H167" s="128">
        <f t="shared" si="430"/>
        <v>150316.16975320186</v>
      </c>
      <c r="I167" s="128">
        <f t="shared" si="431"/>
        <v>158202.25044150732</v>
      </c>
      <c r="J167" s="128">
        <f t="shared" si="432"/>
        <v>134787.25167649626</v>
      </c>
      <c r="K167" s="128">
        <f t="shared" si="433"/>
        <v>136753.81784654406</v>
      </c>
      <c r="M167" s="36"/>
      <c r="N167" s="32">
        <f t="shared" si="434"/>
        <v>123</v>
      </c>
      <c r="O167" s="25">
        <f t="shared" si="318"/>
        <v>0.41619016870314507</v>
      </c>
      <c r="P167" s="25">
        <f t="shared" si="319"/>
        <v>0.40125467222910194</v>
      </c>
      <c r="Q167" s="25">
        <f t="shared" si="320"/>
        <v>0.42874852718170131</v>
      </c>
      <c r="R167" s="25">
        <f t="shared" si="370"/>
        <v>0.43591321279267903</v>
      </c>
      <c r="S167" s="25">
        <f t="shared" si="371"/>
        <v>0.52672411883188208</v>
      </c>
      <c r="T167" s="25">
        <f t="shared" si="372"/>
        <v>0.50316169753201856</v>
      </c>
      <c r="U167" s="25">
        <f t="shared" si="373"/>
        <v>0.58202250441507331</v>
      </c>
      <c r="V167" s="25">
        <f t="shared" si="374"/>
        <v>0.34787251676496256</v>
      </c>
      <c r="W167" s="25">
        <f t="shared" si="375"/>
        <v>0.36753817846544057</v>
      </c>
      <c r="X167" s="36"/>
      <c r="Y167" s="36"/>
      <c r="AA167" s="124">
        <f t="shared" si="321"/>
        <v>124</v>
      </c>
      <c r="AB167" s="128">
        <f t="shared" si="376"/>
        <v>137104.38167299266</v>
      </c>
      <c r="AC167" s="124">
        <f t="shared" si="322"/>
        <v>124</v>
      </c>
      <c r="AD167" s="130">
        <f t="shared" si="435"/>
        <v>3.7499999999999999E-2</v>
      </c>
      <c r="AE167" s="127">
        <f t="shared" si="436"/>
        <v>1410</v>
      </c>
      <c r="AF167" s="128">
        <f t="shared" si="437"/>
        <v>140863.30000000002</v>
      </c>
      <c r="AG167" s="128">
        <f t="shared" si="348"/>
        <v>141000</v>
      </c>
      <c r="AH167" s="128">
        <f t="shared" si="357"/>
        <v>141000</v>
      </c>
      <c r="AI167" s="130">
        <f t="shared" si="377"/>
        <v>3.7499999999999999E-2</v>
      </c>
      <c r="AJ167" s="128">
        <f t="shared" si="378"/>
        <v>141440.625</v>
      </c>
      <c r="AK167" s="128" t="str">
        <f t="shared" si="379"/>
        <v>nie</v>
      </c>
      <c r="AL167" s="128">
        <f t="shared" si="380"/>
        <v>705</v>
      </c>
      <c r="AM167" s="128">
        <f t="shared" si="361"/>
        <v>140785.85625000001</v>
      </c>
      <c r="AN167" s="128">
        <f t="shared" si="381"/>
        <v>356.90625</v>
      </c>
      <c r="AO167" s="130">
        <f t="shared" si="382"/>
        <v>3.5999999999999997E-2</v>
      </c>
      <c r="AP167" s="128">
        <f t="shared" si="383"/>
        <v>1549.8649828093714</v>
      </c>
      <c r="AQ167" s="128">
        <f t="shared" si="362"/>
        <v>141978.81498280939</v>
      </c>
      <c r="AS167" s="124">
        <f t="shared" si="327"/>
        <v>124</v>
      </c>
      <c r="AT167" s="130">
        <f t="shared" si="328"/>
        <v>3.7499999999999999E-2</v>
      </c>
      <c r="AU167" s="127">
        <f t="shared" si="438"/>
        <v>1397</v>
      </c>
      <c r="AV167" s="128">
        <f t="shared" si="439"/>
        <v>139568.90000000002</v>
      </c>
      <c r="AW167" s="128">
        <f t="shared" si="363"/>
        <v>139700</v>
      </c>
      <c r="AX167" s="128">
        <f t="shared" si="358"/>
        <v>139700</v>
      </c>
      <c r="AY167" s="130">
        <f t="shared" si="384"/>
        <v>3.9E-2</v>
      </c>
      <c r="AZ167" s="128">
        <f t="shared" si="385"/>
        <v>140154.02499999999</v>
      </c>
      <c r="BA167" s="128" t="str">
        <f t="shared" si="386"/>
        <v>nie</v>
      </c>
      <c r="BB167" s="128">
        <f t="shared" si="387"/>
        <v>977.9</v>
      </c>
      <c r="BC167" s="128">
        <f t="shared" si="367"/>
        <v>139275.66125</v>
      </c>
      <c r="BD167" s="128">
        <f t="shared" si="388"/>
        <v>367.76024999999532</v>
      </c>
      <c r="BE167" s="130">
        <f t="shared" si="264"/>
        <v>3.5999999999999997E-2</v>
      </c>
      <c r="BF167" s="128">
        <f t="shared" si="389"/>
        <v>1588.2851588318713</v>
      </c>
      <c r="BG167" s="128">
        <f t="shared" si="368"/>
        <v>140496.18615883187</v>
      </c>
      <c r="BI167" s="124">
        <f t="shared" si="332"/>
        <v>124</v>
      </c>
      <c r="BJ167" s="130">
        <f t="shared" si="451"/>
        <v>3.9100000000000003E-2</v>
      </c>
      <c r="BK167" s="127">
        <f t="shared" si="440"/>
        <v>1376</v>
      </c>
      <c r="BL167" s="128">
        <f t="shared" si="441"/>
        <v>137462.39999999999</v>
      </c>
      <c r="BM167" s="128">
        <f t="shared" si="349"/>
        <v>137600</v>
      </c>
      <c r="BN167" s="128">
        <f t="shared" si="442"/>
        <v>143654.39999999999</v>
      </c>
      <c r="BO167" s="130">
        <f t="shared" si="390"/>
        <v>4.3999999999999997E-2</v>
      </c>
      <c r="BP167" s="128">
        <f t="shared" si="391"/>
        <v>145761.33119999999</v>
      </c>
      <c r="BQ167" s="128" t="str">
        <f t="shared" si="392"/>
        <v>nie</v>
      </c>
      <c r="BR167" s="128">
        <f t="shared" si="393"/>
        <v>1376</v>
      </c>
      <c r="BS167" s="128">
        <f t="shared" si="364"/>
        <v>143096.11827199999</v>
      </c>
      <c r="BT167" s="128">
        <f t="shared" si="456"/>
        <v>0</v>
      </c>
      <c r="BU167" s="130">
        <f t="shared" si="394"/>
        <v>3.5999999999999997E-2</v>
      </c>
      <c r="BV167" s="128">
        <f t="shared" si="271"/>
        <v>205.88710704458211</v>
      </c>
      <c r="BW167" s="128">
        <f t="shared" si="365"/>
        <v>143302.00537904457</v>
      </c>
      <c r="BY167" s="130">
        <f t="shared" si="452"/>
        <v>3.1E-2</v>
      </c>
      <c r="BZ167" s="127">
        <f t="shared" si="444"/>
        <v>1341</v>
      </c>
      <c r="CA167" s="128">
        <f t="shared" si="445"/>
        <v>133979.79999999999</v>
      </c>
      <c r="CB167" s="128">
        <f t="shared" si="366"/>
        <v>134100</v>
      </c>
      <c r="CC167" s="128">
        <f t="shared" si="359"/>
        <v>134100</v>
      </c>
      <c r="CD167" s="130">
        <f t="shared" si="395"/>
        <v>4.5999999999999999E-2</v>
      </c>
      <c r="CE167" s="128">
        <f t="shared" si="396"/>
        <v>136156.20000000001</v>
      </c>
      <c r="CF167" s="128" t="str">
        <f t="shared" si="397"/>
        <v>nie</v>
      </c>
      <c r="CG167" s="128">
        <f t="shared" si="398"/>
        <v>2682</v>
      </c>
      <c r="CH167" s="128">
        <f t="shared" si="369"/>
        <v>133593.10200000001</v>
      </c>
      <c r="CI167" s="128">
        <f t="shared" si="399"/>
        <v>0</v>
      </c>
      <c r="CJ167" s="130">
        <f t="shared" si="277"/>
        <v>3.5999999999999997E-2</v>
      </c>
      <c r="CK167" s="128">
        <f t="shared" si="400"/>
        <v>10439.907256731494</v>
      </c>
      <c r="CL167" s="128">
        <f t="shared" si="401"/>
        <v>144033.00925673152</v>
      </c>
      <c r="CN167" s="127">
        <f t="shared" si="446"/>
        <v>1526</v>
      </c>
      <c r="CO167" s="128">
        <f t="shared" si="447"/>
        <v>152447.4</v>
      </c>
      <c r="CP167" s="128">
        <f t="shared" si="342"/>
        <v>152600</v>
      </c>
      <c r="CQ167" s="128">
        <f t="shared" si="448"/>
        <v>152600</v>
      </c>
      <c r="CR167" s="130">
        <f t="shared" si="402"/>
        <v>5.3499999999999999E-2</v>
      </c>
      <c r="CS167" s="128">
        <f t="shared" si="403"/>
        <v>155321.36666666667</v>
      </c>
      <c r="CT167" s="128" t="str">
        <f t="shared" si="404"/>
        <v>nie</v>
      </c>
      <c r="CU167" s="128">
        <f t="shared" si="405"/>
        <v>2721.3666666666686</v>
      </c>
      <c r="CV167" s="128">
        <f t="shared" si="406"/>
        <v>152600</v>
      </c>
      <c r="CW167" s="128">
        <f t="shared" si="453"/>
        <v>0</v>
      </c>
      <c r="CX167" s="130">
        <f t="shared" si="407"/>
        <v>3.5999999999999997E-2</v>
      </c>
      <c r="CY167" s="128">
        <f t="shared" si="408"/>
        <v>72.587844064358393</v>
      </c>
      <c r="CZ167" s="128">
        <f t="shared" si="409"/>
        <v>152672.58784406437</v>
      </c>
      <c r="DA167" s="20"/>
      <c r="DB167" s="127">
        <f t="shared" si="350"/>
        <v>1280</v>
      </c>
      <c r="DC167" s="128">
        <f t="shared" si="351"/>
        <v>128000</v>
      </c>
      <c r="DD167" s="128">
        <f t="shared" si="344"/>
        <v>128000</v>
      </c>
      <c r="DE167" s="128">
        <f t="shared" si="449"/>
        <v>156029.75149439997</v>
      </c>
      <c r="DF167" s="130">
        <f t="shared" si="410"/>
        <v>5.1000000000000004E-2</v>
      </c>
      <c r="DG167" s="128">
        <f t="shared" si="411"/>
        <v>158682.25726980474</v>
      </c>
      <c r="DH167" s="128" t="str">
        <f t="shared" si="412"/>
        <v>nie</v>
      </c>
      <c r="DI167" s="128">
        <f t="shared" si="413"/>
        <v>2560</v>
      </c>
      <c r="DJ167" s="128">
        <f t="shared" si="355"/>
        <v>150779.02838854183</v>
      </c>
      <c r="DK167" s="128">
        <f t="shared" si="454"/>
        <v>0</v>
      </c>
      <c r="DL167" s="130">
        <f t="shared" si="414"/>
        <v>3.5999999999999997E-2</v>
      </c>
      <c r="DM167" s="128">
        <f t="shared" si="415"/>
        <v>74.454269475010548</v>
      </c>
      <c r="DN167" s="128">
        <f t="shared" si="416"/>
        <v>150853.48265801684</v>
      </c>
      <c r="DP167" s="127">
        <f t="shared" si="352"/>
        <v>1000</v>
      </c>
      <c r="DQ167" s="128">
        <f t="shared" si="353"/>
        <v>100000</v>
      </c>
      <c r="DR167" s="128">
        <f t="shared" si="346"/>
        <v>100000</v>
      </c>
      <c r="DS167" s="128">
        <f t="shared" si="450"/>
        <v>172440.46368313648</v>
      </c>
      <c r="DT167" s="130">
        <f t="shared" si="417"/>
        <v>5.6000000000000001E-2</v>
      </c>
      <c r="DU167" s="128">
        <f t="shared" si="418"/>
        <v>175659.35233855501</v>
      </c>
      <c r="DV167" s="128" t="str">
        <f t="shared" si="419"/>
        <v>nie</v>
      </c>
      <c r="DW167" s="128">
        <f t="shared" si="420"/>
        <v>3000</v>
      </c>
      <c r="DX167" s="128">
        <f t="shared" si="302"/>
        <v>158854.07539422956</v>
      </c>
      <c r="DY167" s="128">
        <f t="shared" si="455"/>
        <v>0</v>
      </c>
      <c r="DZ167" s="130">
        <f t="shared" si="421"/>
        <v>3.5999999999999997E-2</v>
      </c>
      <c r="EA167" s="128">
        <f t="shared" si="422"/>
        <v>0</v>
      </c>
      <c r="EB167" s="128">
        <f t="shared" si="423"/>
        <v>158854.07539422956</v>
      </c>
    </row>
    <row r="168" spans="1:132">
      <c r="A168" s="212"/>
      <c r="B168" s="188">
        <f t="shared" si="424"/>
        <v>124</v>
      </c>
      <c r="C168" s="128">
        <f t="shared" si="425"/>
        <v>141978.81498280939</v>
      </c>
      <c r="D168" s="128">
        <f t="shared" si="426"/>
        <v>140496.18615883187</v>
      </c>
      <c r="E168" s="128">
        <f t="shared" si="427"/>
        <v>143302.00537904457</v>
      </c>
      <c r="F168" s="128">
        <f t="shared" si="428"/>
        <v>144033.00925673152</v>
      </c>
      <c r="G168" s="128">
        <f t="shared" si="429"/>
        <v>152672.58784406437</v>
      </c>
      <c r="H168" s="128">
        <f t="shared" si="430"/>
        <v>150853.48265801684</v>
      </c>
      <c r="I168" s="128">
        <f t="shared" si="431"/>
        <v>158854.07539422956</v>
      </c>
      <c r="J168" s="128">
        <f t="shared" si="432"/>
        <v>135114.78469807014</v>
      </c>
      <c r="K168" s="128">
        <f t="shared" si="433"/>
        <v>137104.38167299266</v>
      </c>
      <c r="M168" s="36"/>
      <c r="N168" s="32">
        <f t="shared" si="434"/>
        <v>124</v>
      </c>
      <c r="O168" s="25">
        <f t="shared" si="318"/>
        <v>0.41978814982809398</v>
      </c>
      <c r="P168" s="25">
        <f t="shared" si="319"/>
        <v>0.40496186158831882</v>
      </c>
      <c r="Q168" s="25">
        <f t="shared" si="320"/>
        <v>0.43302005379044561</v>
      </c>
      <c r="R168" s="25">
        <f t="shared" si="370"/>
        <v>0.44033009256731526</v>
      </c>
      <c r="S168" s="25">
        <f t="shared" si="371"/>
        <v>0.52672587844064367</v>
      </c>
      <c r="T168" s="25">
        <f t="shared" si="372"/>
        <v>0.50853482658016835</v>
      </c>
      <c r="U168" s="25">
        <f t="shared" si="373"/>
        <v>0.58854075394229555</v>
      </c>
      <c r="V168" s="25">
        <f t="shared" si="374"/>
        <v>0.35114784698070145</v>
      </c>
      <c r="W168" s="25">
        <f t="shared" si="375"/>
        <v>0.37104381672992659</v>
      </c>
      <c r="X168" s="36"/>
      <c r="Y168" s="36"/>
      <c r="AA168" s="124">
        <f t="shared" si="321"/>
        <v>125</v>
      </c>
      <c r="AB168" s="128">
        <f t="shared" si="376"/>
        <v>137454.94549944127</v>
      </c>
      <c r="AC168" s="124">
        <f t="shared" si="322"/>
        <v>125</v>
      </c>
      <c r="AD168" s="130">
        <f t="shared" si="435"/>
        <v>3.7499999999999999E-2</v>
      </c>
      <c r="AE168" s="127">
        <f t="shared" si="436"/>
        <v>1410</v>
      </c>
      <c r="AF168" s="128">
        <f t="shared" si="437"/>
        <v>140863.30000000002</v>
      </c>
      <c r="AG168" s="128">
        <f t="shared" si="348"/>
        <v>141000</v>
      </c>
      <c r="AH168" s="128">
        <f t="shared" si="357"/>
        <v>141000</v>
      </c>
      <c r="AI168" s="130">
        <f t="shared" si="377"/>
        <v>3.7499999999999999E-2</v>
      </c>
      <c r="AJ168" s="128">
        <f t="shared" si="378"/>
        <v>141440.625</v>
      </c>
      <c r="AK168" s="128" t="str">
        <f t="shared" si="379"/>
        <v>nie</v>
      </c>
      <c r="AL168" s="128">
        <f t="shared" si="380"/>
        <v>705</v>
      </c>
      <c r="AM168" s="128">
        <f t="shared" si="361"/>
        <v>140785.85625000001</v>
      </c>
      <c r="AN168" s="128">
        <f t="shared" si="381"/>
        <v>356.90625</v>
      </c>
      <c r="AO168" s="130">
        <f t="shared" si="382"/>
        <v>3.5999999999999997E-2</v>
      </c>
      <c r="AP168" s="128">
        <f t="shared" si="383"/>
        <v>1910.5374047175981</v>
      </c>
      <c r="AQ168" s="128">
        <f t="shared" si="362"/>
        <v>142339.4874047176</v>
      </c>
      <c r="AS168" s="124">
        <f t="shared" si="327"/>
        <v>125</v>
      </c>
      <c r="AT168" s="130">
        <f t="shared" si="328"/>
        <v>3.7499999999999999E-2</v>
      </c>
      <c r="AU168" s="127">
        <f t="shared" si="438"/>
        <v>1397</v>
      </c>
      <c r="AV168" s="128">
        <f t="shared" si="439"/>
        <v>139568.90000000002</v>
      </c>
      <c r="AW168" s="128">
        <f t="shared" si="363"/>
        <v>139700</v>
      </c>
      <c r="AX168" s="128">
        <f t="shared" si="358"/>
        <v>139700</v>
      </c>
      <c r="AY168" s="130">
        <f t="shared" si="384"/>
        <v>3.9E-2</v>
      </c>
      <c r="AZ168" s="128">
        <f t="shared" si="385"/>
        <v>140154.02499999999</v>
      </c>
      <c r="BA168" s="128" t="str">
        <f t="shared" si="386"/>
        <v>nie</v>
      </c>
      <c r="BB168" s="128">
        <f t="shared" si="387"/>
        <v>977.9</v>
      </c>
      <c r="BC168" s="128">
        <f t="shared" si="367"/>
        <v>139275.66125</v>
      </c>
      <c r="BD168" s="128">
        <f t="shared" si="388"/>
        <v>367.76024999999532</v>
      </c>
      <c r="BE168" s="130">
        <f t="shared" si="264"/>
        <v>3.5999999999999997E-2</v>
      </c>
      <c r="BF168" s="128">
        <f t="shared" si="389"/>
        <v>1959.9049417678279</v>
      </c>
      <c r="BG168" s="128">
        <f t="shared" si="368"/>
        <v>140867.80594176785</v>
      </c>
      <c r="BI168" s="124">
        <f t="shared" si="332"/>
        <v>125</v>
      </c>
      <c r="BJ168" s="130">
        <f t="shared" si="451"/>
        <v>3.9100000000000003E-2</v>
      </c>
      <c r="BK168" s="127">
        <f t="shared" si="440"/>
        <v>1376</v>
      </c>
      <c r="BL168" s="128">
        <f t="shared" si="441"/>
        <v>137462.39999999999</v>
      </c>
      <c r="BM168" s="128">
        <f t="shared" si="349"/>
        <v>137600</v>
      </c>
      <c r="BN168" s="128">
        <f t="shared" si="442"/>
        <v>143654.39999999999</v>
      </c>
      <c r="BO168" s="130">
        <f t="shared" si="390"/>
        <v>4.3999999999999997E-2</v>
      </c>
      <c r="BP168" s="128">
        <f t="shared" si="391"/>
        <v>146288.06399999998</v>
      </c>
      <c r="BQ168" s="128" t="str">
        <f t="shared" si="392"/>
        <v>nie</v>
      </c>
      <c r="BR168" s="128">
        <f t="shared" si="393"/>
        <v>1376</v>
      </c>
      <c r="BS168" s="128">
        <f t="shared" si="364"/>
        <v>143522.77184</v>
      </c>
      <c r="BT168" s="128">
        <f t="shared" si="456"/>
        <v>0</v>
      </c>
      <c r="BU168" s="130">
        <f t="shared" si="394"/>
        <v>3.5999999999999997E-2</v>
      </c>
      <c r="BV168" s="128">
        <f t="shared" si="271"/>
        <v>206.38741271470042</v>
      </c>
      <c r="BW168" s="128">
        <f t="shared" si="365"/>
        <v>143729.15925271471</v>
      </c>
      <c r="BY168" s="130">
        <f t="shared" si="452"/>
        <v>3.1E-2</v>
      </c>
      <c r="BZ168" s="127">
        <f t="shared" si="444"/>
        <v>1341</v>
      </c>
      <c r="CA168" s="128">
        <f t="shared" si="445"/>
        <v>133979.79999999999</v>
      </c>
      <c r="CB168" s="128">
        <f t="shared" si="366"/>
        <v>134100</v>
      </c>
      <c r="CC168" s="128">
        <f t="shared" si="359"/>
        <v>134100</v>
      </c>
      <c r="CD168" s="130">
        <f t="shared" si="395"/>
        <v>4.5999999999999999E-2</v>
      </c>
      <c r="CE168" s="128">
        <f t="shared" si="396"/>
        <v>136670.24999999997</v>
      </c>
      <c r="CF168" s="128" t="str">
        <f t="shared" si="397"/>
        <v>nie</v>
      </c>
      <c r="CG168" s="128">
        <f t="shared" si="398"/>
        <v>2682</v>
      </c>
      <c r="CH168" s="128">
        <f t="shared" si="369"/>
        <v>134009.48249999998</v>
      </c>
      <c r="CI168" s="128">
        <f t="shared" si="399"/>
        <v>0</v>
      </c>
      <c r="CJ168" s="130">
        <f t="shared" si="277"/>
        <v>3.5999999999999997E-2</v>
      </c>
      <c r="CK168" s="128">
        <f t="shared" si="400"/>
        <v>10465.276231365351</v>
      </c>
      <c r="CL168" s="128">
        <f t="shared" si="401"/>
        <v>144474.75873136532</v>
      </c>
      <c r="CN168" s="127">
        <f t="shared" si="446"/>
        <v>1526</v>
      </c>
      <c r="CO168" s="128">
        <f t="shared" si="447"/>
        <v>152447.4</v>
      </c>
      <c r="CP168" s="128">
        <f t="shared" si="342"/>
        <v>152600</v>
      </c>
      <c r="CQ168" s="128">
        <f t="shared" si="448"/>
        <v>152600</v>
      </c>
      <c r="CR168" s="130">
        <f t="shared" si="402"/>
        <v>5.3499999999999999E-2</v>
      </c>
      <c r="CS168" s="128">
        <f t="shared" si="403"/>
        <v>156001.70833333331</v>
      </c>
      <c r="CT168" s="128" t="str">
        <f t="shared" si="404"/>
        <v>nie</v>
      </c>
      <c r="CU168" s="128">
        <f t="shared" si="405"/>
        <v>3401.7083333333139</v>
      </c>
      <c r="CV168" s="128">
        <f t="shared" si="406"/>
        <v>152600</v>
      </c>
      <c r="CW168" s="128">
        <f t="shared" si="453"/>
        <v>0</v>
      </c>
      <c r="CX168" s="130">
        <f t="shared" si="407"/>
        <v>3.5999999999999997E-2</v>
      </c>
      <c r="CY168" s="128">
        <f t="shared" si="408"/>
        <v>72.764232525434778</v>
      </c>
      <c r="CZ168" s="128">
        <f t="shared" si="409"/>
        <v>152672.76423252543</v>
      </c>
      <c r="DA168" s="20"/>
      <c r="DB168" s="127">
        <f t="shared" si="350"/>
        <v>1280</v>
      </c>
      <c r="DC168" s="128">
        <f t="shared" si="351"/>
        <v>128000</v>
      </c>
      <c r="DD168" s="128">
        <f t="shared" si="344"/>
        <v>128000</v>
      </c>
      <c r="DE168" s="128">
        <f t="shared" si="449"/>
        <v>156029.75149439997</v>
      </c>
      <c r="DF168" s="130">
        <f t="shared" si="410"/>
        <v>5.1000000000000004E-2</v>
      </c>
      <c r="DG168" s="128">
        <f t="shared" si="411"/>
        <v>159345.38371365596</v>
      </c>
      <c r="DH168" s="128" t="str">
        <f t="shared" si="412"/>
        <v>nie</v>
      </c>
      <c r="DI168" s="128">
        <f t="shared" si="413"/>
        <v>2560</v>
      </c>
      <c r="DJ168" s="128">
        <f t="shared" si="355"/>
        <v>151316.16080806134</v>
      </c>
      <c r="DK168" s="128">
        <f t="shared" si="454"/>
        <v>0</v>
      </c>
      <c r="DL168" s="130">
        <f t="shared" si="414"/>
        <v>3.5999999999999997E-2</v>
      </c>
      <c r="DM168" s="128">
        <f t="shared" si="415"/>
        <v>74.635193349834822</v>
      </c>
      <c r="DN168" s="128">
        <f t="shared" si="416"/>
        <v>151390.79600141116</v>
      </c>
      <c r="DP168" s="127">
        <f t="shared" si="352"/>
        <v>1000</v>
      </c>
      <c r="DQ168" s="128">
        <f t="shared" si="353"/>
        <v>100000</v>
      </c>
      <c r="DR168" s="128">
        <f t="shared" si="346"/>
        <v>100000</v>
      </c>
      <c r="DS168" s="128">
        <f t="shared" si="450"/>
        <v>172440.46368313648</v>
      </c>
      <c r="DT168" s="130">
        <f t="shared" si="417"/>
        <v>5.6000000000000001E-2</v>
      </c>
      <c r="DU168" s="128">
        <f t="shared" si="418"/>
        <v>176464.07450240967</v>
      </c>
      <c r="DV168" s="128" t="str">
        <f t="shared" si="419"/>
        <v>nie</v>
      </c>
      <c r="DW168" s="128">
        <f t="shared" si="420"/>
        <v>3000</v>
      </c>
      <c r="DX168" s="128">
        <f t="shared" si="302"/>
        <v>159505.90034695182</v>
      </c>
      <c r="DY168" s="128">
        <f t="shared" si="455"/>
        <v>0</v>
      </c>
      <c r="DZ168" s="130">
        <f t="shared" si="421"/>
        <v>3.5999999999999997E-2</v>
      </c>
      <c r="EA168" s="128">
        <f t="shared" si="422"/>
        <v>0</v>
      </c>
      <c r="EB168" s="128">
        <f t="shared" si="423"/>
        <v>159505.90034695182</v>
      </c>
    </row>
    <row r="169" spans="1:132">
      <c r="A169" s="212"/>
      <c r="B169" s="188">
        <f t="shared" si="424"/>
        <v>125</v>
      </c>
      <c r="C169" s="128">
        <f t="shared" si="425"/>
        <v>142339.4874047176</v>
      </c>
      <c r="D169" s="128">
        <f t="shared" si="426"/>
        <v>140867.80594176785</v>
      </c>
      <c r="E169" s="128">
        <f t="shared" si="427"/>
        <v>143729.15925271471</v>
      </c>
      <c r="F169" s="128">
        <f t="shared" si="428"/>
        <v>144474.75873136532</v>
      </c>
      <c r="G169" s="128">
        <f t="shared" si="429"/>
        <v>152672.76423252543</v>
      </c>
      <c r="H169" s="128">
        <f t="shared" si="430"/>
        <v>151390.79600141116</v>
      </c>
      <c r="I169" s="128">
        <f t="shared" si="431"/>
        <v>159505.90034695182</v>
      </c>
      <c r="J169" s="128">
        <f t="shared" si="432"/>
        <v>135443.11362488643</v>
      </c>
      <c r="K169" s="128">
        <f t="shared" si="433"/>
        <v>137454.94549944127</v>
      </c>
      <c r="M169" s="36"/>
      <c r="N169" s="32">
        <f t="shared" si="434"/>
        <v>125</v>
      </c>
      <c r="O169" s="25">
        <f t="shared" si="318"/>
        <v>0.42339487404717602</v>
      </c>
      <c r="P169" s="25">
        <f t="shared" si="319"/>
        <v>0.40867805941767843</v>
      </c>
      <c r="Q169" s="25">
        <f t="shared" si="320"/>
        <v>0.43729159252714722</v>
      </c>
      <c r="R169" s="25">
        <f t="shared" si="370"/>
        <v>0.44474758731365327</v>
      </c>
      <c r="S169" s="25">
        <f t="shared" si="371"/>
        <v>0.52672764232525426</v>
      </c>
      <c r="T169" s="25">
        <f t="shared" si="372"/>
        <v>0.51390796001411165</v>
      </c>
      <c r="U169" s="25">
        <f t="shared" si="373"/>
        <v>0.59505900346951823</v>
      </c>
      <c r="V169" s="25">
        <f t="shared" si="374"/>
        <v>0.35443113624886435</v>
      </c>
      <c r="W169" s="25">
        <f t="shared" si="375"/>
        <v>0.37454945499441261</v>
      </c>
      <c r="X169" s="36"/>
      <c r="Y169" s="36"/>
      <c r="AA169" s="124">
        <f t="shared" si="321"/>
        <v>126</v>
      </c>
      <c r="AB169" s="128">
        <f t="shared" si="376"/>
        <v>137805.50932588987</v>
      </c>
      <c r="AC169" s="124">
        <f t="shared" si="322"/>
        <v>126</v>
      </c>
      <c r="AD169" s="130">
        <f t="shared" si="435"/>
        <v>3.7499999999999999E-2</v>
      </c>
      <c r="AE169" s="127">
        <f t="shared" si="436"/>
        <v>1410</v>
      </c>
      <c r="AF169" s="128">
        <f t="shared" si="437"/>
        <v>140863.30000000002</v>
      </c>
      <c r="AG169" s="128">
        <f t="shared" si="348"/>
        <v>141000</v>
      </c>
      <c r="AH169" s="128">
        <f t="shared" si="357"/>
        <v>141000</v>
      </c>
      <c r="AI169" s="130">
        <f t="shared" si="377"/>
        <v>3.7499999999999999E-2</v>
      </c>
      <c r="AJ169" s="128">
        <f t="shared" si="378"/>
        <v>141440.625</v>
      </c>
      <c r="AK169" s="128" t="str">
        <f t="shared" si="379"/>
        <v>nie</v>
      </c>
      <c r="AL169" s="128">
        <f t="shared" si="380"/>
        <v>705</v>
      </c>
      <c r="AM169" s="128">
        <f t="shared" si="361"/>
        <v>140785.85625000001</v>
      </c>
      <c r="AN169" s="128">
        <f t="shared" si="381"/>
        <v>356.90625</v>
      </c>
      <c r="AO169" s="130">
        <f t="shared" si="382"/>
        <v>3.5999999999999997E-2</v>
      </c>
      <c r="AP169" s="128">
        <f t="shared" si="383"/>
        <v>2272.0862606110618</v>
      </c>
      <c r="AQ169" s="128">
        <f t="shared" si="362"/>
        <v>142701.03626061109</v>
      </c>
      <c r="AS169" s="124">
        <f t="shared" si="327"/>
        <v>126</v>
      </c>
      <c r="AT169" s="130">
        <f t="shared" si="328"/>
        <v>3.7499999999999999E-2</v>
      </c>
      <c r="AU169" s="127">
        <f t="shared" si="438"/>
        <v>1397</v>
      </c>
      <c r="AV169" s="128">
        <f t="shared" si="439"/>
        <v>139568.90000000002</v>
      </c>
      <c r="AW169" s="128">
        <f t="shared" si="363"/>
        <v>139700</v>
      </c>
      <c r="AX169" s="128">
        <f t="shared" si="358"/>
        <v>139700</v>
      </c>
      <c r="AY169" s="130">
        <f t="shared" si="384"/>
        <v>3.9E-2</v>
      </c>
      <c r="AZ169" s="128">
        <f t="shared" si="385"/>
        <v>140154.02499999999</v>
      </c>
      <c r="BA169" s="128" t="str">
        <f t="shared" si="386"/>
        <v>nie</v>
      </c>
      <c r="BB169" s="128">
        <f t="shared" si="387"/>
        <v>977.9</v>
      </c>
      <c r="BC169" s="128">
        <f t="shared" si="367"/>
        <v>139275.66125</v>
      </c>
      <c r="BD169" s="128">
        <f t="shared" si="388"/>
        <v>367.76024999999532</v>
      </c>
      <c r="BE169" s="130">
        <f t="shared" si="264"/>
        <v>3.5999999999999997E-2</v>
      </c>
      <c r="BF169" s="128">
        <f t="shared" si="389"/>
        <v>2332.4277607763192</v>
      </c>
      <c r="BG169" s="128">
        <f t="shared" si="368"/>
        <v>141240.32876077632</v>
      </c>
      <c r="BI169" s="124">
        <f t="shared" si="332"/>
        <v>126</v>
      </c>
      <c r="BJ169" s="130">
        <f t="shared" si="451"/>
        <v>3.9100000000000003E-2</v>
      </c>
      <c r="BK169" s="127">
        <f t="shared" si="440"/>
        <v>1376</v>
      </c>
      <c r="BL169" s="128">
        <f t="shared" si="441"/>
        <v>137462.39999999999</v>
      </c>
      <c r="BM169" s="128">
        <f t="shared" si="349"/>
        <v>137600</v>
      </c>
      <c r="BN169" s="128">
        <f t="shared" si="442"/>
        <v>143654.39999999999</v>
      </c>
      <c r="BO169" s="130">
        <f t="shared" si="390"/>
        <v>4.3999999999999997E-2</v>
      </c>
      <c r="BP169" s="128">
        <f t="shared" si="391"/>
        <v>146814.79680000001</v>
      </c>
      <c r="BQ169" s="128" t="str">
        <f t="shared" si="392"/>
        <v>nie</v>
      </c>
      <c r="BR169" s="128">
        <f t="shared" si="393"/>
        <v>1376</v>
      </c>
      <c r="BS169" s="128">
        <f t="shared" si="364"/>
        <v>143949.42540800001</v>
      </c>
      <c r="BT169" s="128">
        <f t="shared" si="456"/>
        <v>0</v>
      </c>
      <c r="BU169" s="130">
        <f t="shared" si="394"/>
        <v>3.5999999999999997E-2</v>
      </c>
      <c r="BV169" s="128">
        <f t="shared" si="271"/>
        <v>206.88893412759714</v>
      </c>
      <c r="BW169" s="128">
        <f t="shared" si="365"/>
        <v>144156.31434212762</v>
      </c>
      <c r="BY169" s="130">
        <f t="shared" si="452"/>
        <v>3.1E-2</v>
      </c>
      <c r="BZ169" s="127">
        <f t="shared" si="444"/>
        <v>1341</v>
      </c>
      <c r="CA169" s="128">
        <f t="shared" si="445"/>
        <v>133979.79999999999</v>
      </c>
      <c r="CB169" s="128">
        <f t="shared" si="366"/>
        <v>134100</v>
      </c>
      <c r="CC169" s="128">
        <f t="shared" si="359"/>
        <v>134100</v>
      </c>
      <c r="CD169" s="130">
        <f t="shared" si="395"/>
        <v>4.5999999999999999E-2</v>
      </c>
      <c r="CE169" s="128">
        <f t="shared" si="396"/>
        <v>137184.29999999999</v>
      </c>
      <c r="CF169" s="128" t="str">
        <f t="shared" si="397"/>
        <v>nie</v>
      </c>
      <c r="CG169" s="128">
        <f t="shared" si="398"/>
        <v>2682</v>
      </c>
      <c r="CH169" s="128">
        <f t="shared" si="369"/>
        <v>134425.86299999998</v>
      </c>
      <c r="CI169" s="128">
        <f t="shared" si="399"/>
        <v>0</v>
      </c>
      <c r="CJ169" s="130">
        <f t="shared" si="277"/>
        <v>3.5999999999999997E-2</v>
      </c>
      <c r="CK169" s="128">
        <f t="shared" si="400"/>
        <v>10490.706852607569</v>
      </c>
      <c r="CL169" s="128">
        <f t="shared" si="401"/>
        <v>144916.56985260756</v>
      </c>
      <c r="CN169" s="127">
        <f t="shared" si="446"/>
        <v>1526</v>
      </c>
      <c r="CO169" s="128">
        <f t="shared" si="447"/>
        <v>152447.4</v>
      </c>
      <c r="CP169" s="128">
        <f t="shared" si="342"/>
        <v>152600</v>
      </c>
      <c r="CQ169" s="128">
        <f t="shared" si="448"/>
        <v>152600</v>
      </c>
      <c r="CR169" s="130">
        <f t="shared" si="402"/>
        <v>5.3499999999999999E-2</v>
      </c>
      <c r="CS169" s="128">
        <f t="shared" si="403"/>
        <v>156682.05000000002</v>
      </c>
      <c r="CT169" s="128" t="str">
        <f t="shared" si="404"/>
        <v>nie</v>
      </c>
      <c r="CU169" s="128">
        <f t="shared" si="405"/>
        <v>4082.0500000000175</v>
      </c>
      <c r="CV169" s="128">
        <f t="shared" si="406"/>
        <v>152600</v>
      </c>
      <c r="CW169" s="128">
        <f t="shared" si="453"/>
        <v>0</v>
      </c>
      <c r="CX169" s="130">
        <f t="shared" si="407"/>
        <v>3.5999999999999997E-2</v>
      </c>
      <c r="CY169" s="128">
        <f t="shared" si="408"/>
        <v>72.94104961047158</v>
      </c>
      <c r="CZ169" s="128">
        <f t="shared" si="409"/>
        <v>152672.94104961047</v>
      </c>
      <c r="DA169" s="20"/>
      <c r="DB169" s="127">
        <f t="shared" si="350"/>
        <v>1280</v>
      </c>
      <c r="DC169" s="128">
        <f t="shared" si="351"/>
        <v>128000</v>
      </c>
      <c r="DD169" s="128">
        <f t="shared" si="344"/>
        <v>128000</v>
      </c>
      <c r="DE169" s="128">
        <f t="shared" si="449"/>
        <v>156029.75149439997</v>
      </c>
      <c r="DF169" s="130">
        <f t="shared" si="410"/>
        <v>5.1000000000000004E-2</v>
      </c>
      <c r="DG169" s="128">
        <f t="shared" si="411"/>
        <v>160008.51015750717</v>
      </c>
      <c r="DH169" s="128" t="str">
        <f t="shared" si="412"/>
        <v>nie</v>
      </c>
      <c r="DI169" s="128">
        <f t="shared" si="413"/>
        <v>2560</v>
      </c>
      <c r="DJ169" s="128">
        <f t="shared" si="355"/>
        <v>151853.29322758081</v>
      </c>
      <c r="DK169" s="128">
        <f t="shared" si="454"/>
        <v>0</v>
      </c>
      <c r="DL169" s="130">
        <f t="shared" si="414"/>
        <v>3.5999999999999997E-2</v>
      </c>
      <c r="DM169" s="128">
        <f t="shared" si="415"/>
        <v>74.816556869674912</v>
      </c>
      <c r="DN169" s="128">
        <f t="shared" si="416"/>
        <v>151928.1097844505</v>
      </c>
      <c r="DP169" s="127">
        <f t="shared" si="352"/>
        <v>1000</v>
      </c>
      <c r="DQ169" s="128">
        <f t="shared" si="353"/>
        <v>100000</v>
      </c>
      <c r="DR169" s="128">
        <f t="shared" si="346"/>
        <v>100000</v>
      </c>
      <c r="DS169" s="128">
        <f t="shared" si="450"/>
        <v>172440.46368313648</v>
      </c>
      <c r="DT169" s="130">
        <f t="shared" si="417"/>
        <v>5.6000000000000001E-2</v>
      </c>
      <c r="DU169" s="128">
        <f t="shared" si="418"/>
        <v>177268.7966662643</v>
      </c>
      <c r="DV169" s="128" t="str">
        <f t="shared" si="419"/>
        <v>nie</v>
      </c>
      <c r="DW169" s="128">
        <f t="shared" si="420"/>
        <v>3000</v>
      </c>
      <c r="DX169" s="128">
        <f t="shared" si="302"/>
        <v>160157.72529967409</v>
      </c>
      <c r="DY169" s="128">
        <f t="shared" si="455"/>
        <v>0</v>
      </c>
      <c r="DZ169" s="130">
        <f t="shared" si="421"/>
        <v>3.5999999999999997E-2</v>
      </c>
      <c r="EA169" s="128">
        <f t="shared" si="422"/>
        <v>0</v>
      </c>
      <c r="EB169" s="128">
        <f t="shared" si="423"/>
        <v>160157.72529967409</v>
      </c>
    </row>
    <row r="170" spans="1:132">
      <c r="A170" s="212"/>
      <c r="B170" s="188">
        <f t="shared" si="424"/>
        <v>126</v>
      </c>
      <c r="C170" s="128">
        <f t="shared" si="425"/>
        <v>142701.03626061109</v>
      </c>
      <c r="D170" s="128">
        <f t="shared" si="426"/>
        <v>141240.32876077632</v>
      </c>
      <c r="E170" s="128">
        <f t="shared" si="427"/>
        <v>144156.31434212762</v>
      </c>
      <c r="F170" s="128">
        <f t="shared" si="428"/>
        <v>144916.56985260756</v>
      </c>
      <c r="G170" s="128">
        <f t="shared" si="429"/>
        <v>152672.94104961047</v>
      </c>
      <c r="H170" s="128">
        <f t="shared" si="430"/>
        <v>151928.1097844505</v>
      </c>
      <c r="I170" s="128">
        <f t="shared" si="431"/>
        <v>160157.72529967409</v>
      </c>
      <c r="J170" s="128">
        <f t="shared" si="432"/>
        <v>135772.24039099491</v>
      </c>
      <c r="K170" s="128">
        <f t="shared" si="433"/>
        <v>137805.50932588987</v>
      </c>
      <c r="M170" s="36"/>
      <c r="N170" s="32">
        <f t="shared" si="434"/>
        <v>126</v>
      </c>
      <c r="O170" s="25">
        <f t="shared" si="318"/>
        <v>0.4270103626061108</v>
      </c>
      <c r="P170" s="25">
        <f t="shared" si="319"/>
        <v>0.41240328760776324</v>
      </c>
      <c r="Q170" s="25">
        <f t="shared" si="320"/>
        <v>0.44156314342127612</v>
      </c>
      <c r="R170" s="25">
        <f t="shared" si="370"/>
        <v>0.44916569852607569</v>
      </c>
      <c r="S170" s="25">
        <f t="shared" si="371"/>
        <v>0.52672941049610467</v>
      </c>
      <c r="T170" s="25">
        <f t="shared" si="372"/>
        <v>0.51928109784450505</v>
      </c>
      <c r="U170" s="25">
        <f t="shared" si="373"/>
        <v>0.60157725299674092</v>
      </c>
      <c r="V170" s="25">
        <f t="shared" si="374"/>
        <v>0.35772240390994914</v>
      </c>
      <c r="W170" s="25">
        <f t="shared" si="375"/>
        <v>0.37805509325889863</v>
      </c>
      <c r="X170" s="36"/>
      <c r="Y170" s="36"/>
      <c r="AA170" s="124">
        <f t="shared" si="321"/>
        <v>127</v>
      </c>
      <c r="AB170" s="128">
        <f t="shared" si="376"/>
        <v>138156.07315233842</v>
      </c>
      <c r="AC170" s="124">
        <f t="shared" si="322"/>
        <v>127</v>
      </c>
      <c r="AD170" s="130">
        <f t="shared" si="435"/>
        <v>3.7499999999999999E-2</v>
      </c>
      <c r="AE170" s="127">
        <f t="shared" si="436"/>
        <v>1410</v>
      </c>
      <c r="AF170" s="128">
        <f t="shared" si="437"/>
        <v>140863.30000000002</v>
      </c>
      <c r="AG170" s="128">
        <f t="shared" si="348"/>
        <v>141000</v>
      </c>
      <c r="AH170" s="128">
        <f t="shared" si="357"/>
        <v>141000</v>
      </c>
      <c r="AI170" s="130">
        <f t="shared" si="377"/>
        <v>3.7499999999999999E-2</v>
      </c>
      <c r="AJ170" s="128">
        <f t="shared" si="378"/>
        <v>141440.625</v>
      </c>
      <c r="AK170" s="128" t="str">
        <f t="shared" si="379"/>
        <v>nie</v>
      </c>
      <c r="AL170" s="128">
        <f t="shared" si="380"/>
        <v>705</v>
      </c>
      <c r="AM170" s="128">
        <f t="shared" si="361"/>
        <v>140785.85625000001</v>
      </c>
      <c r="AN170" s="128">
        <f t="shared" si="381"/>
        <v>356.90625</v>
      </c>
      <c r="AO170" s="130">
        <f t="shared" si="382"/>
        <v>3.5999999999999997E-2</v>
      </c>
      <c r="AP170" s="128">
        <f t="shared" si="383"/>
        <v>2634.5136802243464</v>
      </c>
      <c r="AQ170" s="128">
        <f t="shared" si="362"/>
        <v>143063.46368022435</v>
      </c>
      <c r="AS170" s="124">
        <f t="shared" si="327"/>
        <v>127</v>
      </c>
      <c r="AT170" s="130">
        <f t="shared" si="328"/>
        <v>3.7499999999999999E-2</v>
      </c>
      <c r="AU170" s="127">
        <f t="shared" si="438"/>
        <v>1397</v>
      </c>
      <c r="AV170" s="128">
        <f t="shared" si="439"/>
        <v>139568.90000000002</v>
      </c>
      <c r="AW170" s="128">
        <f t="shared" si="363"/>
        <v>139700</v>
      </c>
      <c r="AX170" s="128">
        <f t="shared" si="358"/>
        <v>139700</v>
      </c>
      <c r="AY170" s="130">
        <f t="shared" si="384"/>
        <v>3.9E-2</v>
      </c>
      <c r="AZ170" s="128">
        <f t="shared" si="385"/>
        <v>140154.02499999999</v>
      </c>
      <c r="BA170" s="128" t="str">
        <f t="shared" si="386"/>
        <v>nie</v>
      </c>
      <c r="BB170" s="128">
        <f t="shared" si="387"/>
        <v>977.9</v>
      </c>
      <c r="BC170" s="128">
        <f t="shared" si="367"/>
        <v>139275.66125</v>
      </c>
      <c r="BD170" s="128">
        <f t="shared" si="388"/>
        <v>367.76024999999532</v>
      </c>
      <c r="BE170" s="130">
        <f t="shared" si="264"/>
        <v>3.5999999999999997E-2</v>
      </c>
      <c r="BF170" s="128">
        <f t="shared" si="389"/>
        <v>2705.8558102350007</v>
      </c>
      <c r="BG170" s="128">
        <f t="shared" si="368"/>
        <v>141613.75681023501</v>
      </c>
      <c r="BI170" s="124">
        <f t="shared" si="332"/>
        <v>127</v>
      </c>
      <c r="BJ170" s="130">
        <f t="shared" si="451"/>
        <v>3.9100000000000003E-2</v>
      </c>
      <c r="BK170" s="127">
        <f t="shared" si="440"/>
        <v>1376</v>
      </c>
      <c r="BL170" s="128">
        <f t="shared" si="441"/>
        <v>137462.39999999999</v>
      </c>
      <c r="BM170" s="128">
        <f t="shared" si="349"/>
        <v>137600</v>
      </c>
      <c r="BN170" s="128">
        <f t="shared" si="442"/>
        <v>143654.39999999999</v>
      </c>
      <c r="BO170" s="130">
        <f t="shared" si="390"/>
        <v>4.3999999999999997E-2</v>
      </c>
      <c r="BP170" s="128">
        <f t="shared" si="391"/>
        <v>147341.52960000001</v>
      </c>
      <c r="BQ170" s="128" t="str">
        <f t="shared" si="392"/>
        <v>nie</v>
      </c>
      <c r="BR170" s="128">
        <f t="shared" si="393"/>
        <v>1376</v>
      </c>
      <c r="BS170" s="128">
        <f t="shared" si="364"/>
        <v>144376.07897600002</v>
      </c>
      <c r="BT170" s="128">
        <f t="shared" si="456"/>
        <v>0</v>
      </c>
      <c r="BU170" s="130">
        <f t="shared" si="394"/>
        <v>3.5999999999999997E-2</v>
      </c>
      <c r="BV170" s="128">
        <f t="shared" si="271"/>
        <v>207.39167423752718</v>
      </c>
      <c r="BW170" s="128">
        <f t="shared" si="365"/>
        <v>144583.47065023755</v>
      </c>
      <c r="BY170" s="130">
        <f t="shared" si="452"/>
        <v>3.1E-2</v>
      </c>
      <c r="BZ170" s="127">
        <f t="shared" si="444"/>
        <v>1341</v>
      </c>
      <c r="CA170" s="128">
        <f t="shared" si="445"/>
        <v>133979.79999999999</v>
      </c>
      <c r="CB170" s="128">
        <f t="shared" si="366"/>
        <v>134100</v>
      </c>
      <c r="CC170" s="128">
        <f t="shared" si="359"/>
        <v>134100</v>
      </c>
      <c r="CD170" s="130">
        <f t="shared" si="395"/>
        <v>4.5999999999999999E-2</v>
      </c>
      <c r="CE170" s="128">
        <f t="shared" si="396"/>
        <v>137698.34999999998</v>
      </c>
      <c r="CF170" s="128" t="str">
        <f t="shared" si="397"/>
        <v>nie</v>
      </c>
      <c r="CG170" s="128">
        <f t="shared" si="398"/>
        <v>2682</v>
      </c>
      <c r="CH170" s="128">
        <f t="shared" si="369"/>
        <v>134842.24349999998</v>
      </c>
      <c r="CI170" s="128">
        <f t="shared" si="399"/>
        <v>0</v>
      </c>
      <c r="CJ170" s="130">
        <f t="shared" si="277"/>
        <v>3.5999999999999997E-2</v>
      </c>
      <c r="CK170" s="128">
        <f t="shared" si="400"/>
        <v>10516.199270259405</v>
      </c>
      <c r="CL170" s="128">
        <f t="shared" si="401"/>
        <v>145358.4427702594</v>
      </c>
      <c r="CN170" s="127">
        <f t="shared" si="446"/>
        <v>1526</v>
      </c>
      <c r="CO170" s="128">
        <f t="shared" si="447"/>
        <v>152447.4</v>
      </c>
      <c r="CP170" s="128">
        <f t="shared" si="342"/>
        <v>152600</v>
      </c>
      <c r="CQ170" s="128">
        <f t="shared" si="448"/>
        <v>152600</v>
      </c>
      <c r="CR170" s="130">
        <f t="shared" si="402"/>
        <v>5.3499999999999999E-2</v>
      </c>
      <c r="CS170" s="128">
        <f t="shared" si="403"/>
        <v>157362.39166666666</v>
      </c>
      <c r="CT170" s="128" t="str">
        <f t="shared" si="404"/>
        <v>nie</v>
      </c>
      <c r="CU170" s="128">
        <f t="shared" si="405"/>
        <v>4578</v>
      </c>
      <c r="CV170" s="128">
        <f t="shared" si="406"/>
        <v>152749.35725</v>
      </c>
      <c r="CW170" s="128">
        <f t="shared" si="453"/>
        <v>0</v>
      </c>
      <c r="CX170" s="130">
        <f t="shared" si="407"/>
        <v>3.5999999999999997E-2</v>
      </c>
      <c r="CY170" s="128">
        <f t="shared" si="408"/>
        <v>73.118296361025017</v>
      </c>
      <c r="CZ170" s="128">
        <f t="shared" si="409"/>
        <v>152822.47554636103</v>
      </c>
      <c r="DA170" s="20"/>
      <c r="DB170" s="127">
        <f t="shared" si="350"/>
        <v>1280</v>
      </c>
      <c r="DC170" s="128">
        <f t="shared" si="351"/>
        <v>128000</v>
      </c>
      <c r="DD170" s="128">
        <f t="shared" si="344"/>
        <v>128000</v>
      </c>
      <c r="DE170" s="128">
        <f t="shared" si="449"/>
        <v>156029.75149439997</v>
      </c>
      <c r="DF170" s="130">
        <f t="shared" si="410"/>
        <v>5.1000000000000004E-2</v>
      </c>
      <c r="DG170" s="128">
        <f t="shared" si="411"/>
        <v>160671.63660135836</v>
      </c>
      <c r="DH170" s="128" t="str">
        <f t="shared" si="412"/>
        <v>nie</v>
      </c>
      <c r="DI170" s="128">
        <f t="shared" si="413"/>
        <v>2560</v>
      </c>
      <c r="DJ170" s="128">
        <f t="shared" si="355"/>
        <v>152390.42564710026</v>
      </c>
      <c r="DK170" s="128">
        <f t="shared" si="454"/>
        <v>0</v>
      </c>
      <c r="DL170" s="130">
        <f t="shared" si="414"/>
        <v>3.5999999999999997E-2</v>
      </c>
      <c r="DM170" s="128">
        <f t="shared" si="415"/>
        <v>74.998361102868216</v>
      </c>
      <c r="DN170" s="128">
        <f t="shared" si="416"/>
        <v>152465.42400820312</v>
      </c>
      <c r="DP170" s="127">
        <f t="shared" si="352"/>
        <v>1000</v>
      </c>
      <c r="DQ170" s="128">
        <f t="shared" si="353"/>
        <v>100000</v>
      </c>
      <c r="DR170" s="128">
        <f t="shared" si="346"/>
        <v>100000</v>
      </c>
      <c r="DS170" s="128">
        <f t="shared" si="450"/>
        <v>172440.46368313648</v>
      </c>
      <c r="DT170" s="130">
        <f t="shared" si="417"/>
        <v>5.6000000000000001E-2</v>
      </c>
      <c r="DU170" s="128">
        <f t="shared" si="418"/>
        <v>178073.51883011893</v>
      </c>
      <c r="DV170" s="128" t="str">
        <f t="shared" si="419"/>
        <v>nie</v>
      </c>
      <c r="DW170" s="128">
        <f t="shared" si="420"/>
        <v>3000</v>
      </c>
      <c r="DX170" s="128">
        <f t="shared" si="302"/>
        <v>160809.55025239632</v>
      </c>
      <c r="DY170" s="128">
        <f t="shared" si="455"/>
        <v>0</v>
      </c>
      <c r="DZ170" s="130">
        <f t="shared" si="421"/>
        <v>3.5999999999999997E-2</v>
      </c>
      <c r="EA170" s="128">
        <f t="shared" si="422"/>
        <v>0</v>
      </c>
      <c r="EB170" s="128">
        <f t="shared" si="423"/>
        <v>160809.55025239632</v>
      </c>
    </row>
    <row r="171" spans="1:132">
      <c r="A171" s="212"/>
      <c r="B171" s="188">
        <f t="shared" si="424"/>
        <v>127</v>
      </c>
      <c r="C171" s="128">
        <f t="shared" si="425"/>
        <v>143063.46368022435</v>
      </c>
      <c r="D171" s="128">
        <f t="shared" si="426"/>
        <v>141613.75681023501</v>
      </c>
      <c r="E171" s="128">
        <f t="shared" si="427"/>
        <v>144583.47065023755</v>
      </c>
      <c r="F171" s="128">
        <f t="shared" si="428"/>
        <v>145358.4427702594</v>
      </c>
      <c r="G171" s="128">
        <f t="shared" si="429"/>
        <v>152822.47554636103</v>
      </c>
      <c r="H171" s="128">
        <f t="shared" si="430"/>
        <v>152465.42400820312</v>
      </c>
      <c r="I171" s="128">
        <f t="shared" si="431"/>
        <v>160809.55025239632</v>
      </c>
      <c r="J171" s="128">
        <f t="shared" si="432"/>
        <v>136102.16693514501</v>
      </c>
      <c r="K171" s="128">
        <f t="shared" si="433"/>
        <v>138156.07315233842</v>
      </c>
      <c r="M171" s="36"/>
      <c r="N171" s="32">
        <f t="shared" si="434"/>
        <v>127</v>
      </c>
      <c r="O171" s="25">
        <f t="shared" si="318"/>
        <v>0.43063463680224356</v>
      </c>
      <c r="P171" s="25">
        <f t="shared" si="319"/>
        <v>0.41613756810235003</v>
      </c>
      <c r="Q171" s="25">
        <f t="shared" si="320"/>
        <v>0.44583470650237556</v>
      </c>
      <c r="R171" s="25">
        <f t="shared" si="370"/>
        <v>0.453584427702594</v>
      </c>
      <c r="S171" s="25">
        <f t="shared" si="371"/>
        <v>0.52822475546361036</v>
      </c>
      <c r="T171" s="25">
        <f t="shared" si="372"/>
        <v>0.5246542400820311</v>
      </c>
      <c r="U171" s="25">
        <f t="shared" si="373"/>
        <v>0.60809550252396316</v>
      </c>
      <c r="V171" s="25">
        <f t="shared" si="374"/>
        <v>0.36102166935145008</v>
      </c>
      <c r="W171" s="25">
        <f t="shared" si="375"/>
        <v>0.38156073152338421</v>
      </c>
      <c r="X171" s="36"/>
      <c r="Y171" s="36"/>
      <c r="AA171" s="124">
        <f t="shared" si="321"/>
        <v>128</v>
      </c>
      <c r="AB171" s="128">
        <f t="shared" si="376"/>
        <v>138506.63697878702</v>
      </c>
      <c r="AC171" s="124">
        <f t="shared" si="322"/>
        <v>128</v>
      </c>
      <c r="AD171" s="130">
        <f t="shared" si="435"/>
        <v>3.7499999999999999E-2</v>
      </c>
      <c r="AE171" s="127">
        <f t="shared" si="436"/>
        <v>1410</v>
      </c>
      <c r="AF171" s="128">
        <f t="shared" si="437"/>
        <v>140863.30000000002</v>
      </c>
      <c r="AG171" s="128">
        <f t="shared" si="348"/>
        <v>141000</v>
      </c>
      <c r="AH171" s="128">
        <f t="shared" si="357"/>
        <v>141000</v>
      </c>
      <c r="AI171" s="130">
        <f t="shared" si="377"/>
        <v>3.7499999999999999E-2</v>
      </c>
      <c r="AJ171" s="128">
        <f t="shared" si="378"/>
        <v>141440.625</v>
      </c>
      <c r="AK171" s="128" t="str">
        <f t="shared" si="379"/>
        <v>nie</v>
      </c>
      <c r="AL171" s="128">
        <f t="shared" si="380"/>
        <v>705</v>
      </c>
      <c r="AM171" s="128">
        <f t="shared" si="361"/>
        <v>140785.85625000001</v>
      </c>
      <c r="AN171" s="128">
        <f t="shared" si="381"/>
        <v>356.90625</v>
      </c>
      <c r="AO171" s="130">
        <f t="shared" si="382"/>
        <v>3.5999999999999997E-2</v>
      </c>
      <c r="AP171" s="128">
        <f t="shared" si="383"/>
        <v>2997.8217984672915</v>
      </c>
      <c r="AQ171" s="128">
        <f t="shared" si="362"/>
        <v>143426.77179846729</v>
      </c>
      <c r="AS171" s="124">
        <f t="shared" si="327"/>
        <v>128</v>
      </c>
      <c r="AT171" s="130">
        <f t="shared" si="328"/>
        <v>3.7499999999999999E-2</v>
      </c>
      <c r="AU171" s="127">
        <f t="shared" si="438"/>
        <v>1397</v>
      </c>
      <c r="AV171" s="128">
        <f t="shared" si="439"/>
        <v>139568.90000000002</v>
      </c>
      <c r="AW171" s="128">
        <f t="shared" si="363"/>
        <v>139700</v>
      </c>
      <c r="AX171" s="128">
        <f t="shared" si="358"/>
        <v>139700</v>
      </c>
      <c r="AY171" s="130">
        <f t="shared" si="384"/>
        <v>3.9E-2</v>
      </c>
      <c r="AZ171" s="128">
        <f t="shared" si="385"/>
        <v>140154.02499999999</v>
      </c>
      <c r="BA171" s="128" t="str">
        <f t="shared" si="386"/>
        <v>nie</v>
      </c>
      <c r="BB171" s="128">
        <f t="shared" si="387"/>
        <v>977.9</v>
      </c>
      <c r="BC171" s="128">
        <f t="shared" si="367"/>
        <v>139275.66125</v>
      </c>
      <c r="BD171" s="128">
        <f t="shared" si="388"/>
        <v>367.76024999999532</v>
      </c>
      <c r="BE171" s="130">
        <f t="shared" si="264"/>
        <v>3.5999999999999997E-2</v>
      </c>
      <c r="BF171" s="128">
        <f t="shared" si="389"/>
        <v>3080.1912898538667</v>
      </c>
      <c r="BG171" s="128">
        <f t="shared" si="368"/>
        <v>141988.09228985387</v>
      </c>
      <c r="BI171" s="124">
        <f t="shared" si="332"/>
        <v>128</v>
      </c>
      <c r="BJ171" s="130">
        <f t="shared" si="451"/>
        <v>3.9100000000000003E-2</v>
      </c>
      <c r="BK171" s="127">
        <f t="shared" si="440"/>
        <v>1376</v>
      </c>
      <c r="BL171" s="128">
        <f t="shared" si="441"/>
        <v>137462.39999999999</v>
      </c>
      <c r="BM171" s="128">
        <f t="shared" si="349"/>
        <v>137600</v>
      </c>
      <c r="BN171" s="128">
        <f t="shared" si="442"/>
        <v>143654.39999999999</v>
      </c>
      <c r="BO171" s="130">
        <f t="shared" si="390"/>
        <v>4.3999999999999997E-2</v>
      </c>
      <c r="BP171" s="128">
        <f t="shared" si="391"/>
        <v>147868.26240000001</v>
      </c>
      <c r="BQ171" s="128" t="str">
        <f t="shared" si="392"/>
        <v>nie</v>
      </c>
      <c r="BR171" s="128">
        <f t="shared" si="393"/>
        <v>1376</v>
      </c>
      <c r="BS171" s="128">
        <f t="shared" si="364"/>
        <v>144802.732544</v>
      </c>
      <c r="BT171" s="128">
        <f t="shared" si="456"/>
        <v>0</v>
      </c>
      <c r="BU171" s="130">
        <f t="shared" si="394"/>
        <v>3.5999999999999997E-2</v>
      </c>
      <c r="BV171" s="128">
        <f t="shared" si="271"/>
        <v>207.89563600592436</v>
      </c>
      <c r="BW171" s="128">
        <f t="shared" si="365"/>
        <v>145010.62818000594</v>
      </c>
      <c r="BY171" s="130">
        <f t="shared" si="452"/>
        <v>3.1E-2</v>
      </c>
      <c r="BZ171" s="127">
        <f t="shared" si="444"/>
        <v>1341</v>
      </c>
      <c r="CA171" s="128">
        <f t="shared" si="445"/>
        <v>133979.79999999999</v>
      </c>
      <c r="CB171" s="128">
        <f t="shared" si="366"/>
        <v>134100</v>
      </c>
      <c r="CC171" s="128">
        <f t="shared" si="359"/>
        <v>134100</v>
      </c>
      <c r="CD171" s="130">
        <f t="shared" si="395"/>
        <v>4.5999999999999999E-2</v>
      </c>
      <c r="CE171" s="128">
        <f t="shared" si="396"/>
        <v>138212.4</v>
      </c>
      <c r="CF171" s="128" t="str">
        <f t="shared" si="397"/>
        <v>nie</v>
      </c>
      <c r="CG171" s="128">
        <f t="shared" si="398"/>
        <v>2682</v>
      </c>
      <c r="CH171" s="128">
        <f t="shared" si="369"/>
        <v>135258.62399999998</v>
      </c>
      <c r="CI171" s="128">
        <f t="shared" si="399"/>
        <v>0</v>
      </c>
      <c r="CJ171" s="130">
        <f t="shared" si="277"/>
        <v>3.5999999999999997E-2</v>
      </c>
      <c r="CK171" s="128">
        <f t="shared" si="400"/>
        <v>10541.753634486135</v>
      </c>
      <c r="CL171" s="128">
        <f t="shared" si="401"/>
        <v>145800.37763448613</v>
      </c>
      <c r="CN171" s="127">
        <f t="shared" si="446"/>
        <v>1526</v>
      </c>
      <c r="CO171" s="128">
        <f t="shared" si="447"/>
        <v>152447.4</v>
      </c>
      <c r="CP171" s="128">
        <f t="shared" si="342"/>
        <v>152600</v>
      </c>
      <c r="CQ171" s="128">
        <f t="shared" si="448"/>
        <v>152600</v>
      </c>
      <c r="CR171" s="130">
        <f t="shared" si="402"/>
        <v>5.3499999999999999E-2</v>
      </c>
      <c r="CS171" s="128">
        <f t="shared" si="403"/>
        <v>158042.73333333334</v>
      </c>
      <c r="CT171" s="128" t="str">
        <f t="shared" si="404"/>
        <v>nie</v>
      </c>
      <c r="CU171" s="128">
        <f t="shared" si="405"/>
        <v>4578</v>
      </c>
      <c r="CV171" s="128">
        <f t="shared" si="406"/>
        <v>153300.43400000001</v>
      </c>
      <c r="CW171" s="128">
        <f t="shared" si="453"/>
        <v>0</v>
      </c>
      <c r="CX171" s="130">
        <f t="shared" si="407"/>
        <v>3.5999999999999997E-2</v>
      </c>
      <c r="CY171" s="128">
        <f t="shared" si="408"/>
        <v>73.295973821182301</v>
      </c>
      <c r="CZ171" s="128">
        <f t="shared" si="409"/>
        <v>153373.7299738212</v>
      </c>
      <c r="DA171" s="20"/>
      <c r="DB171" s="127">
        <f t="shared" si="350"/>
        <v>1280</v>
      </c>
      <c r="DC171" s="128">
        <f t="shared" si="351"/>
        <v>128000</v>
      </c>
      <c r="DD171" s="128">
        <f t="shared" si="344"/>
        <v>128000</v>
      </c>
      <c r="DE171" s="128">
        <f t="shared" si="449"/>
        <v>156029.75149439997</v>
      </c>
      <c r="DF171" s="130">
        <f t="shared" si="410"/>
        <v>5.1000000000000004E-2</v>
      </c>
      <c r="DG171" s="128">
        <f t="shared" si="411"/>
        <v>161334.76304520958</v>
      </c>
      <c r="DH171" s="128" t="str">
        <f t="shared" si="412"/>
        <v>nie</v>
      </c>
      <c r="DI171" s="128">
        <f t="shared" si="413"/>
        <v>2560</v>
      </c>
      <c r="DJ171" s="128">
        <f t="shared" si="355"/>
        <v>152927.55806661976</v>
      </c>
      <c r="DK171" s="128">
        <f t="shared" si="454"/>
        <v>0</v>
      </c>
      <c r="DL171" s="130">
        <f t="shared" si="414"/>
        <v>3.5999999999999997E-2</v>
      </c>
      <c r="DM171" s="128">
        <f t="shared" si="415"/>
        <v>75.180607120348185</v>
      </c>
      <c r="DN171" s="128">
        <f t="shared" si="416"/>
        <v>153002.73867374012</v>
      </c>
      <c r="DP171" s="127">
        <f t="shared" si="352"/>
        <v>1000</v>
      </c>
      <c r="DQ171" s="128">
        <f t="shared" si="353"/>
        <v>100000</v>
      </c>
      <c r="DR171" s="128">
        <f t="shared" si="346"/>
        <v>100000</v>
      </c>
      <c r="DS171" s="128">
        <f t="shared" si="450"/>
        <v>172440.46368313648</v>
      </c>
      <c r="DT171" s="130">
        <f t="shared" si="417"/>
        <v>5.6000000000000001E-2</v>
      </c>
      <c r="DU171" s="128">
        <f t="shared" si="418"/>
        <v>178878.2409939736</v>
      </c>
      <c r="DV171" s="128" t="str">
        <f t="shared" si="419"/>
        <v>nie</v>
      </c>
      <c r="DW171" s="128">
        <f t="shared" si="420"/>
        <v>3000</v>
      </c>
      <c r="DX171" s="128">
        <f t="shared" si="302"/>
        <v>161461.37520511862</v>
      </c>
      <c r="DY171" s="128">
        <f t="shared" si="455"/>
        <v>0</v>
      </c>
      <c r="DZ171" s="130">
        <f t="shared" si="421"/>
        <v>3.5999999999999997E-2</v>
      </c>
      <c r="EA171" s="128">
        <f t="shared" si="422"/>
        <v>0</v>
      </c>
      <c r="EB171" s="128">
        <f t="shared" si="423"/>
        <v>161461.37520511862</v>
      </c>
    </row>
    <row r="172" spans="1:132">
      <c r="A172" s="212"/>
      <c r="B172" s="188">
        <f t="shared" si="424"/>
        <v>128</v>
      </c>
      <c r="C172" s="128">
        <f t="shared" si="425"/>
        <v>143426.77179846729</v>
      </c>
      <c r="D172" s="128">
        <f t="shared" si="426"/>
        <v>141988.09228985387</v>
      </c>
      <c r="E172" s="128">
        <f t="shared" si="427"/>
        <v>145010.62818000594</v>
      </c>
      <c r="F172" s="128">
        <f t="shared" si="428"/>
        <v>145800.37763448613</v>
      </c>
      <c r="G172" s="128">
        <f t="shared" si="429"/>
        <v>153373.7299738212</v>
      </c>
      <c r="H172" s="128">
        <f t="shared" si="430"/>
        <v>153002.73867374012</v>
      </c>
      <c r="I172" s="128">
        <f t="shared" si="431"/>
        <v>161461.37520511862</v>
      </c>
      <c r="J172" s="128">
        <f t="shared" si="432"/>
        <v>136432.89520079741</v>
      </c>
      <c r="K172" s="128">
        <f t="shared" si="433"/>
        <v>138506.63697878702</v>
      </c>
      <c r="M172" s="36"/>
      <c r="N172" s="32">
        <f t="shared" si="434"/>
        <v>128</v>
      </c>
      <c r="O172" s="25">
        <f t="shared" si="318"/>
        <v>0.43426771798467301</v>
      </c>
      <c r="P172" s="25">
        <f t="shared" si="319"/>
        <v>0.41988092289853873</v>
      </c>
      <c r="Q172" s="25">
        <f t="shared" si="320"/>
        <v>0.4501062818000594</v>
      </c>
      <c r="R172" s="25">
        <f t="shared" ref="R172:R188" si="457">F172/zakup_domyslny_wartosc-1</f>
        <v>0.45800377634486122</v>
      </c>
      <c r="S172" s="25">
        <f t="shared" ref="S172:S188" si="458">G172/zakup_domyslny_wartosc-1</f>
        <v>0.53373729973821193</v>
      </c>
      <c r="T172" s="25">
        <f t="shared" ref="T172:T188" si="459">H172/zakup_domyslny_wartosc-1</f>
        <v>0.53002738673740124</v>
      </c>
      <c r="U172" s="25">
        <f t="shared" ref="U172:U188" si="460">I172/zakup_domyslny_wartosc-1</f>
        <v>0.61461375205118607</v>
      </c>
      <c r="V172" s="25">
        <f t="shared" ref="V172:V188" si="461">J172/zakup_domyslny_wartosc-1</f>
        <v>0.36432895200797422</v>
      </c>
      <c r="W172" s="25">
        <f t="shared" ref="W172:W188" si="462">K172/zakup_domyslny_wartosc-1</f>
        <v>0.38506636978787023</v>
      </c>
      <c r="X172" s="36"/>
      <c r="Y172" s="36"/>
      <c r="AA172" s="124">
        <f t="shared" si="321"/>
        <v>129</v>
      </c>
      <c r="AB172" s="128">
        <f t="shared" ref="AB172:AB187" si="463">zakup_domyslny_wartosc*IFERROR((INDEX(scenariusz_I_inflacja_skumulowana,MATCH(ROUNDDOWN(AA172/12,0),scenariusz_I_rok,0))+1),1)
*(1+MOD(AA172,12)*INDEX(scenariusz_I_inflacja,MATCH(ROUNDUP(AA172/12,0),scenariusz_I_rok,0))/12)</f>
        <v>138857.20080523563</v>
      </c>
      <c r="AC172" s="124">
        <f t="shared" si="322"/>
        <v>129</v>
      </c>
      <c r="AD172" s="130">
        <f t="shared" si="435"/>
        <v>3.7499999999999999E-2</v>
      </c>
      <c r="AE172" s="127">
        <f t="shared" si="436"/>
        <v>1410</v>
      </c>
      <c r="AF172" s="128">
        <f t="shared" si="437"/>
        <v>140863.30000000002</v>
      </c>
      <c r="AG172" s="128">
        <f t="shared" si="348"/>
        <v>141000</v>
      </c>
      <c r="AH172" s="128">
        <f t="shared" si="357"/>
        <v>141000</v>
      </c>
      <c r="AI172" s="130">
        <f t="shared" ref="AI172:AI187" si="464">IF(AND(MOD($AA172,zapadalnosc_ROR)&lt;=zmiana_oprocentowania_co_ile_mc_ROR,MOD($AA172,zapadalnosc_ROR)&lt;&gt;0),proc_I_okres_ROR,(marza_ROR+AD172))</f>
        <v>3.7499999999999999E-2</v>
      </c>
      <c r="AJ172" s="128">
        <f t="shared" ref="AJ172:AJ187" si="465">AH172*(1+AI172*IF(MOD($AA172,wyplata_odsetek_ROR)&lt;&gt;0,MOD($AA172,wyplata_odsetek_ROR),wyplata_odsetek_ROR)/12)</f>
        <v>141440.625</v>
      </c>
      <c r="AK172" s="128" t="str">
        <f t="shared" ref="AK172:AK187" si="466">IF(MOD($AA172,zapadalnosc_ROR)=0,"tak","nie")</f>
        <v>nie</v>
      </c>
      <c r="AL172" s="128">
        <f t="shared" ref="AL172:AL187" si="467">IF(MOD($AA172,zapadalnosc_ROR)=0,0,
IF(AND(MOD($AA172,zapadalnosc_ROR)&lt;zapadalnosc_ROR,MOD($AA172,zapadalnosc_ROR)&lt;=koszt_wczesniejszy_wykup_ochrona_ROR),
MIN(AJ172-AG172,AE172*koszt_wczesniejszy_wykup_ROR),AE172*koszt_wczesniejszy_wykup_ROR))</f>
        <v>705</v>
      </c>
      <c r="AM172" s="128">
        <f t="shared" si="361"/>
        <v>140785.85625000001</v>
      </c>
      <c r="AN172" s="128">
        <f t="shared" ref="AN172:AN186" si="468">IF(MOD($AA172,wyplata_odsetek_ROR)=0, (AJ172-AG172)*(1-podatek_Belki),0)
+IF(AK172="tak",ROUNDDOWN(AJ172/zamiana_ROR,0)*(100-zamiana_ROR),0)</f>
        <v>356.90625</v>
      </c>
      <c r="AO172" s="130">
        <f t="shared" ref="AO172:AO187" si="469">INDEX(scenariusz_I_konto,MATCH(ROUNDUP($AA172/12,0),scenariusz_I_rok,0))</f>
        <v>3.5999999999999997E-2</v>
      </c>
      <c r="AP172" s="128">
        <f t="shared" ref="AP172:AP187" si="470">(AP171-IF(AK171="tak",ROUNDDOWN(AP171/100,0)*100,0))*
(1+AO172/12*(1-podatek_Belki))+AN172</f>
        <v>3362.0127554375667</v>
      </c>
      <c r="AQ172" s="128">
        <f t="shared" si="362"/>
        <v>143790.96275543759</v>
      </c>
      <c r="AS172" s="124">
        <f t="shared" si="327"/>
        <v>129</v>
      </c>
      <c r="AT172" s="130">
        <f t="shared" si="328"/>
        <v>3.7499999999999999E-2</v>
      </c>
      <c r="AU172" s="127">
        <f t="shared" si="438"/>
        <v>1397</v>
      </c>
      <c r="AV172" s="128">
        <f t="shared" si="439"/>
        <v>139568.90000000002</v>
      </c>
      <c r="AW172" s="128">
        <f t="shared" si="363"/>
        <v>139700</v>
      </c>
      <c r="AX172" s="128">
        <f t="shared" si="358"/>
        <v>139700</v>
      </c>
      <c r="AY172" s="130">
        <f t="shared" ref="AY172:AY187" si="471">IF(AND(MOD($AA172,zapadalnosc_DOR)&lt;=zmiana_oprocentowania_co_ile_mc_DOR,MOD($AA172,zapadalnosc_DOR)&lt;&gt;0),proc_I_okres_DOR,(marza_DOR+AT172))</f>
        <v>3.9E-2</v>
      </c>
      <c r="AZ172" s="128">
        <f t="shared" ref="AZ172:AZ187" si="472">AX172*(1+AY172*IF(MOD($AA172,wyplata_odsetek_DOR)&lt;&gt;0,MOD($AA172,wyplata_odsetek_DOR),wyplata_odsetek_DOR)/12)</f>
        <v>140154.02499999999</v>
      </c>
      <c r="BA172" s="128" t="str">
        <f t="shared" ref="BA172:BA187" si="473">IF(MOD($AA172,zapadalnosc_DOR)=0,"tak","nie")</f>
        <v>nie</v>
      </c>
      <c r="BB172" s="128">
        <f t="shared" ref="BB172:BB187" si="474">IF(MOD($AA172,zapadalnosc_DOR)=0,0,
IF(AND(MOD($AA172,zapadalnosc_DOR)&lt;zapadalnosc_DOR,MOD($AA172,zapadalnosc_DOR)&lt;=koszt_wczesniejszy_wykup_ochrona_DOR),
MIN(AZ172-AW172,AU172*koszt_wczesniejszy_wykup_DOR),AU172*koszt_wczesniejszy_wykup_DOR))</f>
        <v>977.9</v>
      </c>
      <c r="BC172" s="128">
        <f t="shared" si="367"/>
        <v>139275.66125</v>
      </c>
      <c r="BD172" s="128">
        <f t="shared" ref="BD172:BD186" si="475">IF(MOD($AA172,wyplata_odsetek_DOR)=0, (AZ172-AW172)*(1-podatek_Belki),0)
+IF(BA172="tak",ROUNDDOWN(AZ172/zamiana_DOR,0)*(100-zamiana_DOR),0)</f>
        <v>367.76024999999532</v>
      </c>
      <c r="BE172" s="130">
        <f t="shared" ref="BE172:BE187" si="476">INDEX(scenariusz_I_konto,MATCH(ROUNDUP($AA172/12,0),scenariusz_I_rok,0))</f>
        <v>3.5999999999999997E-2</v>
      </c>
      <c r="BF172" s="128">
        <f t="shared" ref="BF172:BF187" si="477">(BF171-IF(BA171="tak",ROUNDDOWN(BF171/100,0)*100,0))*
(1+BE172/12*(1-podatek_Belki))+BD172</f>
        <v>3455.4364046882065</v>
      </c>
      <c r="BG172" s="128">
        <f t="shared" si="368"/>
        <v>142363.33740468821</v>
      </c>
      <c r="BI172" s="124">
        <f t="shared" si="332"/>
        <v>129</v>
      </c>
      <c r="BJ172" s="130">
        <f t="shared" si="451"/>
        <v>3.9100000000000003E-2</v>
      </c>
      <c r="BK172" s="127">
        <f t="shared" si="440"/>
        <v>1376</v>
      </c>
      <c r="BL172" s="128">
        <f t="shared" si="441"/>
        <v>137462.39999999999</v>
      </c>
      <c r="BM172" s="128">
        <f t="shared" si="349"/>
        <v>137600</v>
      </c>
      <c r="BN172" s="128">
        <f t="shared" si="442"/>
        <v>143654.39999999999</v>
      </c>
      <c r="BO172" s="130">
        <f t="shared" ref="BO172:BO187" si="478">IF(AND(MOD($AA172,zapadalnosc_TOS)&lt;=12,MOD($AA172,zapadalnosc_TOS)&lt;&gt;0),proc_I_okres_TOS,(marza_TOS+proc_I_okres_TOS))</f>
        <v>4.3999999999999997E-2</v>
      </c>
      <c r="BP172" s="128">
        <f t="shared" ref="BP172:BP187" si="479">BN172*(1+BO172*IF(MOD($AA172,12)&lt;&gt;0,MOD($AA172,12),12)/12)</f>
        <v>148394.99519999998</v>
      </c>
      <c r="BQ172" s="128" t="str">
        <f t="shared" ref="BQ172:BQ187" si="480">IF(MOD($AA172,zapadalnosc_TOS)=0,"tak","nie")</f>
        <v>nie</v>
      </c>
      <c r="BR172" s="128">
        <f t="shared" ref="BR172:BR187" si="481">IF(MOD($AA172,zapadalnosc_TOS)=0,0,
IF(AND(MOD($AA172,zapadalnosc_TOS)&lt;zapadalnosc_TOS,MOD($AA172,zapadalnosc_TOS)&lt;=koszt_wczesniejszy_wykup_ochrona_TOS),
MIN(BP172-BM172,BK172*koszt_wczesniejszy_wykup_TOS),BK172*koszt_wczesniejszy_wykup_TOS))</f>
        <v>1376</v>
      </c>
      <c r="BS172" s="128">
        <f t="shared" si="364"/>
        <v>145229.38611199998</v>
      </c>
      <c r="BT172" s="128">
        <f t="shared" si="456"/>
        <v>0</v>
      </c>
      <c r="BU172" s="130">
        <f t="shared" ref="BU172:BU187" si="482">INDEX(scenariusz_I_konto,MATCH(ROUNDUP($AA172/12,0),scenariusz_I_rok,0))</f>
        <v>3.5999999999999997E-2</v>
      </c>
      <c r="BV172" s="128">
        <f t="shared" ref="BV172:BV187" si="483">BV171*(1+BU172/12*(1-podatek_Belki))+BT172</f>
        <v>208.40082240141874</v>
      </c>
      <c r="BW172" s="128">
        <f t="shared" si="365"/>
        <v>145437.7869344014</v>
      </c>
      <c r="BY172" s="130">
        <f t="shared" si="452"/>
        <v>3.1E-2</v>
      </c>
      <c r="BZ172" s="127">
        <f t="shared" si="444"/>
        <v>1341</v>
      </c>
      <c r="CA172" s="128">
        <f t="shared" si="445"/>
        <v>133979.79999999999</v>
      </c>
      <c r="CB172" s="128">
        <f t="shared" si="366"/>
        <v>134100</v>
      </c>
      <c r="CC172" s="128">
        <f t="shared" si="359"/>
        <v>134100</v>
      </c>
      <c r="CD172" s="130">
        <f t="shared" ref="CD172:CD187" si="484">IF(AND(MOD($AA172,zapadalnosc_COI)&lt;=zmiana_oprocentowania_co_ile_mc_COI,MOD($AA172,zapadalnosc_COI)&lt;&gt;0),proc_I_okres_COI,(marza_COI+BY172))</f>
        <v>4.5999999999999999E-2</v>
      </c>
      <c r="CE172" s="128">
        <f t="shared" ref="CE172:CE187" si="485">CC172*(1+CD172*IF(MOD($AA172,wyplata_odsetek_COI)&lt;&gt;0,MOD($AA172,wyplata_odsetek_COI),wyplata_odsetek_COI)/12)</f>
        <v>138726.44999999998</v>
      </c>
      <c r="CF172" s="128" t="str">
        <f t="shared" ref="CF172:CF187" si="486">IF(MOD($AA172,zapadalnosc_COI)=0,"tak","nie")</f>
        <v>nie</v>
      </c>
      <c r="CG172" s="128">
        <f t="shared" ref="CG172:CG187" si="487">IF(MOD($AA172,zapadalnosc_COI)=0,0,
IF(AND(MOD($AA172,zapadalnosc_COI)&lt;zapadalnosc_COI,MOD($AA172,zapadalnosc_COI)&lt;=koszt_wczesniejszy_wykup_ochrona_COI),
MIN(CE172-CB172,BZ172*koszt_wczesniejszy_wykup_COI),BZ172*koszt_wczesniejszy_wykup_COI))</f>
        <v>2682</v>
      </c>
      <c r="CH172" s="128">
        <f t="shared" si="369"/>
        <v>135675.00449999998</v>
      </c>
      <c r="CI172" s="128">
        <f t="shared" ref="CI172:CI186" si="488" xml:space="preserve"> IF(CF172="tak",
CH172-ROUNDDOWN(CH172/zamiana_COI,0)*zamiana_COI,
IF(MOD($AA172,wyplata_odsetek_COI)=0, (CE172-CB172)*(1-podatek_Belki),0))</f>
        <v>0</v>
      </c>
      <c r="CJ172" s="130">
        <f t="shared" ref="CJ172:CJ187" si="489">INDEX(scenariusz_I_konto,MATCH(ROUNDUP($AA172/12,0),scenariusz_I_rok,0))</f>
        <v>3.5999999999999997E-2</v>
      </c>
      <c r="CK172" s="128">
        <f t="shared" ref="CK172:CK187" si="490">(CK171-IF(CF171="tak",ROUNDDOWN(CK171/100,0)*100,0))*
(1+CJ172/12*(1-podatek_Belki))+CI172</f>
        <v>10567.370095817936</v>
      </c>
      <c r="CL172" s="128">
        <f t="shared" ref="CL172:CL187" si="491">(CK171-IF(MOD($AA171,zapadalnosc_COI)=0,ROUNDDOWN(CK171/100,0)*100,0))*(1+CJ172/12*(1-podatek_Belki))+CH172</f>
        <v>146242.37459581791</v>
      </c>
      <c r="CN172" s="127">
        <f t="shared" si="446"/>
        <v>1526</v>
      </c>
      <c r="CO172" s="128">
        <f t="shared" si="447"/>
        <v>152447.4</v>
      </c>
      <c r="CP172" s="128">
        <f t="shared" si="342"/>
        <v>152600</v>
      </c>
      <c r="CQ172" s="128">
        <f t="shared" si="448"/>
        <v>152600</v>
      </c>
      <c r="CR172" s="130">
        <f t="shared" ref="CR172:CR187" si="492">IF(AND(MOD($AA172,zapadalnosc_EDO)&lt;=12,MOD($AA172,zapadalnosc_EDO)&lt;&gt;0),proc_I_okres_EDO,(marza_EDO+$BY172))</f>
        <v>5.3499999999999999E-2</v>
      </c>
      <c r="CS172" s="128">
        <f t="shared" ref="CS172:CS187" si="493">CQ172*(1+CR172*IF(MOD($AA172,12)&lt;&gt;0,MOD($AA172,12),12)/12)</f>
        <v>158723.07499999998</v>
      </c>
      <c r="CT172" s="128" t="str">
        <f t="shared" ref="CT172:CT187" si="494">IF(MOD($AA172,zapadalnosc_EDO)=0,"tak","nie")</f>
        <v>nie</v>
      </c>
      <c r="CU172" s="128">
        <f t="shared" ref="CU172:CU187" si="495">IF(AND(MOD($AA172,zapadalnosc_EDO)&lt;zapadalnosc_EDO,MOD($AA172,zapadalnosc_EDO)&lt;&gt;0),MIN(CS172-CP172,CN172*koszt_wczesniejszy_wykup_EDO),0)</f>
        <v>4578</v>
      </c>
      <c r="CV172" s="128">
        <f t="shared" ref="CV172:CV187" si="496">CS172-CU172
-(CS172-CP172-CU172)*podatek_Belki</f>
        <v>153851.51074999999</v>
      </c>
      <c r="CW172" s="128">
        <f t="shared" si="453"/>
        <v>0</v>
      </c>
      <c r="CX172" s="130">
        <f t="shared" ref="CX172:CX187" si="497">INDEX(scenariusz_I_konto,MATCH(ROUNDUP($AA172/12,0),scenariusz_I_rok,0))</f>
        <v>3.5999999999999997E-2</v>
      </c>
      <c r="CY172" s="128">
        <f t="shared" ref="CY172:CY187" si="498">CY171*(1+CX172/12*(1-podatek_Belki))+CW172</f>
        <v>73.474083037567766</v>
      </c>
      <c r="CZ172" s="128">
        <f t="shared" ref="CZ172:CZ187" si="499">CY171*(1+CX172/12*(1-podatek_Belki))+CV172</f>
        <v>153924.98483303757</v>
      </c>
      <c r="DA172" s="20"/>
      <c r="DB172" s="127">
        <f t="shared" si="350"/>
        <v>1280</v>
      </c>
      <c r="DC172" s="128">
        <f t="shared" si="351"/>
        <v>128000</v>
      </c>
      <c r="DD172" s="128">
        <f t="shared" si="344"/>
        <v>128000</v>
      </c>
      <c r="DE172" s="128">
        <f t="shared" si="449"/>
        <v>156029.75149439997</v>
      </c>
      <c r="DF172" s="130">
        <f t="shared" ref="DF172:DF187" si="500">IF(AND(MOD($AA172,zapadalnosc_ROS)&lt;=12,MOD($AA172,zapadalnosc_ROS)&lt;&gt;0),proc_I_okres_ROS,(marza_ROS+$BY172))</f>
        <v>5.1000000000000004E-2</v>
      </c>
      <c r="DG172" s="128">
        <f t="shared" ref="DG172:DG187" si="501">DE172*(1+DF172*IF(MOD($AA172,12)&lt;&gt;0,MOD($AA172,12),12)/12)</f>
        <v>161997.88948906076</v>
      </c>
      <c r="DH172" s="128" t="str">
        <f t="shared" ref="DH172:DH187" si="502">IF(MOD($AA172,zapadalnosc_ROS)=0,"tak","nie")</f>
        <v>nie</v>
      </c>
      <c r="DI172" s="128">
        <f t="shared" ref="DI172:DI187" si="503">IF(AND(MOD($AA172,zapadalnosc_ROS)&lt;zapadalnosc_ROS,MOD($AA172,zapadalnosc_ROS)&lt;&gt;0),MIN(DG172-DD172,DB172*koszt_wczesniejszy_wykup_ROS),0)</f>
        <v>2560</v>
      </c>
      <c r="DJ172" s="128">
        <f t="shared" si="355"/>
        <v>153464.69048613921</v>
      </c>
      <c r="DK172" s="128">
        <f t="shared" si="454"/>
        <v>0</v>
      </c>
      <c r="DL172" s="130">
        <f t="shared" ref="DL172:DL187" si="504">INDEX(scenariusz_I_konto,MATCH(ROUNDUP($AA172/12,0),scenariusz_I_rok,0))</f>
        <v>3.5999999999999997E-2</v>
      </c>
      <c r="DM172" s="128">
        <f t="shared" ref="DM172:DM187" si="505">DM171*(1+DL172/12*(1-podatek_Belki))+DK172</f>
        <v>75.363295995650631</v>
      </c>
      <c r="DN172" s="128">
        <f t="shared" ref="DN172:DN187" si="506">DM171*(1+DL172/12*(1-podatek_Belki))+DJ172</f>
        <v>153540.05378213487</v>
      </c>
      <c r="DP172" s="127">
        <f t="shared" si="352"/>
        <v>1000</v>
      </c>
      <c r="DQ172" s="128">
        <f t="shared" si="353"/>
        <v>100000</v>
      </c>
      <c r="DR172" s="128">
        <f t="shared" si="346"/>
        <v>100000</v>
      </c>
      <c r="DS172" s="128">
        <f t="shared" si="450"/>
        <v>172440.46368313648</v>
      </c>
      <c r="DT172" s="130">
        <f t="shared" ref="DT172:DT187" si="507">IF(AND(MOD($AA172,zapadalnosc_ROD)&lt;=12,MOD($AA172,zapadalnosc_ROD)&lt;&gt;0),proc_I_okres_ROD,(marza_ROD+$BY172))</f>
        <v>5.6000000000000001E-2</v>
      </c>
      <c r="DU172" s="128">
        <f t="shared" ref="DU172:DU187" si="508">DS172*(1+DT172*IF(MOD($AA172,12)&lt;&gt;0,MOD($AA172,12),12)/12)</f>
        <v>179682.96315782823</v>
      </c>
      <c r="DV172" s="128" t="str">
        <f t="shared" ref="DV172:DV187" si="509">IF(MOD($AA172,zapadalnosc_ROD)=0,"tak","nie")</f>
        <v>nie</v>
      </c>
      <c r="DW172" s="128">
        <f t="shared" ref="DW172:DW187" si="510">IF(AND(MOD($AA172,zapadalnosc_ROD)&lt;zapadalnosc_ROD,MOD($AA172,zapadalnosc_ROD)&lt;&gt;0),MIN(DU172-DR172,DP172*koszt_wczesniejszy_wykup_ROD),0)</f>
        <v>3000</v>
      </c>
      <c r="DX172" s="128">
        <f t="shared" ref="DX172:DX187" si="511">DU172-DW172
-(DU172-DR172-DW172)*podatek_Belki</f>
        <v>162113.20015784085</v>
      </c>
      <c r="DY172" s="128">
        <f t="shared" si="455"/>
        <v>0</v>
      </c>
      <c r="DZ172" s="130">
        <f t="shared" ref="DZ172:DZ187" si="512">INDEX(scenariusz_I_konto,MATCH(ROUNDUP($AA172/12,0),scenariusz_I_rok,0))</f>
        <v>3.5999999999999997E-2</v>
      </c>
      <c r="EA172" s="128">
        <f t="shared" ref="EA172:EA187" si="513">EA171*(1+DZ172/12*(1-podatek_Belki))+DY172</f>
        <v>0</v>
      </c>
      <c r="EB172" s="128">
        <f t="shared" ref="EB172:EB187" si="514">EA171*(1+DZ172/12*(1-podatek_Belki))+DX172</f>
        <v>162113.20015784085</v>
      </c>
    </row>
    <row r="173" spans="1:132">
      <c r="A173" s="212"/>
      <c r="B173" s="188">
        <f t="shared" ref="B173:B188" si="515">AA172</f>
        <v>129</v>
      </c>
      <c r="C173" s="128">
        <f t="shared" ref="C173:C188" si="516">AQ172</f>
        <v>143790.96275543759</v>
      </c>
      <c r="D173" s="128">
        <f t="shared" ref="D173:D188" si="517">BG172</f>
        <v>142363.33740468821</v>
      </c>
      <c r="E173" s="128">
        <f t="shared" ref="E173:E188" si="518">BW172</f>
        <v>145437.7869344014</v>
      </c>
      <c r="F173" s="128">
        <f t="shared" ref="F173:F188" si="519">CL172</f>
        <v>146242.37459581791</v>
      </c>
      <c r="G173" s="128">
        <f t="shared" ref="G173:G188" si="520">CZ172</f>
        <v>153924.98483303757</v>
      </c>
      <c r="H173" s="128">
        <f t="shared" ref="H173:H188" si="521">DN172</f>
        <v>153540.05378213487</v>
      </c>
      <c r="I173" s="128">
        <f t="shared" ref="I173:I188" si="522">EB172</f>
        <v>162113.20015784085</v>
      </c>
      <c r="J173" s="128">
        <f t="shared" ref="J173:J188" si="523">FV(INDEX(scenariusz_I_konto,MATCH(ROUNDUP(B173/12,0),scenariusz_I_rok,0))/12*(1-podatek_Belki),1,0,-J172,1)</f>
        <v>136764.42713613535</v>
      </c>
      <c r="K173" s="128">
        <f t="shared" ref="K173:K188" si="524">AB172</f>
        <v>138857.20080523563</v>
      </c>
      <c r="M173" s="36"/>
      <c r="N173" s="32">
        <f t="shared" ref="N173:N188" si="525">B173</f>
        <v>129</v>
      </c>
      <c r="O173" s="25">
        <f t="shared" ref="O173:O188" si="526">C173/zakup_domyslny_wartosc-1</f>
        <v>0.4379096275543759</v>
      </c>
      <c r="P173" s="25">
        <f t="shared" ref="P173:P188" si="527">D173/zakup_domyslny_wartosc-1</f>
        <v>0.42363337404688206</v>
      </c>
      <c r="Q173" s="25">
        <f t="shared" ref="Q173:Q188" si="528">E173/zakup_domyslny_wartosc-1</f>
        <v>0.45437786934401414</v>
      </c>
      <c r="R173" s="25">
        <f t="shared" si="457"/>
        <v>0.46242374595817903</v>
      </c>
      <c r="S173" s="25">
        <f t="shared" si="458"/>
        <v>0.53924984833037559</v>
      </c>
      <c r="T173" s="25">
        <f t="shared" si="459"/>
        <v>0.53540053782134867</v>
      </c>
      <c r="U173" s="25">
        <f t="shared" si="460"/>
        <v>0.62113200157840853</v>
      </c>
      <c r="V173" s="25">
        <f t="shared" si="461"/>
        <v>0.36764427136135347</v>
      </c>
      <c r="W173" s="25">
        <f t="shared" si="462"/>
        <v>0.38857200805235625</v>
      </c>
      <c r="X173" s="36"/>
      <c r="Y173" s="36"/>
      <c r="AA173" s="124">
        <f t="shared" ref="AA173:AA187" si="529">AA172+1</f>
        <v>130</v>
      </c>
      <c r="AB173" s="128">
        <f t="shared" si="463"/>
        <v>139207.76463168423</v>
      </c>
      <c r="AC173" s="124">
        <f t="shared" ref="AC173:AC187" si="530">AC172+1</f>
        <v>130</v>
      </c>
      <c r="AD173" s="130">
        <f t="shared" ref="AD173:AD187" si="531">MAX(INDEX(scenariusz_I_stopa_NBP,MATCH(ROUNDUP(AC173/12,0),scenariusz_I_rok,0)),0)</f>
        <v>3.7499999999999999E-2</v>
      </c>
      <c r="AE173" s="127">
        <f t="shared" ref="AE173:AE187" si="532">IF(AK172="tak",
ROUNDDOWN(AM172/zamiana_ROR,0)+ROUNDDOWN(AP172/100,0),
AE172)</f>
        <v>1410</v>
      </c>
      <c r="AF173" s="128">
        <f t="shared" ref="AF173:AF187" si="533">IF(AK172="tak",
ROUNDDOWN(AM172/zamiana_ROR,0)*zamiana_ROR+ROUNDDOWN(AP172/100,0)*100,
AF172)</f>
        <v>140863.30000000002</v>
      </c>
      <c r="AG173" s="128">
        <f t="shared" si="348"/>
        <v>141000</v>
      </c>
      <c r="AH173" s="128">
        <f t="shared" si="357"/>
        <v>141000</v>
      </c>
      <c r="AI173" s="130">
        <f t="shared" si="464"/>
        <v>3.7499999999999999E-2</v>
      </c>
      <c r="AJ173" s="128">
        <f t="shared" si="465"/>
        <v>141440.625</v>
      </c>
      <c r="AK173" s="128" t="str">
        <f t="shared" si="466"/>
        <v>nie</v>
      </c>
      <c r="AL173" s="128">
        <f t="shared" si="467"/>
        <v>705</v>
      </c>
      <c r="AM173" s="128">
        <f t="shared" si="361"/>
        <v>140785.85625000001</v>
      </c>
      <c r="AN173" s="128">
        <f t="shared" si="468"/>
        <v>356.90625</v>
      </c>
      <c r="AO173" s="130">
        <f t="shared" si="469"/>
        <v>3.5999999999999997E-2</v>
      </c>
      <c r="AP173" s="128">
        <f t="shared" si="470"/>
        <v>3727.0886964332799</v>
      </c>
      <c r="AQ173" s="128">
        <f t="shared" si="362"/>
        <v>144156.0386964333</v>
      </c>
      <c r="AS173" s="124">
        <f t="shared" ref="AS173:AS187" si="534">AS172+1</f>
        <v>130</v>
      </c>
      <c r="AT173" s="130">
        <f t="shared" ref="AT173:AT187" si="535">MAX(INDEX(scenariusz_I_stopa_NBP,MATCH(ROUNDUP(AS173/12,0),scenariusz_I_rok,0)),0)</f>
        <v>3.7499999999999999E-2</v>
      </c>
      <c r="AU173" s="127">
        <f t="shared" ref="AU173:AU187" si="536">IF(BA172="tak",
ROUNDDOWN(BC172/zamiana_DOR,0)+ROUNDDOWN(BF172/100,0),
AU172)</f>
        <v>1397</v>
      </c>
      <c r="AV173" s="128">
        <f t="shared" ref="AV173:AV187" si="537">IF(BA172="tak",
ROUNDDOWN(BC172/zamiana_DOR,0)*zamiana_DOR+ROUNDDOWN(BF172/100,0)*100,
AV172)</f>
        <v>139568.90000000002</v>
      </c>
      <c r="AW173" s="128">
        <f t="shared" si="363"/>
        <v>139700</v>
      </c>
      <c r="AX173" s="128">
        <f t="shared" si="358"/>
        <v>139700</v>
      </c>
      <c r="AY173" s="130">
        <f t="shared" si="471"/>
        <v>3.9E-2</v>
      </c>
      <c r="AZ173" s="128">
        <f t="shared" si="472"/>
        <v>140154.02499999999</v>
      </c>
      <c r="BA173" s="128" t="str">
        <f t="shared" si="473"/>
        <v>nie</v>
      </c>
      <c r="BB173" s="128">
        <f t="shared" si="474"/>
        <v>977.9</v>
      </c>
      <c r="BC173" s="128">
        <f t="shared" si="367"/>
        <v>139275.66125</v>
      </c>
      <c r="BD173" s="128">
        <f t="shared" si="475"/>
        <v>367.76024999999532</v>
      </c>
      <c r="BE173" s="130">
        <f t="shared" si="476"/>
        <v>3.5999999999999997E-2</v>
      </c>
      <c r="BF173" s="128">
        <f t="shared" si="477"/>
        <v>3831.5933651515938</v>
      </c>
      <c r="BG173" s="128">
        <f t="shared" si="368"/>
        <v>142739.49436515159</v>
      </c>
      <c r="BI173" s="124">
        <f t="shared" ref="BI173:BI187" si="538">BI172+1</f>
        <v>130</v>
      </c>
      <c r="BJ173" s="130">
        <f t="shared" si="451"/>
        <v>3.9100000000000003E-2</v>
      </c>
      <c r="BK173" s="127">
        <f t="shared" ref="BK173:BK187" si="539">IF(BQ172="tak",
ROUNDDOWN(BS172/zamiana_TOS,0),
BK172)</f>
        <v>1376</v>
      </c>
      <c r="BL173" s="128">
        <f t="shared" ref="BL173:BL187" si="540">IF(BQ172="tak",
BK173*zamiana_TOS,
BL172)</f>
        <v>137462.39999999999</v>
      </c>
      <c r="BM173" s="128">
        <f t="shared" si="349"/>
        <v>137600</v>
      </c>
      <c r="BN173" s="128">
        <f t="shared" ref="BN173:BN187" si="541">IF(BQ172="tak",
 BM173,
IF(MOD($AA173,kapitalizacja_odsetek_mc_ROS)&lt;&gt;1,BN172,BP172))</f>
        <v>143654.39999999999</v>
      </c>
      <c r="BO173" s="130">
        <f t="shared" si="478"/>
        <v>4.3999999999999997E-2</v>
      </c>
      <c r="BP173" s="128">
        <f t="shared" si="479"/>
        <v>148921.72799999997</v>
      </c>
      <c r="BQ173" s="128" t="str">
        <f t="shared" si="480"/>
        <v>nie</v>
      </c>
      <c r="BR173" s="128">
        <f t="shared" si="481"/>
        <v>1376</v>
      </c>
      <c r="BS173" s="128">
        <f t="shared" si="364"/>
        <v>145656.03967999999</v>
      </c>
      <c r="BT173" s="128">
        <f t="shared" si="456"/>
        <v>0</v>
      </c>
      <c r="BU173" s="130">
        <f t="shared" si="482"/>
        <v>3.5999999999999997E-2</v>
      </c>
      <c r="BV173" s="128">
        <f t="shared" si="483"/>
        <v>208.90723639985416</v>
      </c>
      <c r="BW173" s="128">
        <f t="shared" si="365"/>
        <v>145864.94691639984</v>
      </c>
      <c r="BY173" s="130">
        <f t="shared" si="452"/>
        <v>3.1E-2</v>
      </c>
      <c r="BZ173" s="127">
        <f t="shared" ref="BZ173:BZ187" si="542">IF(CF172="tak",
ROUNDDOWN(CH172/zamiana_COI,0)+ROUNDDOWN(CK172/100,0),
BZ172)</f>
        <v>1341</v>
      </c>
      <c r="CA173" s="128">
        <f t="shared" ref="CA173:CA187" si="543">IF(CF172="tak",
ROUNDDOWN(CH172/zamiana_COI,0)*zamiana_COI+ROUNDDOWN(CK172/100,0)*100,
CA172)</f>
        <v>133979.79999999999</v>
      </c>
      <c r="CB173" s="128">
        <f t="shared" si="366"/>
        <v>134100</v>
      </c>
      <c r="CC173" s="128">
        <f t="shared" si="359"/>
        <v>134100</v>
      </c>
      <c r="CD173" s="130">
        <f t="shared" si="484"/>
        <v>4.5999999999999999E-2</v>
      </c>
      <c r="CE173" s="128">
        <f t="shared" si="485"/>
        <v>139240.5</v>
      </c>
      <c r="CF173" s="128" t="str">
        <f t="shared" si="486"/>
        <v>nie</v>
      </c>
      <c r="CG173" s="128">
        <f t="shared" si="487"/>
        <v>2682</v>
      </c>
      <c r="CH173" s="128">
        <f t="shared" si="369"/>
        <v>136091.38500000001</v>
      </c>
      <c r="CI173" s="128">
        <f t="shared" si="488"/>
        <v>0</v>
      </c>
      <c r="CJ173" s="130">
        <f t="shared" si="489"/>
        <v>3.5999999999999997E-2</v>
      </c>
      <c r="CK173" s="128">
        <f t="shared" si="490"/>
        <v>10593.048805150773</v>
      </c>
      <c r="CL173" s="128">
        <f t="shared" si="491"/>
        <v>146684.43380515079</v>
      </c>
      <c r="CN173" s="127">
        <f t="shared" ref="CN173:CN187" si="544">IF(CT172="tak",
ROUNDDOWN(CV172/zamiana_EDO,0),
CN172)</f>
        <v>1526</v>
      </c>
      <c r="CO173" s="128">
        <f t="shared" ref="CO173:CO187" si="545">IF(CT172="tak",
CN173*zamiana_EDO,
CO172)</f>
        <v>152447.4</v>
      </c>
      <c r="CP173" s="128">
        <f t="shared" ref="CP173:CP186" si="546">IF(CT172="tak",
CN173*100,
CP172)</f>
        <v>152600</v>
      </c>
      <c r="CQ173" s="128">
        <f t="shared" ref="CQ173:CQ187" si="547">IF(CT172="tak",
 CP173,
IF(MOD($AA173,kapitalizacja_odsetek_mc_EDO)&lt;&gt;1,CQ172,CS172))</f>
        <v>152600</v>
      </c>
      <c r="CR173" s="130">
        <f t="shared" si="492"/>
        <v>5.3499999999999999E-2</v>
      </c>
      <c r="CS173" s="128">
        <f t="shared" si="493"/>
        <v>159403.41666666669</v>
      </c>
      <c r="CT173" s="128" t="str">
        <f t="shared" si="494"/>
        <v>nie</v>
      </c>
      <c r="CU173" s="128">
        <f t="shared" si="495"/>
        <v>4578</v>
      </c>
      <c r="CV173" s="128">
        <f t="shared" si="496"/>
        <v>154402.58750000002</v>
      </c>
      <c r="CW173" s="128">
        <f t="shared" si="453"/>
        <v>0</v>
      </c>
      <c r="CX173" s="130">
        <f t="shared" si="497"/>
        <v>3.5999999999999997E-2</v>
      </c>
      <c r="CY173" s="128">
        <f t="shared" si="498"/>
        <v>73.652625059349049</v>
      </c>
      <c r="CZ173" s="128">
        <f t="shared" si="499"/>
        <v>154476.24012505938</v>
      </c>
      <c r="DA173" s="20"/>
      <c r="DB173" s="127">
        <f t="shared" si="350"/>
        <v>1280</v>
      </c>
      <c r="DC173" s="128">
        <f t="shared" si="351"/>
        <v>128000</v>
      </c>
      <c r="DD173" s="128">
        <f t="shared" ref="DD173:DD187" si="548">IF(DH172="tak",
DB173*100,
DD172)</f>
        <v>128000</v>
      </c>
      <c r="DE173" s="128">
        <f t="shared" ref="DE173:DE187" si="549">IF(DH172="tak",
 DD173,
IF(MOD($AA173,kapitalizacja_odsetek_mc_ROS)&lt;&gt;1,DE172,DG172))</f>
        <v>156029.75149439997</v>
      </c>
      <c r="DF173" s="130">
        <f t="shared" si="500"/>
        <v>5.1000000000000004E-2</v>
      </c>
      <c r="DG173" s="128">
        <f t="shared" si="501"/>
        <v>162661.01593291198</v>
      </c>
      <c r="DH173" s="128" t="str">
        <f t="shared" si="502"/>
        <v>nie</v>
      </c>
      <c r="DI173" s="128">
        <f t="shared" si="503"/>
        <v>2560</v>
      </c>
      <c r="DJ173" s="128">
        <f t="shared" si="355"/>
        <v>154001.82290565872</v>
      </c>
      <c r="DK173" s="128">
        <f t="shared" si="454"/>
        <v>0</v>
      </c>
      <c r="DL173" s="130">
        <f t="shared" si="504"/>
        <v>3.5999999999999997E-2</v>
      </c>
      <c r="DM173" s="128">
        <f t="shared" si="505"/>
        <v>75.546428804920055</v>
      </c>
      <c r="DN173" s="128">
        <f t="shared" si="506"/>
        <v>154077.36933446364</v>
      </c>
      <c r="DP173" s="127">
        <f t="shared" si="352"/>
        <v>1000</v>
      </c>
      <c r="DQ173" s="128">
        <f t="shared" si="353"/>
        <v>100000</v>
      </c>
      <c r="DR173" s="128">
        <f t="shared" ref="DR173:DR187" si="550">IF(DV172="tak",
DP173*100,
DR172)</f>
        <v>100000</v>
      </c>
      <c r="DS173" s="128">
        <f t="shared" ref="DS173:DS187" si="551">IF(DV172="tak",
 DR173,
IF(MOD($AA173,kapitalizacja_odsetek_mc_ROD)&lt;&gt;1,DS172,DU172))</f>
        <v>172440.46368313648</v>
      </c>
      <c r="DT173" s="130">
        <f t="shared" si="507"/>
        <v>5.6000000000000001E-2</v>
      </c>
      <c r="DU173" s="128">
        <f t="shared" si="508"/>
        <v>180487.68532168283</v>
      </c>
      <c r="DV173" s="128" t="str">
        <f t="shared" si="509"/>
        <v>nie</v>
      </c>
      <c r="DW173" s="128">
        <f t="shared" si="510"/>
        <v>3000</v>
      </c>
      <c r="DX173" s="128">
        <f t="shared" si="511"/>
        <v>162765.02511056309</v>
      </c>
      <c r="DY173" s="128">
        <f t="shared" si="455"/>
        <v>0</v>
      </c>
      <c r="DZ173" s="130">
        <f t="shared" si="512"/>
        <v>3.5999999999999997E-2</v>
      </c>
      <c r="EA173" s="128">
        <f t="shared" si="513"/>
        <v>0</v>
      </c>
      <c r="EB173" s="128">
        <f t="shared" si="514"/>
        <v>162765.02511056309</v>
      </c>
    </row>
    <row r="174" spans="1:132">
      <c r="A174" s="212"/>
      <c r="B174" s="188">
        <f t="shared" si="515"/>
        <v>130</v>
      </c>
      <c r="C174" s="128">
        <f t="shared" si="516"/>
        <v>144156.0386964333</v>
      </c>
      <c r="D174" s="128">
        <f t="shared" si="517"/>
        <v>142739.49436515159</v>
      </c>
      <c r="E174" s="128">
        <f t="shared" si="518"/>
        <v>145864.94691639984</v>
      </c>
      <c r="F174" s="128">
        <f t="shared" si="519"/>
        <v>146684.43380515079</v>
      </c>
      <c r="G174" s="128">
        <f t="shared" si="520"/>
        <v>154476.24012505938</v>
      </c>
      <c r="H174" s="128">
        <f t="shared" si="521"/>
        <v>154077.36933446364</v>
      </c>
      <c r="I174" s="128">
        <f t="shared" si="522"/>
        <v>162765.02511056309</v>
      </c>
      <c r="J174" s="128">
        <f t="shared" si="523"/>
        <v>137096.76469407615</v>
      </c>
      <c r="K174" s="128">
        <f t="shared" si="524"/>
        <v>139207.76463168423</v>
      </c>
      <c r="M174" s="36"/>
      <c r="N174" s="32">
        <f t="shared" si="525"/>
        <v>130</v>
      </c>
      <c r="O174" s="25">
        <f t="shared" si="526"/>
        <v>0.44156038696433297</v>
      </c>
      <c r="P174" s="25">
        <f t="shared" si="527"/>
        <v>0.42739494365151587</v>
      </c>
      <c r="Q174" s="25">
        <f t="shared" si="528"/>
        <v>0.4586494691639984</v>
      </c>
      <c r="R174" s="25">
        <f t="shared" si="457"/>
        <v>0.46684433805150793</v>
      </c>
      <c r="S174" s="25">
        <f t="shared" si="458"/>
        <v>0.54476240125059383</v>
      </c>
      <c r="T174" s="25">
        <f t="shared" si="459"/>
        <v>0.54077369334463632</v>
      </c>
      <c r="U174" s="25">
        <f t="shared" si="460"/>
        <v>0.627650251105631</v>
      </c>
      <c r="V174" s="25">
        <f t="shared" si="461"/>
        <v>0.37096764694076145</v>
      </c>
      <c r="W174" s="25">
        <f t="shared" si="462"/>
        <v>0.39207764631684228</v>
      </c>
      <c r="X174" s="36"/>
      <c r="Y174" s="36"/>
      <c r="AA174" s="124">
        <f t="shared" si="529"/>
        <v>131</v>
      </c>
      <c r="AB174" s="128">
        <f t="shared" si="463"/>
        <v>139558.32845813283</v>
      </c>
      <c r="AC174" s="124">
        <f t="shared" si="530"/>
        <v>131</v>
      </c>
      <c r="AD174" s="130">
        <f t="shared" si="531"/>
        <v>3.7499999999999999E-2</v>
      </c>
      <c r="AE174" s="127">
        <f t="shared" si="532"/>
        <v>1410</v>
      </c>
      <c r="AF174" s="128">
        <f t="shared" si="533"/>
        <v>140863.30000000002</v>
      </c>
      <c r="AG174" s="128">
        <f t="shared" ref="AG174:AG187" si="552">IF(AK173="tak",
AE174*100,
AG173)</f>
        <v>141000</v>
      </c>
      <c r="AH174" s="128">
        <f t="shared" si="357"/>
        <v>141000</v>
      </c>
      <c r="AI174" s="130">
        <f t="shared" si="464"/>
        <v>3.7499999999999999E-2</v>
      </c>
      <c r="AJ174" s="128">
        <f t="shared" si="465"/>
        <v>141440.625</v>
      </c>
      <c r="AK174" s="128" t="str">
        <f t="shared" si="466"/>
        <v>nie</v>
      </c>
      <c r="AL174" s="128">
        <f t="shared" si="467"/>
        <v>705</v>
      </c>
      <c r="AM174" s="128">
        <f t="shared" si="361"/>
        <v>140785.85625000001</v>
      </c>
      <c r="AN174" s="128">
        <f t="shared" si="468"/>
        <v>356.90625</v>
      </c>
      <c r="AO174" s="130">
        <f t="shared" si="469"/>
        <v>3.5999999999999997E-2</v>
      </c>
      <c r="AP174" s="128">
        <f t="shared" si="470"/>
        <v>4093.0517719656127</v>
      </c>
      <c r="AQ174" s="128">
        <f t="shared" si="362"/>
        <v>144522.00177196562</v>
      </c>
      <c r="AS174" s="124">
        <f t="shared" si="534"/>
        <v>131</v>
      </c>
      <c r="AT174" s="130">
        <f t="shared" si="535"/>
        <v>3.7499999999999999E-2</v>
      </c>
      <c r="AU174" s="127">
        <f t="shared" si="536"/>
        <v>1397</v>
      </c>
      <c r="AV174" s="128">
        <f t="shared" si="537"/>
        <v>139568.90000000002</v>
      </c>
      <c r="AW174" s="128">
        <f t="shared" si="363"/>
        <v>139700</v>
      </c>
      <c r="AX174" s="128">
        <f t="shared" si="358"/>
        <v>139700</v>
      </c>
      <c r="AY174" s="130">
        <f t="shared" si="471"/>
        <v>3.9E-2</v>
      </c>
      <c r="AZ174" s="128">
        <f t="shared" si="472"/>
        <v>140154.02499999999</v>
      </c>
      <c r="BA174" s="128" t="str">
        <f t="shared" si="473"/>
        <v>nie</v>
      </c>
      <c r="BB174" s="128">
        <f t="shared" si="474"/>
        <v>977.9</v>
      </c>
      <c r="BC174" s="128">
        <f t="shared" si="367"/>
        <v>139275.66125</v>
      </c>
      <c r="BD174" s="128">
        <f t="shared" si="475"/>
        <v>367.76024999999532</v>
      </c>
      <c r="BE174" s="130">
        <f t="shared" si="476"/>
        <v>3.5999999999999997E-2</v>
      </c>
      <c r="BF174" s="128">
        <f t="shared" si="477"/>
        <v>4208.6643870289072</v>
      </c>
      <c r="BG174" s="128">
        <f t="shared" si="368"/>
        <v>143116.56538702891</v>
      </c>
      <c r="BI174" s="124">
        <f t="shared" si="538"/>
        <v>131</v>
      </c>
      <c r="BJ174" s="130">
        <f t="shared" si="451"/>
        <v>3.9100000000000003E-2</v>
      </c>
      <c r="BK174" s="127">
        <f t="shared" si="539"/>
        <v>1376</v>
      </c>
      <c r="BL174" s="128">
        <f t="shared" si="540"/>
        <v>137462.39999999999</v>
      </c>
      <c r="BM174" s="128">
        <f t="shared" ref="BM174:BM187" si="553">IF(BQ173="tak",
BK174*100,
BM173)</f>
        <v>137600</v>
      </c>
      <c r="BN174" s="128">
        <f t="shared" si="541"/>
        <v>143654.39999999999</v>
      </c>
      <c r="BO174" s="130">
        <f t="shared" si="478"/>
        <v>4.3999999999999997E-2</v>
      </c>
      <c r="BP174" s="128">
        <f t="shared" si="479"/>
        <v>149448.4608</v>
      </c>
      <c r="BQ174" s="128" t="str">
        <f t="shared" si="480"/>
        <v>nie</v>
      </c>
      <c r="BR174" s="128">
        <f t="shared" si="481"/>
        <v>1376</v>
      </c>
      <c r="BS174" s="128">
        <f t="shared" si="364"/>
        <v>146082.693248</v>
      </c>
      <c r="BT174" s="128">
        <f t="shared" si="456"/>
        <v>0</v>
      </c>
      <c r="BU174" s="130">
        <f t="shared" si="482"/>
        <v>3.5999999999999997E-2</v>
      </c>
      <c r="BV174" s="128">
        <f t="shared" si="483"/>
        <v>209.4148809843058</v>
      </c>
      <c r="BW174" s="128">
        <f t="shared" si="365"/>
        <v>146292.10812898431</v>
      </c>
      <c r="BY174" s="130">
        <f t="shared" si="452"/>
        <v>3.1E-2</v>
      </c>
      <c r="BZ174" s="127">
        <f t="shared" si="542"/>
        <v>1341</v>
      </c>
      <c r="CA174" s="128">
        <f t="shared" si="543"/>
        <v>133979.79999999999</v>
      </c>
      <c r="CB174" s="128">
        <f t="shared" si="366"/>
        <v>134100</v>
      </c>
      <c r="CC174" s="128">
        <f t="shared" si="359"/>
        <v>134100</v>
      </c>
      <c r="CD174" s="130">
        <f t="shared" si="484"/>
        <v>4.5999999999999999E-2</v>
      </c>
      <c r="CE174" s="128">
        <f t="shared" si="485"/>
        <v>139754.54999999999</v>
      </c>
      <c r="CF174" s="128" t="str">
        <f t="shared" si="486"/>
        <v>nie</v>
      </c>
      <c r="CG174" s="128">
        <f t="shared" si="487"/>
        <v>2682</v>
      </c>
      <c r="CH174" s="128">
        <f t="shared" si="369"/>
        <v>136507.76549999998</v>
      </c>
      <c r="CI174" s="128">
        <f t="shared" si="488"/>
        <v>0</v>
      </c>
      <c r="CJ174" s="130">
        <f t="shared" si="489"/>
        <v>3.5999999999999997E-2</v>
      </c>
      <c r="CK174" s="128">
        <f t="shared" si="490"/>
        <v>10618.789913747289</v>
      </c>
      <c r="CL174" s="128">
        <f t="shared" si="491"/>
        <v>147126.55541374726</v>
      </c>
      <c r="CN174" s="127">
        <f t="shared" si="544"/>
        <v>1526</v>
      </c>
      <c r="CO174" s="128">
        <f t="shared" si="545"/>
        <v>152447.4</v>
      </c>
      <c r="CP174" s="128">
        <f t="shared" si="546"/>
        <v>152600</v>
      </c>
      <c r="CQ174" s="128">
        <f t="shared" si="547"/>
        <v>152600</v>
      </c>
      <c r="CR174" s="130">
        <f t="shared" si="492"/>
        <v>5.3499999999999999E-2</v>
      </c>
      <c r="CS174" s="128">
        <f t="shared" si="493"/>
        <v>160083.75833333333</v>
      </c>
      <c r="CT174" s="128" t="str">
        <f t="shared" si="494"/>
        <v>nie</v>
      </c>
      <c r="CU174" s="128">
        <f t="shared" si="495"/>
        <v>4578</v>
      </c>
      <c r="CV174" s="128">
        <f t="shared" si="496"/>
        <v>154953.66425</v>
      </c>
      <c r="CW174" s="128">
        <f t="shared" si="453"/>
        <v>0</v>
      </c>
      <c r="CX174" s="130">
        <f t="shared" si="497"/>
        <v>3.5999999999999997E-2</v>
      </c>
      <c r="CY174" s="128">
        <f t="shared" si="498"/>
        <v>73.831600938243255</v>
      </c>
      <c r="CZ174" s="128">
        <f t="shared" si="499"/>
        <v>155027.49585093826</v>
      </c>
      <c r="DA174" s="20"/>
      <c r="DB174" s="127">
        <f t="shared" ref="DB174:DB187" si="554">IF(DH173="tak",
ROUNDDOWN(DJ173/100,0),
DB173)</f>
        <v>1280</v>
      </c>
      <c r="DC174" s="128">
        <f t="shared" ref="DC174:DC187" si="555">IF(DH173="tak",
DB174*100,
DC173)</f>
        <v>128000</v>
      </c>
      <c r="DD174" s="128">
        <f t="shared" si="548"/>
        <v>128000</v>
      </c>
      <c r="DE174" s="128">
        <f t="shared" si="549"/>
        <v>156029.75149439997</v>
      </c>
      <c r="DF174" s="130">
        <f t="shared" si="500"/>
        <v>5.1000000000000004E-2</v>
      </c>
      <c r="DG174" s="128">
        <f t="shared" si="501"/>
        <v>163324.14237676319</v>
      </c>
      <c r="DH174" s="128" t="str">
        <f t="shared" si="502"/>
        <v>nie</v>
      </c>
      <c r="DI174" s="128">
        <f t="shared" si="503"/>
        <v>2560</v>
      </c>
      <c r="DJ174" s="128">
        <f t="shared" si="355"/>
        <v>154538.95532517819</v>
      </c>
      <c r="DK174" s="128">
        <f t="shared" si="454"/>
        <v>0</v>
      </c>
      <c r="DL174" s="130">
        <f t="shared" si="504"/>
        <v>3.5999999999999997E-2</v>
      </c>
      <c r="DM174" s="128">
        <f t="shared" si="505"/>
        <v>75.730006626916008</v>
      </c>
      <c r="DN174" s="128">
        <f t="shared" si="506"/>
        <v>154614.68533180511</v>
      </c>
      <c r="DP174" s="127">
        <f t="shared" ref="DP174:DP187" si="556">IF(DV173="tak",
ROUNDDOWN(DX173/100,0),
DP173)</f>
        <v>1000</v>
      </c>
      <c r="DQ174" s="128">
        <f t="shared" ref="DQ174:DQ187" si="557">IF(DV173="tak",
DP174*100,
DQ173)</f>
        <v>100000</v>
      </c>
      <c r="DR174" s="128">
        <f t="shared" si="550"/>
        <v>100000</v>
      </c>
      <c r="DS174" s="128">
        <f t="shared" si="551"/>
        <v>172440.46368313648</v>
      </c>
      <c r="DT174" s="130">
        <f t="shared" si="507"/>
        <v>5.6000000000000001E-2</v>
      </c>
      <c r="DU174" s="128">
        <f t="shared" si="508"/>
        <v>181292.40748553746</v>
      </c>
      <c r="DV174" s="128" t="str">
        <f t="shared" si="509"/>
        <v>nie</v>
      </c>
      <c r="DW174" s="128">
        <f t="shared" si="510"/>
        <v>3000</v>
      </c>
      <c r="DX174" s="128">
        <f t="shared" si="511"/>
        <v>163416.85006328535</v>
      </c>
      <c r="DY174" s="128">
        <f t="shared" si="455"/>
        <v>0</v>
      </c>
      <c r="DZ174" s="130">
        <f t="shared" si="512"/>
        <v>3.5999999999999997E-2</v>
      </c>
      <c r="EA174" s="128">
        <f t="shared" si="513"/>
        <v>0</v>
      </c>
      <c r="EB174" s="128">
        <f t="shared" si="514"/>
        <v>163416.85006328535</v>
      </c>
    </row>
    <row r="175" spans="1:132" ht="14.25" customHeight="1">
      <c r="A175" s="212"/>
      <c r="B175" s="188">
        <f t="shared" si="515"/>
        <v>131</v>
      </c>
      <c r="C175" s="128">
        <f t="shared" si="516"/>
        <v>144522.00177196562</v>
      </c>
      <c r="D175" s="128">
        <f t="shared" si="517"/>
        <v>143116.56538702891</v>
      </c>
      <c r="E175" s="128">
        <f t="shared" si="518"/>
        <v>146292.10812898431</v>
      </c>
      <c r="F175" s="128">
        <f t="shared" si="519"/>
        <v>147126.55541374726</v>
      </c>
      <c r="G175" s="128">
        <f t="shared" si="520"/>
        <v>155027.49585093826</v>
      </c>
      <c r="H175" s="128">
        <f t="shared" si="521"/>
        <v>154614.68533180511</v>
      </c>
      <c r="I175" s="128">
        <f t="shared" si="522"/>
        <v>163416.85006328535</v>
      </c>
      <c r="J175" s="128">
        <f t="shared" si="523"/>
        <v>137429.90983228275</v>
      </c>
      <c r="K175" s="128">
        <f t="shared" si="524"/>
        <v>139558.32845813283</v>
      </c>
      <c r="M175" s="36"/>
      <c r="N175" s="32">
        <f t="shared" si="525"/>
        <v>131</v>
      </c>
      <c r="O175" s="25">
        <f t="shared" si="526"/>
        <v>0.44522001771965614</v>
      </c>
      <c r="P175" s="25">
        <f t="shared" si="527"/>
        <v>0.43116565387028905</v>
      </c>
      <c r="Q175" s="25">
        <f t="shared" si="528"/>
        <v>0.46292108128984322</v>
      </c>
      <c r="R175" s="25">
        <f t="shared" si="457"/>
        <v>0.47126555413747262</v>
      </c>
      <c r="S175" s="25">
        <f t="shared" si="458"/>
        <v>0.55027495850938246</v>
      </c>
      <c r="T175" s="25">
        <f t="shared" si="459"/>
        <v>0.54614685331805113</v>
      </c>
      <c r="U175" s="25">
        <f t="shared" si="460"/>
        <v>0.63416850063285346</v>
      </c>
      <c r="V175" s="25">
        <f t="shared" si="461"/>
        <v>0.37429909832282759</v>
      </c>
      <c r="W175" s="25">
        <f t="shared" si="462"/>
        <v>0.3955832845813283</v>
      </c>
      <c r="X175" s="36"/>
      <c r="Y175" s="36"/>
      <c r="AA175" s="124">
        <f t="shared" si="529"/>
        <v>132</v>
      </c>
      <c r="AB175" s="128">
        <f t="shared" si="463"/>
        <v>139908.89228458141</v>
      </c>
      <c r="AC175" s="124">
        <f t="shared" si="530"/>
        <v>132</v>
      </c>
      <c r="AD175" s="130">
        <f t="shared" si="531"/>
        <v>3.7499999999999999E-2</v>
      </c>
      <c r="AE175" s="127">
        <f t="shared" si="532"/>
        <v>1410</v>
      </c>
      <c r="AF175" s="128">
        <f t="shared" si="533"/>
        <v>140863.30000000002</v>
      </c>
      <c r="AG175" s="128">
        <f t="shared" si="552"/>
        <v>141000</v>
      </c>
      <c r="AH175" s="128">
        <f t="shared" si="357"/>
        <v>141000</v>
      </c>
      <c r="AI175" s="130">
        <f t="shared" si="464"/>
        <v>3.7499999999999999E-2</v>
      </c>
      <c r="AJ175" s="128">
        <f t="shared" si="465"/>
        <v>141440.625</v>
      </c>
      <c r="AK175" s="128" t="str">
        <f t="shared" si="466"/>
        <v>tak</v>
      </c>
      <c r="AL175" s="128">
        <f t="shared" si="467"/>
        <v>0</v>
      </c>
      <c r="AM175" s="128">
        <f t="shared" si="361"/>
        <v>141356.90625</v>
      </c>
      <c r="AN175" s="128">
        <f t="shared" si="468"/>
        <v>498.40624999999193</v>
      </c>
      <c r="AO175" s="130">
        <f t="shared" si="469"/>
        <v>3.5999999999999997E-2</v>
      </c>
      <c r="AP175" s="128">
        <f t="shared" si="470"/>
        <v>4601.4041377714811</v>
      </c>
      <c r="AQ175" s="128">
        <f t="shared" si="362"/>
        <v>145459.90413777149</v>
      </c>
      <c r="AS175" s="124">
        <f t="shared" si="534"/>
        <v>132</v>
      </c>
      <c r="AT175" s="130">
        <f t="shared" si="535"/>
        <v>3.7499999999999999E-2</v>
      </c>
      <c r="AU175" s="127">
        <f t="shared" si="536"/>
        <v>1397</v>
      </c>
      <c r="AV175" s="128">
        <f t="shared" si="537"/>
        <v>139568.90000000002</v>
      </c>
      <c r="AW175" s="128">
        <f t="shared" si="363"/>
        <v>139700</v>
      </c>
      <c r="AX175" s="128">
        <f t="shared" si="358"/>
        <v>139700</v>
      </c>
      <c r="AY175" s="130">
        <f t="shared" si="471"/>
        <v>3.9E-2</v>
      </c>
      <c r="AZ175" s="128">
        <f t="shared" si="472"/>
        <v>140154.02499999999</v>
      </c>
      <c r="BA175" s="128" t="str">
        <f t="shared" si="473"/>
        <v>nie</v>
      </c>
      <c r="BB175" s="128">
        <f t="shared" si="474"/>
        <v>977.9</v>
      </c>
      <c r="BC175" s="128">
        <f t="shared" si="367"/>
        <v>139275.66125</v>
      </c>
      <c r="BD175" s="128">
        <f t="shared" si="475"/>
        <v>367.76024999999532</v>
      </c>
      <c r="BE175" s="130">
        <f t="shared" si="476"/>
        <v>3.5999999999999997E-2</v>
      </c>
      <c r="BF175" s="128">
        <f t="shared" si="477"/>
        <v>4586.6516914893828</v>
      </c>
      <c r="BG175" s="128">
        <f t="shared" si="368"/>
        <v>143494.5526914894</v>
      </c>
      <c r="BI175" s="124">
        <f t="shared" si="538"/>
        <v>132</v>
      </c>
      <c r="BJ175" s="130">
        <f t="shared" si="451"/>
        <v>3.9100000000000003E-2</v>
      </c>
      <c r="BK175" s="127">
        <f t="shared" si="539"/>
        <v>1376</v>
      </c>
      <c r="BL175" s="128">
        <f t="shared" si="540"/>
        <v>137462.39999999999</v>
      </c>
      <c r="BM175" s="128">
        <f t="shared" si="553"/>
        <v>137600</v>
      </c>
      <c r="BN175" s="128">
        <f t="shared" si="541"/>
        <v>143654.39999999999</v>
      </c>
      <c r="BO175" s="130">
        <f t="shared" si="478"/>
        <v>4.3999999999999997E-2</v>
      </c>
      <c r="BP175" s="128">
        <f t="shared" si="479"/>
        <v>149975.1936</v>
      </c>
      <c r="BQ175" s="128" t="str">
        <f t="shared" si="480"/>
        <v>nie</v>
      </c>
      <c r="BR175" s="128">
        <f t="shared" si="481"/>
        <v>1376</v>
      </c>
      <c r="BS175" s="128">
        <f t="shared" si="364"/>
        <v>146509.346816</v>
      </c>
      <c r="BT175" s="128">
        <f t="shared" si="456"/>
        <v>0</v>
      </c>
      <c r="BU175" s="130">
        <f t="shared" si="482"/>
        <v>3.5999999999999997E-2</v>
      </c>
      <c r="BV175" s="128">
        <f t="shared" si="483"/>
        <v>209.92375914509765</v>
      </c>
      <c r="BW175" s="128">
        <f t="shared" si="365"/>
        <v>146719.27057514511</v>
      </c>
      <c r="BY175" s="130">
        <f t="shared" si="452"/>
        <v>3.1E-2</v>
      </c>
      <c r="BZ175" s="127">
        <f t="shared" si="542"/>
        <v>1341</v>
      </c>
      <c r="CA175" s="128">
        <f t="shared" si="543"/>
        <v>133979.79999999999</v>
      </c>
      <c r="CB175" s="128">
        <f t="shared" si="366"/>
        <v>134100</v>
      </c>
      <c r="CC175" s="128">
        <f t="shared" si="359"/>
        <v>134100</v>
      </c>
      <c r="CD175" s="130">
        <f t="shared" si="484"/>
        <v>4.5999999999999999E-2</v>
      </c>
      <c r="CE175" s="128">
        <f t="shared" si="485"/>
        <v>140268.6</v>
      </c>
      <c r="CF175" s="128" t="str">
        <f t="shared" si="486"/>
        <v>nie</v>
      </c>
      <c r="CG175" s="128">
        <f t="shared" si="487"/>
        <v>2682</v>
      </c>
      <c r="CH175" s="128">
        <f t="shared" si="369"/>
        <v>136924.14600000001</v>
      </c>
      <c r="CI175" s="128">
        <f t="shared" si="488"/>
        <v>4996.5660000000053</v>
      </c>
      <c r="CJ175" s="130">
        <f t="shared" si="489"/>
        <v>3.5999999999999997E-2</v>
      </c>
      <c r="CK175" s="128">
        <f t="shared" si="490"/>
        <v>15641.159573237699</v>
      </c>
      <c r="CL175" s="128">
        <f t="shared" si="491"/>
        <v>147568.73957323769</v>
      </c>
      <c r="CN175" s="127">
        <f t="shared" si="544"/>
        <v>1526</v>
      </c>
      <c r="CO175" s="128">
        <f t="shared" si="545"/>
        <v>152447.4</v>
      </c>
      <c r="CP175" s="128">
        <f t="shared" si="546"/>
        <v>152600</v>
      </c>
      <c r="CQ175" s="128">
        <f t="shared" si="547"/>
        <v>152600</v>
      </c>
      <c r="CR175" s="130">
        <f t="shared" si="492"/>
        <v>5.3499999999999999E-2</v>
      </c>
      <c r="CS175" s="128">
        <f t="shared" si="493"/>
        <v>160764.1</v>
      </c>
      <c r="CT175" s="128" t="str">
        <f t="shared" si="494"/>
        <v>nie</v>
      </c>
      <c r="CU175" s="128">
        <f t="shared" si="495"/>
        <v>4578</v>
      </c>
      <c r="CV175" s="128">
        <f t="shared" si="496"/>
        <v>155504.74100000001</v>
      </c>
      <c r="CW175" s="128">
        <f t="shared" si="453"/>
        <v>0</v>
      </c>
      <c r="CX175" s="130">
        <f t="shared" si="497"/>
        <v>3.5999999999999997E-2</v>
      </c>
      <c r="CY175" s="128">
        <f t="shared" si="498"/>
        <v>74.011011728523187</v>
      </c>
      <c r="CZ175" s="128">
        <f t="shared" si="499"/>
        <v>155578.75201172853</v>
      </c>
      <c r="DA175" s="20"/>
      <c r="DB175" s="127">
        <f t="shared" si="554"/>
        <v>1280</v>
      </c>
      <c r="DC175" s="128">
        <f t="shared" si="555"/>
        <v>128000</v>
      </c>
      <c r="DD175" s="128">
        <f t="shared" si="548"/>
        <v>128000</v>
      </c>
      <c r="DE175" s="128">
        <f t="shared" si="549"/>
        <v>156029.75149439997</v>
      </c>
      <c r="DF175" s="130">
        <f t="shared" si="500"/>
        <v>5.1000000000000004E-2</v>
      </c>
      <c r="DG175" s="128">
        <f t="shared" si="501"/>
        <v>163987.26882061435</v>
      </c>
      <c r="DH175" s="128" t="str">
        <f t="shared" si="502"/>
        <v>nie</v>
      </c>
      <c r="DI175" s="128">
        <f t="shared" si="503"/>
        <v>2560</v>
      </c>
      <c r="DJ175" s="128">
        <f t="shared" si="355"/>
        <v>155076.08774469764</v>
      </c>
      <c r="DK175" s="128">
        <f t="shared" si="454"/>
        <v>0</v>
      </c>
      <c r="DL175" s="130">
        <f t="shared" si="504"/>
        <v>3.5999999999999997E-2</v>
      </c>
      <c r="DM175" s="128">
        <f t="shared" si="505"/>
        <v>75.914030543019408</v>
      </c>
      <c r="DN175" s="128">
        <f t="shared" si="506"/>
        <v>155152.00177524067</v>
      </c>
      <c r="DP175" s="127">
        <f t="shared" si="556"/>
        <v>1000</v>
      </c>
      <c r="DQ175" s="128">
        <f t="shared" si="557"/>
        <v>100000</v>
      </c>
      <c r="DR175" s="128">
        <f t="shared" si="550"/>
        <v>100000</v>
      </c>
      <c r="DS175" s="128">
        <f t="shared" si="551"/>
        <v>172440.46368313648</v>
      </c>
      <c r="DT175" s="130">
        <f t="shared" si="507"/>
        <v>5.6000000000000001E-2</v>
      </c>
      <c r="DU175" s="128">
        <f t="shared" si="508"/>
        <v>182097.12964939213</v>
      </c>
      <c r="DV175" s="128" t="str">
        <f t="shared" si="509"/>
        <v>nie</v>
      </c>
      <c r="DW175" s="128">
        <f t="shared" si="510"/>
        <v>3000</v>
      </c>
      <c r="DX175" s="128">
        <f t="shared" si="511"/>
        <v>164068.67501600762</v>
      </c>
      <c r="DY175" s="128">
        <f t="shared" si="455"/>
        <v>0</v>
      </c>
      <c r="DZ175" s="130">
        <f t="shared" si="512"/>
        <v>3.5999999999999997E-2</v>
      </c>
      <c r="EA175" s="128">
        <f t="shared" si="513"/>
        <v>0</v>
      </c>
      <c r="EB175" s="128">
        <f t="shared" si="514"/>
        <v>164068.67501600762</v>
      </c>
    </row>
    <row r="176" spans="1:132">
      <c r="A176" s="212"/>
      <c r="B176" s="188">
        <f t="shared" si="515"/>
        <v>132</v>
      </c>
      <c r="C176" s="128">
        <f t="shared" si="516"/>
        <v>145459.90413777149</v>
      </c>
      <c r="D176" s="128">
        <f t="shared" si="517"/>
        <v>143494.5526914894</v>
      </c>
      <c r="E176" s="128">
        <f t="shared" si="518"/>
        <v>146719.27057514511</v>
      </c>
      <c r="F176" s="128">
        <f t="shared" si="519"/>
        <v>147568.73957323769</v>
      </c>
      <c r="G176" s="128">
        <f t="shared" si="520"/>
        <v>155578.75201172853</v>
      </c>
      <c r="H176" s="128">
        <f t="shared" si="521"/>
        <v>155152.00177524067</v>
      </c>
      <c r="I176" s="128">
        <f t="shared" si="522"/>
        <v>164068.67501600762</v>
      </c>
      <c r="J176" s="128">
        <f t="shared" si="523"/>
        <v>137763.86451317518</v>
      </c>
      <c r="K176" s="128">
        <f t="shared" si="524"/>
        <v>139908.89228458141</v>
      </c>
      <c r="M176" s="36"/>
      <c r="N176" s="32">
        <f t="shared" si="525"/>
        <v>132</v>
      </c>
      <c r="O176" s="25">
        <f t="shared" si="526"/>
        <v>0.45459904137771479</v>
      </c>
      <c r="P176" s="25">
        <f t="shared" si="527"/>
        <v>0.43494552691489408</v>
      </c>
      <c r="Q176" s="25">
        <f t="shared" si="528"/>
        <v>0.46719270575145111</v>
      </c>
      <c r="R176" s="25">
        <f t="shared" si="457"/>
        <v>0.47568739573237684</v>
      </c>
      <c r="S176" s="25">
        <f t="shared" si="458"/>
        <v>0.55578752011728527</v>
      </c>
      <c r="T176" s="25">
        <f t="shared" si="459"/>
        <v>0.55152001775240667</v>
      </c>
      <c r="U176" s="25">
        <f t="shared" si="460"/>
        <v>0.64068675016007615</v>
      </c>
      <c r="V176" s="25">
        <f t="shared" si="461"/>
        <v>0.37763864513175194</v>
      </c>
      <c r="W176" s="25">
        <f t="shared" si="462"/>
        <v>0.3990889228458141</v>
      </c>
      <c r="X176" s="36"/>
      <c r="Y176" s="36"/>
      <c r="AA176" s="124">
        <f t="shared" si="529"/>
        <v>133</v>
      </c>
      <c r="AB176" s="128">
        <f t="shared" si="463"/>
        <v>140270.32358964992</v>
      </c>
      <c r="AC176" s="124">
        <f t="shared" si="530"/>
        <v>133</v>
      </c>
      <c r="AD176" s="130">
        <f t="shared" si="531"/>
        <v>3.7499999999999999E-2</v>
      </c>
      <c r="AE176" s="127">
        <f t="shared" si="532"/>
        <v>1460</v>
      </c>
      <c r="AF176" s="128">
        <f t="shared" si="533"/>
        <v>145858.6</v>
      </c>
      <c r="AG176" s="128">
        <f t="shared" si="552"/>
        <v>146000</v>
      </c>
      <c r="AH176" s="128">
        <f t="shared" si="357"/>
        <v>146000</v>
      </c>
      <c r="AI176" s="130">
        <f t="shared" si="464"/>
        <v>0.04</v>
      </c>
      <c r="AJ176" s="128">
        <f t="shared" si="465"/>
        <v>146486.66666666669</v>
      </c>
      <c r="AK176" s="128" t="str">
        <f t="shared" si="466"/>
        <v>nie</v>
      </c>
      <c r="AL176" s="128">
        <f t="shared" si="467"/>
        <v>486.66666666668607</v>
      </c>
      <c r="AM176" s="128">
        <f t="shared" si="361"/>
        <v>146000</v>
      </c>
      <c r="AN176" s="128">
        <f t="shared" si="468"/>
        <v>394.20000000001573</v>
      </c>
      <c r="AO176" s="130">
        <f t="shared" si="469"/>
        <v>3.5999999999999997E-2</v>
      </c>
      <c r="AP176" s="128">
        <f t="shared" si="470"/>
        <v>395.60754982628157</v>
      </c>
      <c r="AQ176" s="128">
        <f t="shared" si="362"/>
        <v>150612.58554982627</v>
      </c>
      <c r="AS176" s="124">
        <f t="shared" si="534"/>
        <v>133</v>
      </c>
      <c r="AT176" s="130">
        <f t="shared" si="535"/>
        <v>3.7499999999999999E-2</v>
      </c>
      <c r="AU176" s="127">
        <f t="shared" si="536"/>
        <v>1397</v>
      </c>
      <c r="AV176" s="128">
        <f t="shared" si="537"/>
        <v>139568.90000000002</v>
      </c>
      <c r="AW176" s="128">
        <f t="shared" si="363"/>
        <v>139700</v>
      </c>
      <c r="AX176" s="128">
        <f t="shared" si="358"/>
        <v>139700</v>
      </c>
      <c r="AY176" s="130">
        <f t="shared" si="471"/>
        <v>3.9E-2</v>
      </c>
      <c r="AZ176" s="128">
        <f t="shared" si="472"/>
        <v>140154.02499999999</v>
      </c>
      <c r="BA176" s="128" t="str">
        <f t="shared" si="473"/>
        <v>nie</v>
      </c>
      <c r="BB176" s="128">
        <f t="shared" si="474"/>
        <v>977.9</v>
      </c>
      <c r="BC176" s="128">
        <f t="shared" si="367"/>
        <v>139275.66125</v>
      </c>
      <c r="BD176" s="128">
        <f t="shared" si="475"/>
        <v>367.76024999999532</v>
      </c>
      <c r="BE176" s="130">
        <f t="shared" si="476"/>
        <v>3.5999999999999997E-2</v>
      </c>
      <c r="BF176" s="128">
        <f t="shared" si="477"/>
        <v>4965.5575050996977</v>
      </c>
      <c r="BG176" s="128">
        <f t="shared" si="368"/>
        <v>143873.4585050997</v>
      </c>
      <c r="BI176" s="124">
        <f t="shared" si="538"/>
        <v>133</v>
      </c>
      <c r="BJ176" s="130">
        <f t="shared" si="451"/>
        <v>3.9100000000000003E-2</v>
      </c>
      <c r="BK176" s="127">
        <f t="shared" si="539"/>
        <v>1376</v>
      </c>
      <c r="BL176" s="128">
        <f t="shared" si="540"/>
        <v>137462.39999999999</v>
      </c>
      <c r="BM176" s="128">
        <f t="shared" si="553"/>
        <v>137600</v>
      </c>
      <c r="BN176" s="128">
        <f t="shared" si="541"/>
        <v>149975.1936</v>
      </c>
      <c r="BO176" s="130">
        <f t="shared" si="478"/>
        <v>4.3999999999999997E-2</v>
      </c>
      <c r="BP176" s="128">
        <f t="shared" si="479"/>
        <v>150525.10264319999</v>
      </c>
      <c r="BQ176" s="128" t="str">
        <f t="shared" si="480"/>
        <v>nie</v>
      </c>
      <c r="BR176" s="128">
        <f t="shared" si="481"/>
        <v>1376</v>
      </c>
      <c r="BS176" s="128">
        <f t="shared" si="364"/>
        <v>146954.77314099198</v>
      </c>
      <c r="BT176" s="128">
        <f t="shared" si="456"/>
        <v>0</v>
      </c>
      <c r="BU176" s="130">
        <f t="shared" si="482"/>
        <v>3.5999999999999997E-2</v>
      </c>
      <c r="BV176" s="128">
        <f t="shared" si="483"/>
        <v>210.43387387982023</v>
      </c>
      <c r="BW176" s="128">
        <f t="shared" si="365"/>
        <v>147165.20701487179</v>
      </c>
      <c r="BY176" s="130">
        <f t="shared" si="452"/>
        <v>3.1E-2</v>
      </c>
      <c r="BZ176" s="127">
        <f t="shared" si="542"/>
        <v>1341</v>
      </c>
      <c r="CA176" s="128">
        <f t="shared" si="543"/>
        <v>133979.79999999999</v>
      </c>
      <c r="CB176" s="128">
        <f t="shared" si="366"/>
        <v>134100</v>
      </c>
      <c r="CC176" s="128">
        <f t="shared" si="359"/>
        <v>134100</v>
      </c>
      <c r="CD176" s="130">
        <f t="shared" si="484"/>
        <v>4.5999999999999999E-2</v>
      </c>
      <c r="CE176" s="128">
        <f t="shared" si="485"/>
        <v>134614.05000000002</v>
      </c>
      <c r="CF176" s="128" t="str">
        <f t="shared" si="486"/>
        <v>nie</v>
      </c>
      <c r="CG176" s="128">
        <f t="shared" si="487"/>
        <v>2682</v>
      </c>
      <c r="CH176" s="128">
        <f t="shared" si="369"/>
        <v>132343.96050000002</v>
      </c>
      <c r="CI176" s="128">
        <f t="shared" si="488"/>
        <v>0</v>
      </c>
      <c r="CJ176" s="130">
        <f t="shared" si="489"/>
        <v>3.5999999999999997E-2</v>
      </c>
      <c r="CK176" s="128">
        <f t="shared" si="490"/>
        <v>15679.167591000665</v>
      </c>
      <c r="CL176" s="128">
        <f t="shared" si="491"/>
        <v>148023.12809100069</v>
      </c>
      <c r="CN176" s="127">
        <f t="shared" si="544"/>
        <v>1526</v>
      </c>
      <c r="CO176" s="128">
        <f t="shared" si="545"/>
        <v>152447.4</v>
      </c>
      <c r="CP176" s="128">
        <f t="shared" si="546"/>
        <v>152600</v>
      </c>
      <c r="CQ176" s="128">
        <f t="shared" si="547"/>
        <v>160764.1</v>
      </c>
      <c r="CR176" s="130">
        <f t="shared" si="492"/>
        <v>5.1000000000000004E-2</v>
      </c>
      <c r="CS176" s="128">
        <f t="shared" si="493"/>
        <v>161447.34742500001</v>
      </c>
      <c r="CT176" s="128" t="str">
        <f t="shared" si="494"/>
        <v>nie</v>
      </c>
      <c r="CU176" s="128">
        <f t="shared" si="495"/>
        <v>4578</v>
      </c>
      <c r="CV176" s="128">
        <f t="shared" si="496"/>
        <v>156058.17141425001</v>
      </c>
      <c r="CW176" s="128">
        <f t="shared" si="453"/>
        <v>0</v>
      </c>
      <c r="CX176" s="130">
        <f t="shared" si="497"/>
        <v>3.5999999999999997E-2</v>
      </c>
      <c r="CY176" s="128">
        <f t="shared" si="498"/>
        <v>74.19085848702349</v>
      </c>
      <c r="CZ176" s="128">
        <f t="shared" si="499"/>
        <v>156132.36227273702</v>
      </c>
      <c r="DA176" s="20"/>
      <c r="DB176" s="127">
        <f t="shared" si="554"/>
        <v>1280</v>
      </c>
      <c r="DC176" s="128">
        <f t="shared" si="555"/>
        <v>128000</v>
      </c>
      <c r="DD176" s="128">
        <f t="shared" si="548"/>
        <v>128000</v>
      </c>
      <c r="DE176" s="128">
        <f t="shared" si="549"/>
        <v>163987.26882061435</v>
      </c>
      <c r="DF176" s="130">
        <f t="shared" si="500"/>
        <v>5.1000000000000004E-2</v>
      </c>
      <c r="DG176" s="128">
        <f t="shared" si="501"/>
        <v>164684.21471310197</v>
      </c>
      <c r="DH176" s="128" t="str">
        <f t="shared" si="502"/>
        <v>nie</v>
      </c>
      <c r="DI176" s="128">
        <f t="shared" si="503"/>
        <v>2560</v>
      </c>
      <c r="DJ176" s="128">
        <f t="shared" si="355"/>
        <v>155640.61391761259</v>
      </c>
      <c r="DK176" s="128">
        <f t="shared" si="454"/>
        <v>0</v>
      </c>
      <c r="DL176" s="130">
        <f t="shared" si="504"/>
        <v>3.5999999999999997E-2</v>
      </c>
      <c r="DM176" s="128">
        <f t="shared" si="505"/>
        <v>76.09850163723894</v>
      </c>
      <c r="DN176" s="128">
        <f t="shared" si="506"/>
        <v>155716.71241924982</v>
      </c>
      <c r="DP176" s="127">
        <f t="shared" si="556"/>
        <v>1000</v>
      </c>
      <c r="DQ176" s="128">
        <f t="shared" si="557"/>
        <v>100000</v>
      </c>
      <c r="DR176" s="128">
        <f t="shared" si="550"/>
        <v>100000</v>
      </c>
      <c r="DS176" s="128">
        <f t="shared" si="551"/>
        <v>182097.12964939213</v>
      </c>
      <c r="DT176" s="130">
        <f t="shared" si="507"/>
        <v>5.6000000000000001E-2</v>
      </c>
      <c r="DU176" s="128">
        <f t="shared" si="508"/>
        <v>182946.9162544226</v>
      </c>
      <c r="DV176" s="128" t="str">
        <f t="shared" si="509"/>
        <v>nie</v>
      </c>
      <c r="DW176" s="128">
        <f t="shared" si="510"/>
        <v>3000</v>
      </c>
      <c r="DX176" s="128">
        <f t="shared" si="511"/>
        <v>164757.0021660823</v>
      </c>
      <c r="DY176" s="128">
        <f t="shared" si="455"/>
        <v>0</v>
      </c>
      <c r="DZ176" s="130">
        <f t="shared" si="512"/>
        <v>3.5999999999999997E-2</v>
      </c>
      <c r="EA176" s="128">
        <f t="shared" si="513"/>
        <v>0</v>
      </c>
      <c r="EB176" s="128">
        <f t="shared" si="514"/>
        <v>164757.0021660823</v>
      </c>
    </row>
    <row r="177" spans="1:132">
      <c r="A177" s="212">
        <f>ROUNDUP(B188/12,0)</f>
        <v>12</v>
      </c>
      <c r="B177" s="188">
        <f t="shared" si="515"/>
        <v>133</v>
      </c>
      <c r="C177" s="128">
        <f t="shared" si="516"/>
        <v>150612.58554982627</v>
      </c>
      <c r="D177" s="128">
        <f t="shared" si="517"/>
        <v>143873.4585050997</v>
      </c>
      <c r="E177" s="128">
        <f t="shared" si="518"/>
        <v>147165.20701487179</v>
      </c>
      <c r="F177" s="128">
        <f t="shared" si="519"/>
        <v>148023.12809100069</v>
      </c>
      <c r="G177" s="128">
        <f t="shared" si="520"/>
        <v>156132.36227273702</v>
      </c>
      <c r="H177" s="128">
        <f t="shared" si="521"/>
        <v>155716.71241924982</v>
      </c>
      <c r="I177" s="128">
        <f t="shared" si="522"/>
        <v>164757.0021660823</v>
      </c>
      <c r="J177" s="128">
        <f t="shared" si="523"/>
        <v>138098.63070394218</v>
      </c>
      <c r="K177" s="128">
        <f t="shared" si="524"/>
        <v>140270.32358964992</v>
      </c>
      <c r="M177" s="36"/>
      <c r="N177" s="32">
        <f t="shared" si="525"/>
        <v>133</v>
      </c>
      <c r="O177" s="25">
        <f t="shared" si="526"/>
        <v>0.50612585549826261</v>
      </c>
      <c r="P177" s="25">
        <f t="shared" si="527"/>
        <v>0.43873458505099694</v>
      </c>
      <c r="Q177" s="25">
        <f t="shared" si="528"/>
        <v>0.47165207014871791</v>
      </c>
      <c r="R177" s="25">
        <f t="shared" si="457"/>
        <v>0.48023128091000689</v>
      </c>
      <c r="S177" s="25">
        <f t="shared" si="458"/>
        <v>0.56132362272737013</v>
      </c>
      <c r="T177" s="25">
        <f t="shared" si="459"/>
        <v>0.55716712419249825</v>
      </c>
      <c r="U177" s="25">
        <f t="shared" si="460"/>
        <v>0.64757002166082289</v>
      </c>
      <c r="V177" s="25">
        <f t="shared" si="461"/>
        <v>0.38098630703942171</v>
      </c>
      <c r="W177" s="25">
        <f t="shared" si="462"/>
        <v>0.40270323589649926</v>
      </c>
      <c r="X177" s="36"/>
      <c r="Y177" s="36"/>
      <c r="AA177" s="124">
        <f t="shared" si="529"/>
        <v>134</v>
      </c>
      <c r="AB177" s="128">
        <f t="shared" si="463"/>
        <v>140631.75489471844</v>
      </c>
      <c r="AC177" s="124">
        <f t="shared" si="530"/>
        <v>134</v>
      </c>
      <c r="AD177" s="130">
        <f t="shared" si="531"/>
        <v>3.7499999999999999E-2</v>
      </c>
      <c r="AE177" s="127">
        <f t="shared" si="532"/>
        <v>1460</v>
      </c>
      <c r="AF177" s="128">
        <f t="shared" si="533"/>
        <v>145858.6</v>
      </c>
      <c r="AG177" s="128">
        <f t="shared" si="552"/>
        <v>146000</v>
      </c>
      <c r="AH177" s="128">
        <f t="shared" si="357"/>
        <v>146000</v>
      </c>
      <c r="AI177" s="130">
        <f t="shared" si="464"/>
        <v>3.7499999999999999E-2</v>
      </c>
      <c r="AJ177" s="128">
        <f t="shared" si="465"/>
        <v>146456.25</v>
      </c>
      <c r="AK177" s="128" t="str">
        <f t="shared" si="466"/>
        <v>nie</v>
      </c>
      <c r="AL177" s="128">
        <f t="shared" si="467"/>
        <v>730</v>
      </c>
      <c r="AM177" s="128">
        <f t="shared" si="361"/>
        <v>145778.26250000001</v>
      </c>
      <c r="AN177" s="128">
        <f t="shared" si="468"/>
        <v>369.5625</v>
      </c>
      <c r="AO177" s="130">
        <f t="shared" si="469"/>
        <v>3.5999999999999997E-2</v>
      </c>
      <c r="AP177" s="128">
        <f t="shared" si="470"/>
        <v>766.13137617235941</v>
      </c>
      <c r="AQ177" s="128">
        <f t="shared" si="362"/>
        <v>146174.83137617237</v>
      </c>
      <c r="AS177" s="124">
        <f t="shared" si="534"/>
        <v>134</v>
      </c>
      <c r="AT177" s="130">
        <f t="shared" si="535"/>
        <v>3.7499999999999999E-2</v>
      </c>
      <c r="AU177" s="127">
        <f t="shared" si="536"/>
        <v>1397</v>
      </c>
      <c r="AV177" s="128">
        <f t="shared" si="537"/>
        <v>139568.90000000002</v>
      </c>
      <c r="AW177" s="128">
        <f t="shared" si="363"/>
        <v>139700</v>
      </c>
      <c r="AX177" s="128">
        <f t="shared" si="358"/>
        <v>139700</v>
      </c>
      <c r="AY177" s="130">
        <f t="shared" si="471"/>
        <v>3.9E-2</v>
      </c>
      <c r="AZ177" s="128">
        <f t="shared" si="472"/>
        <v>140154.02499999999</v>
      </c>
      <c r="BA177" s="128" t="str">
        <f t="shared" si="473"/>
        <v>nie</v>
      </c>
      <c r="BB177" s="128">
        <f t="shared" si="474"/>
        <v>977.9</v>
      </c>
      <c r="BC177" s="128">
        <f t="shared" si="367"/>
        <v>139275.66125</v>
      </c>
      <c r="BD177" s="128">
        <f t="shared" si="475"/>
        <v>367.76024999999532</v>
      </c>
      <c r="BE177" s="130">
        <f t="shared" si="476"/>
        <v>3.5999999999999997E-2</v>
      </c>
      <c r="BF177" s="128">
        <f t="shared" si="477"/>
        <v>5345.3840598370853</v>
      </c>
      <c r="BG177" s="128">
        <f t="shared" si="368"/>
        <v>144253.2850598371</v>
      </c>
      <c r="BI177" s="124">
        <f t="shared" si="538"/>
        <v>134</v>
      </c>
      <c r="BJ177" s="130">
        <f t="shared" si="451"/>
        <v>3.9100000000000003E-2</v>
      </c>
      <c r="BK177" s="127">
        <f t="shared" si="539"/>
        <v>1376</v>
      </c>
      <c r="BL177" s="128">
        <f t="shared" si="540"/>
        <v>137462.39999999999</v>
      </c>
      <c r="BM177" s="128">
        <f t="shared" si="553"/>
        <v>137600</v>
      </c>
      <c r="BN177" s="128">
        <f t="shared" si="541"/>
        <v>149975.1936</v>
      </c>
      <c r="BO177" s="130">
        <f t="shared" si="478"/>
        <v>4.3999999999999997E-2</v>
      </c>
      <c r="BP177" s="128">
        <f t="shared" si="479"/>
        <v>151075.01168640002</v>
      </c>
      <c r="BQ177" s="128" t="str">
        <f t="shared" si="480"/>
        <v>nie</v>
      </c>
      <c r="BR177" s="128">
        <f t="shared" si="481"/>
        <v>1376</v>
      </c>
      <c r="BS177" s="128">
        <f t="shared" si="364"/>
        <v>147400.19946598401</v>
      </c>
      <c r="BT177" s="128">
        <f t="shared" si="456"/>
        <v>0</v>
      </c>
      <c r="BU177" s="130">
        <f t="shared" si="482"/>
        <v>3.5999999999999997E-2</v>
      </c>
      <c r="BV177" s="128">
        <f t="shared" si="483"/>
        <v>210.94522819334819</v>
      </c>
      <c r="BW177" s="128">
        <f t="shared" si="365"/>
        <v>147611.14469417738</v>
      </c>
      <c r="BY177" s="130">
        <f t="shared" si="452"/>
        <v>3.1E-2</v>
      </c>
      <c r="BZ177" s="127">
        <f t="shared" si="542"/>
        <v>1341</v>
      </c>
      <c r="CA177" s="128">
        <f t="shared" si="543"/>
        <v>133979.79999999999</v>
      </c>
      <c r="CB177" s="128">
        <f t="shared" si="366"/>
        <v>134100</v>
      </c>
      <c r="CC177" s="128">
        <f t="shared" si="359"/>
        <v>134100</v>
      </c>
      <c r="CD177" s="130">
        <f t="shared" si="484"/>
        <v>4.5999999999999999E-2</v>
      </c>
      <c r="CE177" s="128">
        <f t="shared" si="485"/>
        <v>135128.1</v>
      </c>
      <c r="CF177" s="128" t="str">
        <f t="shared" si="486"/>
        <v>nie</v>
      </c>
      <c r="CG177" s="128">
        <f t="shared" si="487"/>
        <v>2682</v>
      </c>
      <c r="CH177" s="128">
        <f t="shared" si="369"/>
        <v>132760.34100000001</v>
      </c>
      <c r="CI177" s="128">
        <f t="shared" si="488"/>
        <v>0</v>
      </c>
      <c r="CJ177" s="130">
        <f t="shared" si="489"/>
        <v>3.5999999999999997E-2</v>
      </c>
      <c r="CK177" s="128">
        <f t="shared" si="490"/>
        <v>15717.267968246795</v>
      </c>
      <c r="CL177" s="128">
        <f t="shared" si="491"/>
        <v>148477.60896824682</v>
      </c>
      <c r="CN177" s="127">
        <f t="shared" si="544"/>
        <v>1526</v>
      </c>
      <c r="CO177" s="128">
        <f t="shared" si="545"/>
        <v>152447.4</v>
      </c>
      <c r="CP177" s="128">
        <f t="shared" si="546"/>
        <v>152600</v>
      </c>
      <c r="CQ177" s="128">
        <f t="shared" si="547"/>
        <v>160764.1</v>
      </c>
      <c r="CR177" s="130">
        <f t="shared" si="492"/>
        <v>5.1000000000000004E-2</v>
      </c>
      <c r="CS177" s="128">
        <f t="shared" si="493"/>
        <v>162130.59484999999</v>
      </c>
      <c r="CT177" s="128" t="str">
        <f t="shared" si="494"/>
        <v>nie</v>
      </c>
      <c r="CU177" s="128">
        <f t="shared" si="495"/>
        <v>4578</v>
      </c>
      <c r="CV177" s="128">
        <f t="shared" si="496"/>
        <v>156611.60182849999</v>
      </c>
      <c r="CW177" s="128">
        <f t="shared" si="453"/>
        <v>0</v>
      </c>
      <c r="CX177" s="130">
        <f t="shared" si="497"/>
        <v>3.5999999999999997E-2</v>
      </c>
      <c r="CY177" s="128">
        <f t="shared" si="498"/>
        <v>74.371142273146958</v>
      </c>
      <c r="CZ177" s="128">
        <f t="shared" si="499"/>
        <v>156685.97297077315</v>
      </c>
      <c r="DA177" s="20"/>
      <c r="DB177" s="127">
        <f t="shared" si="554"/>
        <v>1280</v>
      </c>
      <c r="DC177" s="128">
        <f t="shared" si="555"/>
        <v>128000</v>
      </c>
      <c r="DD177" s="128">
        <f t="shared" si="548"/>
        <v>128000</v>
      </c>
      <c r="DE177" s="128">
        <f t="shared" si="549"/>
        <v>163987.26882061435</v>
      </c>
      <c r="DF177" s="130">
        <f t="shared" si="500"/>
        <v>5.1000000000000004E-2</v>
      </c>
      <c r="DG177" s="128">
        <f t="shared" si="501"/>
        <v>165381.16060558957</v>
      </c>
      <c r="DH177" s="128" t="str">
        <f t="shared" si="502"/>
        <v>nie</v>
      </c>
      <c r="DI177" s="128">
        <f t="shared" si="503"/>
        <v>2560</v>
      </c>
      <c r="DJ177" s="128">
        <f t="shared" si="355"/>
        <v>156205.14009052754</v>
      </c>
      <c r="DK177" s="128">
        <f t="shared" si="454"/>
        <v>0</v>
      </c>
      <c r="DL177" s="130">
        <f t="shared" si="504"/>
        <v>3.5999999999999997E-2</v>
      </c>
      <c r="DM177" s="128">
        <f t="shared" si="505"/>
        <v>76.28342099621743</v>
      </c>
      <c r="DN177" s="128">
        <f t="shared" si="506"/>
        <v>156281.42351152375</v>
      </c>
      <c r="DP177" s="127">
        <f t="shared" si="556"/>
        <v>1000</v>
      </c>
      <c r="DQ177" s="128">
        <f t="shared" si="557"/>
        <v>100000</v>
      </c>
      <c r="DR177" s="128">
        <f t="shared" si="550"/>
        <v>100000</v>
      </c>
      <c r="DS177" s="128">
        <f t="shared" si="551"/>
        <v>182097.12964939213</v>
      </c>
      <c r="DT177" s="130">
        <f t="shared" si="507"/>
        <v>5.6000000000000001E-2</v>
      </c>
      <c r="DU177" s="128">
        <f t="shared" si="508"/>
        <v>183796.70285945313</v>
      </c>
      <c r="DV177" s="128" t="str">
        <f t="shared" si="509"/>
        <v>nie</v>
      </c>
      <c r="DW177" s="128">
        <f t="shared" si="510"/>
        <v>3000</v>
      </c>
      <c r="DX177" s="128">
        <f t="shared" si="511"/>
        <v>165445.32931615703</v>
      </c>
      <c r="DY177" s="128">
        <f t="shared" si="455"/>
        <v>0</v>
      </c>
      <c r="DZ177" s="130">
        <f t="shared" si="512"/>
        <v>3.5999999999999997E-2</v>
      </c>
      <c r="EA177" s="128">
        <f t="shared" si="513"/>
        <v>0</v>
      </c>
      <c r="EB177" s="128">
        <f t="shared" si="514"/>
        <v>165445.32931615703</v>
      </c>
    </row>
    <row r="178" spans="1:132">
      <c r="A178" s="212"/>
      <c r="B178" s="188">
        <f t="shared" si="515"/>
        <v>134</v>
      </c>
      <c r="C178" s="128">
        <f t="shared" si="516"/>
        <v>146174.83137617237</v>
      </c>
      <c r="D178" s="128">
        <f t="shared" si="517"/>
        <v>144253.2850598371</v>
      </c>
      <c r="E178" s="128">
        <f t="shared" si="518"/>
        <v>147611.14469417738</v>
      </c>
      <c r="F178" s="128">
        <f t="shared" si="519"/>
        <v>148477.60896824682</v>
      </c>
      <c r="G178" s="128">
        <f t="shared" si="520"/>
        <v>156685.97297077315</v>
      </c>
      <c r="H178" s="128">
        <f t="shared" si="521"/>
        <v>156281.42351152375</v>
      </c>
      <c r="I178" s="128">
        <f t="shared" si="522"/>
        <v>165445.32931615703</v>
      </c>
      <c r="J178" s="128">
        <f t="shared" si="523"/>
        <v>138434.21037655274</v>
      </c>
      <c r="K178" s="128">
        <f t="shared" si="524"/>
        <v>140631.75489471844</v>
      </c>
      <c r="M178" s="36"/>
      <c r="N178" s="32">
        <f t="shared" si="525"/>
        <v>134</v>
      </c>
      <c r="O178" s="25">
        <f t="shared" si="526"/>
        <v>0.46174831376172376</v>
      </c>
      <c r="P178" s="25">
        <f t="shared" si="527"/>
        <v>0.442532850598371</v>
      </c>
      <c r="Q178" s="25">
        <f t="shared" si="528"/>
        <v>0.47611144694177376</v>
      </c>
      <c r="R178" s="25">
        <f t="shared" si="457"/>
        <v>0.48477608968246821</v>
      </c>
      <c r="S178" s="25">
        <f t="shared" si="458"/>
        <v>0.56685972970773135</v>
      </c>
      <c r="T178" s="25">
        <f t="shared" si="459"/>
        <v>0.56281423511523743</v>
      </c>
      <c r="U178" s="25">
        <f t="shared" si="460"/>
        <v>0.6544532931615703</v>
      </c>
      <c r="V178" s="25">
        <f t="shared" si="461"/>
        <v>0.38434210376552747</v>
      </c>
      <c r="W178" s="25">
        <f t="shared" si="462"/>
        <v>0.40631754894718441</v>
      </c>
      <c r="X178" s="36"/>
      <c r="Y178" s="36"/>
      <c r="AA178" s="124">
        <f t="shared" si="529"/>
        <v>135</v>
      </c>
      <c r="AB178" s="128">
        <f t="shared" si="463"/>
        <v>140993.1861997869</v>
      </c>
      <c r="AC178" s="124">
        <f t="shared" si="530"/>
        <v>135</v>
      </c>
      <c r="AD178" s="130">
        <f t="shared" si="531"/>
        <v>3.7499999999999999E-2</v>
      </c>
      <c r="AE178" s="127">
        <f t="shared" si="532"/>
        <v>1460</v>
      </c>
      <c r="AF178" s="128">
        <f t="shared" si="533"/>
        <v>145858.6</v>
      </c>
      <c r="AG178" s="128">
        <f t="shared" si="552"/>
        <v>146000</v>
      </c>
      <c r="AH178" s="128">
        <f t="shared" si="357"/>
        <v>146000</v>
      </c>
      <c r="AI178" s="130">
        <f t="shared" si="464"/>
        <v>3.7499999999999999E-2</v>
      </c>
      <c r="AJ178" s="128">
        <f t="shared" si="465"/>
        <v>146456.25</v>
      </c>
      <c r="AK178" s="128" t="str">
        <f t="shared" si="466"/>
        <v>nie</v>
      </c>
      <c r="AL178" s="128">
        <f t="shared" si="467"/>
        <v>730</v>
      </c>
      <c r="AM178" s="128">
        <f t="shared" si="361"/>
        <v>145778.26250000001</v>
      </c>
      <c r="AN178" s="128">
        <f t="shared" si="468"/>
        <v>369.5625</v>
      </c>
      <c r="AO178" s="130">
        <f t="shared" si="469"/>
        <v>3.5999999999999997E-2</v>
      </c>
      <c r="AP178" s="128">
        <f t="shared" si="470"/>
        <v>1137.5555754164582</v>
      </c>
      <c r="AQ178" s="128">
        <f t="shared" si="362"/>
        <v>146546.25557541646</v>
      </c>
      <c r="AS178" s="124">
        <f t="shared" si="534"/>
        <v>135</v>
      </c>
      <c r="AT178" s="130">
        <f t="shared" si="535"/>
        <v>3.7499999999999999E-2</v>
      </c>
      <c r="AU178" s="127">
        <f t="shared" si="536"/>
        <v>1397</v>
      </c>
      <c r="AV178" s="128">
        <f t="shared" si="537"/>
        <v>139568.90000000002</v>
      </c>
      <c r="AW178" s="128">
        <f t="shared" si="363"/>
        <v>139700</v>
      </c>
      <c r="AX178" s="128">
        <f t="shared" si="358"/>
        <v>139700</v>
      </c>
      <c r="AY178" s="130">
        <f t="shared" si="471"/>
        <v>3.9E-2</v>
      </c>
      <c r="AZ178" s="128">
        <f t="shared" si="472"/>
        <v>140154.02499999999</v>
      </c>
      <c r="BA178" s="128" t="str">
        <f t="shared" si="473"/>
        <v>nie</v>
      </c>
      <c r="BB178" s="128">
        <f t="shared" si="474"/>
        <v>977.9</v>
      </c>
      <c r="BC178" s="128">
        <f t="shared" si="367"/>
        <v>139275.66125</v>
      </c>
      <c r="BD178" s="128">
        <f t="shared" si="475"/>
        <v>367.76024999999532</v>
      </c>
      <c r="BE178" s="130">
        <f t="shared" si="476"/>
        <v>3.5999999999999997E-2</v>
      </c>
      <c r="BF178" s="128">
        <f t="shared" si="477"/>
        <v>5726.1335931024851</v>
      </c>
      <c r="BG178" s="128">
        <f t="shared" si="368"/>
        <v>144634.03459310249</v>
      </c>
      <c r="BI178" s="124">
        <f t="shared" si="538"/>
        <v>135</v>
      </c>
      <c r="BJ178" s="130">
        <f t="shared" ref="BJ178:BJ187" si="558">MAX(INDEX(scenariusz_I_WIBOR6M,MATCH(ROUNDUP(BI178/12,0),scenariusz_I_rok,0)),0)</f>
        <v>3.9100000000000003E-2</v>
      </c>
      <c r="BK178" s="127">
        <f t="shared" si="539"/>
        <v>1376</v>
      </c>
      <c r="BL178" s="128">
        <f t="shared" si="540"/>
        <v>137462.39999999999</v>
      </c>
      <c r="BM178" s="128">
        <f t="shared" si="553"/>
        <v>137600</v>
      </c>
      <c r="BN178" s="128">
        <f t="shared" si="541"/>
        <v>149975.1936</v>
      </c>
      <c r="BO178" s="130">
        <f t="shared" si="478"/>
        <v>4.3999999999999997E-2</v>
      </c>
      <c r="BP178" s="128">
        <f t="shared" si="479"/>
        <v>151624.92072959998</v>
      </c>
      <c r="BQ178" s="128" t="str">
        <f t="shared" si="480"/>
        <v>nie</v>
      </c>
      <c r="BR178" s="128">
        <f t="shared" si="481"/>
        <v>1376</v>
      </c>
      <c r="BS178" s="128">
        <f t="shared" si="364"/>
        <v>147845.62579097599</v>
      </c>
      <c r="BT178" s="128">
        <f t="shared" si="456"/>
        <v>0</v>
      </c>
      <c r="BU178" s="130">
        <f t="shared" si="482"/>
        <v>3.5999999999999997E-2</v>
      </c>
      <c r="BV178" s="128">
        <f t="shared" si="483"/>
        <v>211.45782509785801</v>
      </c>
      <c r="BW178" s="128">
        <f t="shared" si="365"/>
        <v>148057.08361607385</v>
      </c>
      <c r="BY178" s="130">
        <f t="shared" si="452"/>
        <v>3.1E-2</v>
      </c>
      <c r="BZ178" s="127">
        <f t="shared" si="542"/>
        <v>1341</v>
      </c>
      <c r="CA178" s="128">
        <f t="shared" si="543"/>
        <v>133979.79999999999</v>
      </c>
      <c r="CB178" s="128">
        <f t="shared" si="366"/>
        <v>134100</v>
      </c>
      <c r="CC178" s="128">
        <f t="shared" si="359"/>
        <v>134100</v>
      </c>
      <c r="CD178" s="130">
        <f t="shared" si="484"/>
        <v>4.5999999999999999E-2</v>
      </c>
      <c r="CE178" s="128">
        <f t="shared" si="485"/>
        <v>135642.15000000002</v>
      </c>
      <c r="CF178" s="128" t="str">
        <f t="shared" si="486"/>
        <v>nie</v>
      </c>
      <c r="CG178" s="128">
        <f t="shared" si="487"/>
        <v>2682</v>
      </c>
      <c r="CH178" s="128">
        <f t="shared" si="369"/>
        <v>133176.72150000001</v>
      </c>
      <c r="CI178" s="128">
        <f t="shared" si="488"/>
        <v>0</v>
      </c>
      <c r="CJ178" s="130">
        <f t="shared" si="489"/>
        <v>3.5999999999999997E-2</v>
      </c>
      <c r="CK178" s="128">
        <f t="shared" si="490"/>
        <v>15755.460929409634</v>
      </c>
      <c r="CL178" s="128">
        <f t="shared" si="491"/>
        <v>148932.18242940964</v>
      </c>
      <c r="CN178" s="127">
        <f t="shared" si="544"/>
        <v>1526</v>
      </c>
      <c r="CO178" s="128">
        <f t="shared" si="545"/>
        <v>152447.4</v>
      </c>
      <c r="CP178" s="128">
        <f t="shared" si="546"/>
        <v>152600</v>
      </c>
      <c r="CQ178" s="128">
        <f t="shared" si="547"/>
        <v>160764.1</v>
      </c>
      <c r="CR178" s="130">
        <f t="shared" si="492"/>
        <v>5.1000000000000004E-2</v>
      </c>
      <c r="CS178" s="128">
        <f t="shared" si="493"/>
        <v>162813.842275</v>
      </c>
      <c r="CT178" s="128" t="str">
        <f t="shared" si="494"/>
        <v>nie</v>
      </c>
      <c r="CU178" s="128">
        <f t="shared" si="495"/>
        <v>4578</v>
      </c>
      <c r="CV178" s="128">
        <f t="shared" si="496"/>
        <v>157165.03224274999</v>
      </c>
      <c r="CW178" s="128">
        <f t="shared" si="453"/>
        <v>0</v>
      </c>
      <c r="CX178" s="130">
        <f t="shared" si="497"/>
        <v>3.5999999999999997E-2</v>
      </c>
      <c r="CY178" s="128">
        <f t="shared" si="498"/>
        <v>74.551864148870706</v>
      </c>
      <c r="CZ178" s="128">
        <f t="shared" si="499"/>
        <v>157239.58410689887</v>
      </c>
      <c r="DA178" s="20"/>
      <c r="DB178" s="127">
        <f t="shared" si="554"/>
        <v>1280</v>
      </c>
      <c r="DC178" s="128">
        <f t="shared" si="555"/>
        <v>128000</v>
      </c>
      <c r="DD178" s="128">
        <f t="shared" si="548"/>
        <v>128000</v>
      </c>
      <c r="DE178" s="128">
        <f t="shared" si="549"/>
        <v>163987.26882061435</v>
      </c>
      <c r="DF178" s="130">
        <f t="shared" si="500"/>
        <v>5.1000000000000004E-2</v>
      </c>
      <c r="DG178" s="128">
        <f t="shared" si="501"/>
        <v>166078.10649807719</v>
      </c>
      <c r="DH178" s="128" t="str">
        <f t="shared" si="502"/>
        <v>nie</v>
      </c>
      <c r="DI178" s="128">
        <f t="shared" si="503"/>
        <v>2560</v>
      </c>
      <c r="DJ178" s="128">
        <f t="shared" si="355"/>
        <v>156769.66626344252</v>
      </c>
      <c r="DK178" s="128">
        <f t="shared" si="454"/>
        <v>0</v>
      </c>
      <c r="DL178" s="130">
        <f t="shared" si="504"/>
        <v>3.5999999999999997E-2</v>
      </c>
      <c r="DM178" s="128">
        <f t="shared" si="505"/>
        <v>76.468789709238237</v>
      </c>
      <c r="DN178" s="128">
        <f t="shared" si="506"/>
        <v>156846.13505315175</v>
      </c>
      <c r="DP178" s="127">
        <f t="shared" si="556"/>
        <v>1000</v>
      </c>
      <c r="DQ178" s="128">
        <f t="shared" si="557"/>
        <v>100000</v>
      </c>
      <c r="DR178" s="128">
        <f t="shared" si="550"/>
        <v>100000</v>
      </c>
      <c r="DS178" s="128">
        <f t="shared" si="551"/>
        <v>182097.12964939213</v>
      </c>
      <c r="DT178" s="130">
        <f t="shared" si="507"/>
        <v>5.6000000000000001E-2</v>
      </c>
      <c r="DU178" s="128">
        <f t="shared" si="508"/>
        <v>184646.48946448363</v>
      </c>
      <c r="DV178" s="128" t="str">
        <f t="shared" si="509"/>
        <v>nie</v>
      </c>
      <c r="DW178" s="128">
        <f t="shared" si="510"/>
        <v>3000</v>
      </c>
      <c r="DX178" s="128">
        <f t="shared" si="511"/>
        <v>166133.65646623174</v>
      </c>
      <c r="DY178" s="128">
        <f t="shared" si="455"/>
        <v>0</v>
      </c>
      <c r="DZ178" s="130">
        <f t="shared" si="512"/>
        <v>3.5999999999999997E-2</v>
      </c>
      <c r="EA178" s="128">
        <f t="shared" si="513"/>
        <v>0</v>
      </c>
      <c r="EB178" s="128">
        <f t="shared" si="514"/>
        <v>166133.65646623174</v>
      </c>
    </row>
    <row r="179" spans="1:132">
      <c r="A179" s="212"/>
      <c r="B179" s="188">
        <f t="shared" si="515"/>
        <v>135</v>
      </c>
      <c r="C179" s="128">
        <f t="shared" si="516"/>
        <v>146546.25557541646</v>
      </c>
      <c r="D179" s="128">
        <f t="shared" si="517"/>
        <v>144634.03459310249</v>
      </c>
      <c r="E179" s="128">
        <f t="shared" si="518"/>
        <v>148057.08361607385</v>
      </c>
      <c r="F179" s="128">
        <f t="shared" si="519"/>
        <v>148932.18242940964</v>
      </c>
      <c r="G179" s="128">
        <f t="shared" si="520"/>
        <v>157239.58410689887</v>
      </c>
      <c r="H179" s="128">
        <f t="shared" si="521"/>
        <v>156846.13505315175</v>
      </c>
      <c r="I179" s="128">
        <f t="shared" si="522"/>
        <v>166133.65646623174</v>
      </c>
      <c r="J179" s="128">
        <f t="shared" si="523"/>
        <v>138770.60550776776</v>
      </c>
      <c r="K179" s="128">
        <f t="shared" si="524"/>
        <v>140993.1861997869</v>
      </c>
      <c r="M179" s="36"/>
      <c r="N179" s="32">
        <f t="shared" si="525"/>
        <v>135</v>
      </c>
      <c r="O179" s="25">
        <f t="shared" si="526"/>
        <v>0.46546255575416473</v>
      </c>
      <c r="P179" s="25">
        <f t="shared" si="527"/>
        <v>0.4463403459310249</v>
      </c>
      <c r="Q179" s="25">
        <f t="shared" si="528"/>
        <v>0.48057083616073859</v>
      </c>
      <c r="R179" s="25">
        <f t="shared" si="457"/>
        <v>0.48932182429409643</v>
      </c>
      <c r="S179" s="25">
        <f t="shared" si="458"/>
        <v>0.57239584106898866</v>
      </c>
      <c r="T179" s="25">
        <f t="shared" si="459"/>
        <v>0.56846135053151747</v>
      </c>
      <c r="U179" s="25">
        <f t="shared" si="460"/>
        <v>0.66133656466231749</v>
      </c>
      <c r="V179" s="25">
        <f t="shared" si="461"/>
        <v>0.38770605507767764</v>
      </c>
      <c r="W179" s="25">
        <f t="shared" si="462"/>
        <v>0.40993186199786891</v>
      </c>
      <c r="X179" s="36"/>
      <c r="Y179" s="36"/>
      <c r="AA179" s="124">
        <f t="shared" si="529"/>
        <v>136</v>
      </c>
      <c r="AB179" s="128">
        <f t="shared" si="463"/>
        <v>141354.61750485541</v>
      </c>
      <c r="AC179" s="124">
        <f t="shared" si="530"/>
        <v>136</v>
      </c>
      <c r="AD179" s="130">
        <f t="shared" si="531"/>
        <v>3.7499999999999999E-2</v>
      </c>
      <c r="AE179" s="127">
        <f t="shared" si="532"/>
        <v>1460</v>
      </c>
      <c r="AF179" s="128">
        <f t="shared" si="533"/>
        <v>145858.6</v>
      </c>
      <c r="AG179" s="128">
        <f t="shared" si="552"/>
        <v>146000</v>
      </c>
      <c r="AH179" s="128">
        <f t="shared" si="357"/>
        <v>146000</v>
      </c>
      <c r="AI179" s="130">
        <f t="shared" si="464"/>
        <v>3.7499999999999999E-2</v>
      </c>
      <c r="AJ179" s="128">
        <f t="shared" si="465"/>
        <v>146456.25</v>
      </c>
      <c r="AK179" s="128" t="str">
        <f t="shared" si="466"/>
        <v>nie</v>
      </c>
      <c r="AL179" s="128">
        <f t="shared" si="467"/>
        <v>730</v>
      </c>
      <c r="AM179" s="128">
        <f t="shared" si="361"/>
        <v>145778.26250000001</v>
      </c>
      <c r="AN179" s="128">
        <f t="shared" si="468"/>
        <v>369.5625</v>
      </c>
      <c r="AO179" s="130">
        <f t="shared" si="469"/>
        <v>3.5999999999999997E-2</v>
      </c>
      <c r="AP179" s="128">
        <f t="shared" si="470"/>
        <v>1509.88233546472</v>
      </c>
      <c r="AQ179" s="128">
        <f t="shared" si="362"/>
        <v>146918.58233546474</v>
      </c>
      <c r="AS179" s="124">
        <f t="shared" si="534"/>
        <v>136</v>
      </c>
      <c r="AT179" s="130">
        <f t="shared" si="535"/>
        <v>3.7499999999999999E-2</v>
      </c>
      <c r="AU179" s="127">
        <f t="shared" si="536"/>
        <v>1397</v>
      </c>
      <c r="AV179" s="128">
        <f t="shared" si="537"/>
        <v>139568.90000000002</v>
      </c>
      <c r="AW179" s="128">
        <f t="shared" si="363"/>
        <v>139700</v>
      </c>
      <c r="AX179" s="128">
        <f t="shared" si="358"/>
        <v>139700</v>
      </c>
      <c r="AY179" s="130">
        <f t="shared" si="471"/>
        <v>3.9E-2</v>
      </c>
      <c r="AZ179" s="128">
        <f t="shared" si="472"/>
        <v>140154.02499999999</v>
      </c>
      <c r="BA179" s="128" t="str">
        <f t="shared" si="473"/>
        <v>nie</v>
      </c>
      <c r="BB179" s="128">
        <f t="shared" si="474"/>
        <v>977.9</v>
      </c>
      <c r="BC179" s="128">
        <f t="shared" si="367"/>
        <v>139275.66125</v>
      </c>
      <c r="BD179" s="128">
        <f t="shared" si="475"/>
        <v>367.76024999999532</v>
      </c>
      <c r="BE179" s="130">
        <f t="shared" si="476"/>
        <v>3.5999999999999997E-2</v>
      </c>
      <c r="BF179" s="128">
        <f t="shared" si="477"/>
        <v>6107.8083477337195</v>
      </c>
      <c r="BG179" s="128">
        <f t="shared" si="368"/>
        <v>145015.70934773373</v>
      </c>
      <c r="BI179" s="124">
        <f t="shared" si="538"/>
        <v>136</v>
      </c>
      <c r="BJ179" s="130">
        <f t="shared" si="558"/>
        <v>3.9100000000000003E-2</v>
      </c>
      <c r="BK179" s="127">
        <f t="shared" si="539"/>
        <v>1376</v>
      </c>
      <c r="BL179" s="128">
        <f t="shared" si="540"/>
        <v>137462.39999999999</v>
      </c>
      <c r="BM179" s="128">
        <f t="shared" si="553"/>
        <v>137600</v>
      </c>
      <c r="BN179" s="128">
        <f t="shared" si="541"/>
        <v>149975.1936</v>
      </c>
      <c r="BO179" s="130">
        <f t="shared" si="478"/>
        <v>4.3999999999999997E-2</v>
      </c>
      <c r="BP179" s="128">
        <f t="shared" si="479"/>
        <v>152174.8297728</v>
      </c>
      <c r="BQ179" s="128" t="str">
        <f t="shared" si="480"/>
        <v>nie</v>
      </c>
      <c r="BR179" s="128">
        <f t="shared" si="481"/>
        <v>1376</v>
      </c>
      <c r="BS179" s="128">
        <f t="shared" si="364"/>
        <v>148291.05211596799</v>
      </c>
      <c r="BT179" s="128">
        <f t="shared" si="456"/>
        <v>0</v>
      </c>
      <c r="BU179" s="130">
        <f t="shared" si="482"/>
        <v>3.5999999999999997E-2</v>
      </c>
      <c r="BV179" s="128">
        <f t="shared" si="483"/>
        <v>211.97166761284578</v>
      </c>
      <c r="BW179" s="128">
        <f t="shared" si="365"/>
        <v>148503.02378358084</v>
      </c>
      <c r="BY179" s="130">
        <f t="shared" si="452"/>
        <v>3.1E-2</v>
      </c>
      <c r="BZ179" s="127">
        <f t="shared" si="542"/>
        <v>1341</v>
      </c>
      <c r="CA179" s="128">
        <f t="shared" si="543"/>
        <v>133979.79999999999</v>
      </c>
      <c r="CB179" s="128">
        <f t="shared" si="366"/>
        <v>134100</v>
      </c>
      <c r="CC179" s="128">
        <f t="shared" si="359"/>
        <v>134100</v>
      </c>
      <c r="CD179" s="130">
        <f t="shared" si="484"/>
        <v>4.5999999999999999E-2</v>
      </c>
      <c r="CE179" s="128">
        <f t="shared" si="485"/>
        <v>136156.20000000001</v>
      </c>
      <c r="CF179" s="128" t="str">
        <f t="shared" si="486"/>
        <v>nie</v>
      </c>
      <c r="CG179" s="128">
        <f t="shared" si="487"/>
        <v>2682</v>
      </c>
      <c r="CH179" s="128">
        <f t="shared" si="369"/>
        <v>133593.10200000001</v>
      </c>
      <c r="CI179" s="128">
        <f t="shared" si="488"/>
        <v>0</v>
      </c>
      <c r="CJ179" s="130">
        <f t="shared" si="489"/>
        <v>3.5999999999999997E-2</v>
      </c>
      <c r="CK179" s="128">
        <f t="shared" si="490"/>
        <v>15793.746699468098</v>
      </c>
      <c r="CL179" s="128">
        <f t="shared" si="491"/>
        <v>149386.8486994681</v>
      </c>
      <c r="CN179" s="127">
        <f t="shared" si="544"/>
        <v>1526</v>
      </c>
      <c r="CO179" s="128">
        <f t="shared" si="545"/>
        <v>152447.4</v>
      </c>
      <c r="CP179" s="128">
        <f t="shared" si="546"/>
        <v>152600</v>
      </c>
      <c r="CQ179" s="128">
        <f t="shared" si="547"/>
        <v>160764.1</v>
      </c>
      <c r="CR179" s="130">
        <f t="shared" si="492"/>
        <v>5.1000000000000004E-2</v>
      </c>
      <c r="CS179" s="128">
        <f t="shared" si="493"/>
        <v>163497.08969999998</v>
      </c>
      <c r="CT179" s="128" t="str">
        <f t="shared" si="494"/>
        <v>nie</v>
      </c>
      <c r="CU179" s="128">
        <f t="shared" si="495"/>
        <v>4578</v>
      </c>
      <c r="CV179" s="128">
        <f t="shared" si="496"/>
        <v>157718.462657</v>
      </c>
      <c r="CW179" s="128">
        <f t="shared" si="453"/>
        <v>0</v>
      </c>
      <c r="CX179" s="130">
        <f t="shared" si="497"/>
        <v>3.5999999999999997E-2</v>
      </c>
      <c r="CY179" s="128">
        <f t="shared" si="498"/>
        <v>74.733025178752456</v>
      </c>
      <c r="CZ179" s="128">
        <f t="shared" si="499"/>
        <v>157793.19568217875</v>
      </c>
      <c r="DA179" s="20"/>
      <c r="DB179" s="127">
        <f t="shared" si="554"/>
        <v>1280</v>
      </c>
      <c r="DC179" s="128">
        <f t="shared" si="555"/>
        <v>128000</v>
      </c>
      <c r="DD179" s="128">
        <f t="shared" si="548"/>
        <v>128000</v>
      </c>
      <c r="DE179" s="128">
        <f t="shared" si="549"/>
        <v>163987.26882061435</v>
      </c>
      <c r="DF179" s="130">
        <f t="shared" si="500"/>
        <v>5.1000000000000004E-2</v>
      </c>
      <c r="DG179" s="128">
        <f t="shared" si="501"/>
        <v>166775.05239056479</v>
      </c>
      <c r="DH179" s="128" t="str">
        <f t="shared" si="502"/>
        <v>nie</v>
      </c>
      <c r="DI179" s="128">
        <f t="shared" si="503"/>
        <v>2560</v>
      </c>
      <c r="DJ179" s="128">
        <f t="shared" si="355"/>
        <v>157334.19243635747</v>
      </c>
      <c r="DK179" s="128">
        <f t="shared" si="454"/>
        <v>0</v>
      </c>
      <c r="DL179" s="130">
        <f t="shared" si="504"/>
        <v>3.5999999999999997E-2</v>
      </c>
      <c r="DM179" s="128">
        <f t="shared" si="505"/>
        <v>76.654608868231676</v>
      </c>
      <c r="DN179" s="128">
        <f t="shared" si="506"/>
        <v>157410.8470452257</v>
      </c>
      <c r="DP179" s="127">
        <f t="shared" si="556"/>
        <v>1000</v>
      </c>
      <c r="DQ179" s="128">
        <f t="shared" si="557"/>
        <v>100000</v>
      </c>
      <c r="DR179" s="128">
        <f t="shared" si="550"/>
        <v>100000</v>
      </c>
      <c r="DS179" s="128">
        <f t="shared" si="551"/>
        <v>182097.12964939213</v>
      </c>
      <c r="DT179" s="130">
        <f t="shared" si="507"/>
        <v>5.6000000000000001E-2</v>
      </c>
      <c r="DU179" s="128">
        <f t="shared" si="508"/>
        <v>185496.2760695141</v>
      </c>
      <c r="DV179" s="128" t="str">
        <f t="shared" si="509"/>
        <v>nie</v>
      </c>
      <c r="DW179" s="128">
        <f t="shared" si="510"/>
        <v>3000</v>
      </c>
      <c r="DX179" s="128">
        <f t="shared" si="511"/>
        <v>166821.98361630642</v>
      </c>
      <c r="DY179" s="128">
        <f t="shared" si="455"/>
        <v>0</v>
      </c>
      <c r="DZ179" s="130">
        <f t="shared" si="512"/>
        <v>3.5999999999999997E-2</v>
      </c>
      <c r="EA179" s="128">
        <f t="shared" si="513"/>
        <v>0</v>
      </c>
      <c r="EB179" s="128">
        <f t="shared" si="514"/>
        <v>166821.98361630642</v>
      </c>
    </row>
    <row r="180" spans="1:132">
      <c r="A180" s="212"/>
      <c r="B180" s="188">
        <f t="shared" si="515"/>
        <v>136</v>
      </c>
      <c r="C180" s="128">
        <f t="shared" si="516"/>
        <v>146918.58233546474</v>
      </c>
      <c r="D180" s="128">
        <f t="shared" si="517"/>
        <v>145015.70934773373</v>
      </c>
      <c r="E180" s="128">
        <f t="shared" si="518"/>
        <v>148503.02378358084</v>
      </c>
      <c r="F180" s="128">
        <f t="shared" si="519"/>
        <v>149386.8486994681</v>
      </c>
      <c r="G180" s="128">
        <f t="shared" si="520"/>
        <v>157793.19568217875</v>
      </c>
      <c r="H180" s="128">
        <f t="shared" si="521"/>
        <v>157410.8470452257</v>
      </c>
      <c r="I180" s="128">
        <f t="shared" si="522"/>
        <v>166821.98361630642</v>
      </c>
      <c r="J180" s="128">
        <f t="shared" si="523"/>
        <v>139107.81807915162</v>
      </c>
      <c r="K180" s="128">
        <f t="shared" si="524"/>
        <v>141354.61750485541</v>
      </c>
      <c r="M180" s="36"/>
      <c r="N180" s="32">
        <f t="shared" si="525"/>
        <v>136</v>
      </c>
      <c r="O180" s="25">
        <f t="shared" si="526"/>
        <v>0.46918582335464754</v>
      </c>
      <c r="P180" s="25">
        <f t="shared" si="527"/>
        <v>0.45015709347733734</v>
      </c>
      <c r="Q180" s="25">
        <f t="shared" si="528"/>
        <v>0.48503023783580845</v>
      </c>
      <c r="R180" s="25">
        <f t="shared" si="457"/>
        <v>0.493868486994681</v>
      </c>
      <c r="S180" s="25">
        <f t="shared" si="458"/>
        <v>0.57793195682178755</v>
      </c>
      <c r="T180" s="25">
        <f t="shared" si="459"/>
        <v>0.57410847045225699</v>
      </c>
      <c r="U180" s="25">
        <f t="shared" si="460"/>
        <v>0.66821983616306424</v>
      </c>
      <c r="V180" s="25">
        <f t="shared" si="461"/>
        <v>0.39107818079151624</v>
      </c>
      <c r="W180" s="25">
        <f t="shared" si="462"/>
        <v>0.41354617504855407</v>
      </c>
      <c r="X180" s="36"/>
      <c r="Y180" s="36"/>
      <c r="AA180" s="124">
        <f t="shared" si="529"/>
        <v>137</v>
      </c>
      <c r="AB180" s="128">
        <f t="shared" si="463"/>
        <v>141716.04880992393</v>
      </c>
      <c r="AC180" s="124">
        <f t="shared" si="530"/>
        <v>137</v>
      </c>
      <c r="AD180" s="130">
        <f t="shared" si="531"/>
        <v>3.7499999999999999E-2</v>
      </c>
      <c r="AE180" s="127">
        <f t="shared" si="532"/>
        <v>1460</v>
      </c>
      <c r="AF180" s="128">
        <f t="shared" si="533"/>
        <v>145858.6</v>
      </c>
      <c r="AG180" s="128">
        <f t="shared" si="552"/>
        <v>146000</v>
      </c>
      <c r="AH180" s="128">
        <f t="shared" si="357"/>
        <v>146000</v>
      </c>
      <c r="AI180" s="130">
        <f t="shared" si="464"/>
        <v>3.7499999999999999E-2</v>
      </c>
      <c r="AJ180" s="128">
        <f t="shared" si="465"/>
        <v>146456.25</v>
      </c>
      <c r="AK180" s="128" t="str">
        <f t="shared" si="466"/>
        <v>nie</v>
      </c>
      <c r="AL180" s="128">
        <f t="shared" si="467"/>
        <v>730</v>
      </c>
      <c r="AM180" s="128">
        <f t="shared" si="361"/>
        <v>145778.26250000001</v>
      </c>
      <c r="AN180" s="128">
        <f t="shared" si="468"/>
        <v>369.5625</v>
      </c>
      <c r="AO180" s="130">
        <f t="shared" si="469"/>
        <v>3.5999999999999997E-2</v>
      </c>
      <c r="AP180" s="128">
        <f t="shared" si="470"/>
        <v>1883.1138495398991</v>
      </c>
      <c r="AQ180" s="128">
        <f t="shared" si="362"/>
        <v>147291.8138495399</v>
      </c>
      <c r="AS180" s="124">
        <f t="shared" si="534"/>
        <v>137</v>
      </c>
      <c r="AT180" s="130">
        <f t="shared" si="535"/>
        <v>3.7499999999999999E-2</v>
      </c>
      <c r="AU180" s="127">
        <f t="shared" si="536"/>
        <v>1397</v>
      </c>
      <c r="AV180" s="128">
        <f t="shared" si="537"/>
        <v>139568.90000000002</v>
      </c>
      <c r="AW180" s="128">
        <f t="shared" si="363"/>
        <v>139700</v>
      </c>
      <c r="AX180" s="128">
        <f t="shared" si="358"/>
        <v>139700</v>
      </c>
      <c r="AY180" s="130">
        <f t="shared" si="471"/>
        <v>3.9E-2</v>
      </c>
      <c r="AZ180" s="128">
        <f t="shared" si="472"/>
        <v>140154.02499999999</v>
      </c>
      <c r="BA180" s="128" t="str">
        <f t="shared" si="473"/>
        <v>nie</v>
      </c>
      <c r="BB180" s="128">
        <f t="shared" si="474"/>
        <v>977.9</v>
      </c>
      <c r="BC180" s="128">
        <f t="shared" si="367"/>
        <v>139275.66125</v>
      </c>
      <c r="BD180" s="128">
        <f t="shared" si="475"/>
        <v>367.76024999999532</v>
      </c>
      <c r="BE180" s="130">
        <f t="shared" si="476"/>
        <v>3.5999999999999997E-2</v>
      </c>
      <c r="BF180" s="128">
        <f t="shared" si="477"/>
        <v>6490.4105720187081</v>
      </c>
      <c r="BG180" s="128">
        <f t="shared" si="368"/>
        <v>145398.31157201872</v>
      </c>
      <c r="BI180" s="124">
        <f t="shared" si="538"/>
        <v>137</v>
      </c>
      <c r="BJ180" s="130">
        <f t="shared" si="558"/>
        <v>3.9100000000000003E-2</v>
      </c>
      <c r="BK180" s="127">
        <f t="shared" si="539"/>
        <v>1376</v>
      </c>
      <c r="BL180" s="128">
        <f t="shared" si="540"/>
        <v>137462.39999999999</v>
      </c>
      <c r="BM180" s="128">
        <f t="shared" si="553"/>
        <v>137600</v>
      </c>
      <c r="BN180" s="128">
        <f t="shared" si="541"/>
        <v>149975.1936</v>
      </c>
      <c r="BO180" s="130">
        <f t="shared" si="478"/>
        <v>4.3999999999999997E-2</v>
      </c>
      <c r="BP180" s="128">
        <f t="shared" si="479"/>
        <v>152724.738816</v>
      </c>
      <c r="BQ180" s="128" t="str">
        <f t="shared" si="480"/>
        <v>nie</v>
      </c>
      <c r="BR180" s="128">
        <f t="shared" si="481"/>
        <v>1376</v>
      </c>
      <c r="BS180" s="128">
        <f t="shared" si="364"/>
        <v>148736.47844096</v>
      </c>
      <c r="BT180" s="128">
        <f t="shared" si="456"/>
        <v>0</v>
      </c>
      <c r="BU180" s="130">
        <f t="shared" si="482"/>
        <v>3.5999999999999997E-2</v>
      </c>
      <c r="BV180" s="128">
        <f t="shared" si="483"/>
        <v>212.48675876514497</v>
      </c>
      <c r="BW180" s="128">
        <f t="shared" si="365"/>
        <v>148948.96519972515</v>
      </c>
      <c r="BY180" s="130">
        <f t="shared" si="452"/>
        <v>3.1E-2</v>
      </c>
      <c r="BZ180" s="127">
        <f t="shared" si="542"/>
        <v>1341</v>
      </c>
      <c r="CA180" s="128">
        <f t="shared" si="543"/>
        <v>133979.79999999999</v>
      </c>
      <c r="CB180" s="128">
        <f t="shared" si="366"/>
        <v>134100</v>
      </c>
      <c r="CC180" s="128">
        <f t="shared" si="359"/>
        <v>134100</v>
      </c>
      <c r="CD180" s="130">
        <f t="shared" si="484"/>
        <v>4.5999999999999999E-2</v>
      </c>
      <c r="CE180" s="128">
        <f t="shared" si="485"/>
        <v>136670.24999999997</v>
      </c>
      <c r="CF180" s="128" t="str">
        <f t="shared" si="486"/>
        <v>nie</v>
      </c>
      <c r="CG180" s="128">
        <f t="shared" si="487"/>
        <v>2682</v>
      </c>
      <c r="CH180" s="128">
        <f t="shared" si="369"/>
        <v>134009.48249999998</v>
      </c>
      <c r="CI180" s="128">
        <f t="shared" si="488"/>
        <v>0</v>
      </c>
      <c r="CJ180" s="130">
        <f t="shared" si="489"/>
        <v>3.5999999999999997E-2</v>
      </c>
      <c r="CK180" s="128">
        <f t="shared" si="490"/>
        <v>15832.125503947804</v>
      </c>
      <c r="CL180" s="128">
        <f t="shared" si="491"/>
        <v>149841.6080039478</v>
      </c>
      <c r="CN180" s="127">
        <f t="shared" si="544"/>
        <v>1526</v>
      </c>
      <c r="CO180" s="128">
        <f t="shared" si="545"/>
        <v>152447.4</v>
      </c>
      <c r="CP180" s="128">
        <f t="shared" si="546"/>
        <v>152600</v>
      </c>
      <c r="CQ180" s="128">
        <f t="shared" si="547"/>
        <v>160764.1</v>
      </c>
      <c r="CR180" s="130">
        <f t="shared" si="492"/>
        <v>5.1000000000000004E-2</v>
      </c>
      <c r="CS180" s="128">
        <f t="shared" si="493"/>
        <v>164180.33712499999</v>
      </c>
      <c r="CT180" s="128" t="str">
        <f t="shared" si="494"/>
        <v>nie</v>
      </c>
      <c r="CU180" s="128">
        <f t="shared" si="495"/>
        <v>4578</v>
      </c>
      <c r="CV180" s="128">
        <f t="shared" si="496"/>
        <v>158271.89307125</v>
      </c>
      <c r="CW180" s="128">
        <f t="shared" si="453"/>
        <v>0</v>
      </c>
      <c r="CX180" s="130">
        <f t="shared" si="497"/>
        <v>3.5999999999999997E-2</v>
      </c>
      <c r="CY180" s="128">
        <f t="shared" si="498"/>
        <v>74.914626429936817</v>
      </c>
      <c r="CZ180" s="128">
        <f t="shared" si="499"/>
        <v>158346.80769767993</v>
      </c>
      <c r="DA180" s="20"/>
      <c r="DB180" s="127">
        <f t="shared" si="554"/>
        <v>1280</v>
      </c>
      <c r="DC180" s="128">
        <f t="shared" si="555"/>
        <v>128000</v>
      </c>
      <c r="DD180" s="128">
        <f t="shared" si="548"/>
        <v>128000</v>
      </c>
      <c r="DE180" s="128">
        <f t="shared" si="549"/>
        <v>163987.26882061435</v>
      </c>
      <c r="DF180" s="130">
        <f t="shared" si="500"/>
        <v>5.1000000000000004E-2</v>
      </c>
      <c r="DG180" s="128">
        <f t="shared" si="501"/>
        <v>167471.99828305241</v>
      </c>
      <c r="DH180" s="128" t="str">
        <f t="shared" si="502"/>
        <v>nie</v>
      </c>
      <c r="DI180" s="128">
        <f t="shared" si="503"/>
        <v>2560</v>
      </c>
      <c r="DJ180" s="128">
        <f t="shared" ref="DJ180:DJ187" si="559">DG180-DI180
-(DG180-DD180-DI180)*podatek_Belki</f>
        <v>157898.71860927244</v>
      </c>
      <c r="DK180" s="128">
        <f t="shared" si="454"/>
        <v>0</v>
      </c>
      <c r="DL180" s="130">
        <f t="shared" si="504"/>
        <v>3.5999999999999997E-2</v>
      </c>
      <c r="DM180" s="128">
        <f t="shared" si="505"/>
        <v>76.840879567781471</v>
      </c>
      <c r="DN180" s="128">
        <f t="shared" si="506"/>
        <v>157975.55948884023</v>
      </c>
      <c r="DP180" s="127">
        <f t="shared" si="556"/>
        <v>1000</v>
      </c>
      <c r="DQ180" s="128">
        <f t="shared" si="557"/>
        <v>100000</v>
      </c>
      <c r="DR180" s="128">
        <f t="shared" si="550"/>
        <v>100000</v>
      </c>
      <c r="DS180" s="128">
        <f t="shared" si="551"/>
        <v>182097.12964939213</v>
      </c>
      <c r="DT180" s="130">
        <f t="shared" si="507"/>
        <v>5.6000000000000001E-2</v>
      </c>
      <c r="DU180" s="128">
        <f t="shared" si="508"/>
        <v>186346.06267454464</v>
      </c>
      <c r="DV180" s="128" t="str">
        <f t="shared" si="509"/>
        <v>nie</v>
      </c>
      <c r="DW180" s="128">
        <f t="shared" si="510"/>
        <v>3000</v>
      </c>
      <c r="DX180" s="128">
        <f t="shared" si="511"/>
        <v>167510.31076638115</v>
      </c>
      <c r="DY180" s="128">
        <f t="shared" si="455"/>
        <v>0</v>
      </c>
      <c r="DZ180" s="130">
        <f t="shared" si="512"/>
        <v>3.5999999999999997E-2</v>
      </c>
      <c r="EA180" s="128">
        <f t="shared" si="513"/>
        <v>0</v>
      </c>
      <c r="EB180" s="128">
        <f t="shared" si="514"/>
        <v>167510.31076638115</v>
      </c>
    </row>
    <row r="181" spans="1:132">
      <c r="A181" s="212"/>
      <c r="B181" s="188">
        <f t="shared" si="515"/>
        <v>137</v>
      </c>
      <c r="C181" s="128">
        <f t="shared" si="516"/>
        <v>147291.8138495399</v>
      </c>
      <c r="D181" s="128">
        <f t="shared" si="517"/>
        <v>145398.31157201872</v>
      </c>
      <c r="E181" s="128">
        <f t="shared" si="518"/>
        <v>148948.96519972515</v>
      </c>
      <c r="F181" s="128">
        <f t="shared" si="519"/>
        <v>149841.6080039478</v>
      </c>
      <c r="G181" s="128">
        <f t="shared" si="520"/>
        <v>158346.80769767993</v>
      </c>
      <c r="H181" s="128">
        <f t="shared" si="521"/>
        <v>157975.55948884023</v>
      </c>
      <c r="I181" s="128">
        <f t="shared" si="522"/>
        <v>167510.31076638115</v>
      </c>
      <c r="J181" s="128">
        <f t="shared" si="523"/>
        <v>139445.85007708395</v>
      </c>
      <c r="K181" s="128">
        <f t="shared" si="524"/>
        <v>141716.04880992393</v>
      </c>
      <c r="M181" s="36"/>
      <c r="N181" s="32">
        <f t="shared" si="525"/>
        <v>137</v>
      </c>
      <c r="O181" s="25">
        <f t="shared" si="526"/>
        <v>0.4729181384953991</v>
      </c>
      <c r="P181" s="25">
        <f t="shared" si="527"/>
        <v>0.45398311572018724</v>
      </c>
      <c r="Q181" s="25">
        <f t="shared" si="528"/>
        <v>0.48948965199725158</v>
      </c>
      <c r="R181" s="25">
        <f t="shared" si="457"/>
        <v>0.4984160800394779</v>
      </c>
      <c r="S181" s="25">
        <f t="shared" si="458"/>
        <v>0.58346807697679925</v>
      </c>
      <c r="T181" s="25">
        <f t="shared" si="459"/>
        <v>0.57975559488840234</v>
      </c>
      <c r="U181" s="25">
        <f t="shared" si="460"/>
        <v>0.67510310766381143</v>
      </c>
      <c r="V181" s="25">
        <f t="shared" si="461"/>
        <v>0.39445850077083944</v>
      </c>
      <c r="W181" s="25">
        <f t="shared" si="462"/>
        <v>0.41716048809923922</v>
      </c>
      <c r="X181" s="36"/>
      <c r="Y181" s="36"/>
      <c r="AA181" s="124">
        <f t="shared" si="529"/>
        <v>138</v>
      </c>
      <c r="AB181" s="128">
        <f t="shared" si="463"/>
        <v>142077.48011499242</v>
      </c>
      <c r="AC181" s="124">
        <f t="shared" si="530"/>
        <v>138</v>
      </c>
      <c r="AD181" s="130">
        <f t="shared" si="531"/>
        <v>3.7499999999999999E-2</v>
      </c>
      <c r="AE181" s="127">
        <f t="shared" si="532"/>
        <v>1460</v>
      </c>
      <c r="AF181" s="128">
        <f t="shared" si="533"/>
        <v>145858.6</v>
      </c>
      <c r="AG181" s="128">
        <f t="shared" si="552"/>
        <v>146000</v>
      </c>
      <c r="AH181" s="128">
        <f t="shared" si="357"/>
        <v>146000</v>
      </c>
      <c r="AI181" s="130">
        <f t="shared" si="464"/>
        <v>3.7499999999999999E-2</v>
      </c>
      <c r="AJ181" s="128">
        <f t="shared" si="465"/>
        <v>146456.25</v>
      </c>
      <c r="AK181" s="128" t="str">
        <f t="shared" si="466"/>
        <v>nie</v>
      </c>
      <c r="AL181" s="128">
        <f t="shared" si="467"/>
        <v>730</v>
      </c>
      <c r="AM181" s="128">
        <f t="shared" si="361"/>
        <v>145778.26250000001</v>
      </c>
      <c r="AN181" s="128">
        <f t="shared" si="468"/>
        <v>369.5625</v>
      </c>
      <c r="AO181" s="130">
        <f t="shared" si="469"/>
        <v>3.5999999999999997E-2</v>
      </c>
      <c r="AP181" s="128">
        <f t="shared" si="470"/>
        <v>2257.2523161942809</v>
      </c>
      <c r="AQ181" s="128">
        <f t="shared" si="362"/>
        <v>147665.95231619431</v>
      </c>
      <c r="AS181" s="124">
        <f t="shared" si="534"/>
        <v>138</v>
      </c>
      <c r="AT181" s="130">
        <f t="shared" si="535"/>
        <v>3.7499999999999999E-2</v>
      </c>
      <c r="AU181" s="127">
        <f t="shared" si="536"/>
        <v>1397</v>
      </c>
      <c r="AV181" s="128">
        <f t="shared" si="537"/>
        <v>139568.90000000002</v>
      </c>
      <c r="AW181" s="128">
        <f t="shared" si="363"/>
        <v>139700</v>
      </c>
      <c r="AX181" s="128">
        <f t="shared" si="358"/>
        <v>139700</v>
      </c>
      <c r="AY181" s="130">
        <f t="shared" si="471"/>
        <v>3.9E-2</v>
      </c>
      <c r="AZ181" s="128">
        <f t="shared" si="472"/>
        <v>140154.02499999999</v>
      </c>
      <c r="BA181" s="128" t="str">
        <f t="shared" si="473"/>
        <v>nie</v>
      </c>
      <c r="BB181" s="128">
        <f t="shared" si="474"/>
        <v>977.9</v>
      </c>
      <c r="BC181" s="128">
        <f t="shared" si="367"/>
        <v>139275.66125</v>
      </c>
      <c r="BD181" s="128">
        <f t="shared" si="475"/>
        <v>367.76024999999532</v>
      </c>
      <c r="BE181" s="130">
        <f t="shared" si="476"/>
        <v>3.5999999999999997E-2</v>
      </c>
      <c r="BF181" s="128">
        <f t="shared" si="477"/>
        <v>6873.9425197087085</v>
      </c>
      <c r="BG181" s="128">
        <f t="shared" si="368"/>
        <v>145781.84351970872</v>
      </c>
      <c r="BI181" s="124">
        <f t="shared" si="538"/>
        <v>138</v>
      </c>
      <c r="BJ181" s="130">
        <f t="shared" si="558"/>
        <v>3.9100000000000003E-2</v>
      </c>
      <c r="BK181" s="127">
        <f t="shared" si="539"/>
        <v>1376</v>
      </c>
      <c r="BL181" s="128">
        <f t="shared" si="540"/>
        <v>137462.39999999999</v>
      </c>
      <c r="BM181" s="128">
        <f t="shared" si="553"/>
        <v>137600</v>
      </c>
      <c r="BN181" s="128">
        <f t="shared" si="541"/>
        <v>149975.1936</v>
      </c>
      <c r="BO181" s="130">
        <f t="shared" si="478"/>
        <v>4.3999999999999997E-2</v>
      </c>
      <c r="BP181" s="128">
        <f t="shared" si="479"/>
        <v>153274.64785919999</v>
      </c>
      <c r="BQ181" s="128" t="str">
        <f t="shared" si="480"/>
        <v>nie</v>
      </c>
      <c r="BR181" s="128">
        <f t="shared" si="481"/>
        <v>1376</v>
      </c>
      <c r="BS181" s="128">
        <f t="shared" si="364"/>
        <v>149181.904765952</v>
      </c>
      <c r="BT181" s="128">
        <f t="shared" si="456"/>
        <v>0</v>
      </c>
      <c r="BU181" s="130">
        <f t="shared" si="482"/>
        <v>3.5999999999999997E-2</v>
      </c>
      <c r="BV181" s="128">
        <f t="shared" si="483"/>
        <v>213.00310158894425</v>
      </c>
      <c r="BW181" s="128">
        <f t="shared" si="365"/>
        <v>149394.90786754095</v>
      </c>
      <c r="BY181" s="130">
        <f t="shared" si="452"/>
        <v>3.1E-2</v>
      </c>
      <c r="BZ181" s="127">
        <f t="shared" si="542"/>
        <v>1341</v>
      </c>
      <c r="CA181" s="128">
        <f t="shared" si="543"/>
        <v>133979.79999999999</v>
      </c>
      <c r="CB181" s="128">
        <f t="shared" si="366"/>
        <v>134100</v>
      </c>
      <c r="CC181" s="128">
        <f t="shared" si="359"/>
        <v>134100</v>
      </c>
      <c r="CD181" s="130">
        <f t="shared" si="484"/>
        <v>4.5999999999999999E-2</v>
      </c>
      <c r="CE181" s="128">
        <f t="shared" si="485"/>
        <v>137184.29999999999</v>
      </c>
      <c r="CF181" s="128" t="str">
        <f t="shared" si="486"/>
        <v>nie</v>
      </c>
      <c r="CG181" s="128">
        <f t="shared" si="487"/>
        <v>2682</v>
      </c>
      <c r="CH181" s="128">
        <f t="shared" si="369"/>
        <v>134425.86299999998</v>
      </c>
      <c r="CI181" s="128">
        <f t="shared" si="488"/>
        <v>0</v>
      </c>
      <c r="CJ181" s="130">
        <f t="shared" si="489"/>
        <v>3.5999999999999997E-2</v>
      </c>
      <c r="CK181" s="128">
        <f t="shared" si="490"/>
        <v>15870.597568922396</v>
      </c>
      <c r="CL181" s="128">
        <f t="shared" si="491"/>
        <v>150296.46056892237</v>
      </c>
      <c r="CN181" s="127">
        <f t="shared" si="544"/>
        <v>1526</v>
      </c>
      <c r="CO181" s="128">
        <f t="shared" si="545"/>
        <v>152447.4</v>
      </c>
      <c r="CP181" s="128">
        <f t="shared" si="546"/>
        <v>152600</v>
      </c>
      <c r="CQ181" s="128">
        <f t="shared" si="547"/>
        <v>160764.1</v>
      </c>
      <c r="CR181" s="130">
        <f t="shared" si="492"/>
        <v>5.1000000000000004E-2</v>
      </c>
      <c r="CS181" s="128">
        <f t="shared" si="493"/>
        <v>164863.58455000003</v>
      </c>
      <c r="CT181" s="128" t="str">
        <f t="shared" si="494"/>
        <v>nie</v>
      </c>
      <c r="CU181" s="128">
        <f t="shared" si="495"/>
        <v>4578</v>
      </c>
      <c r="CV181" s="128">
        <f t="shared" si="496"/>
        <v>158825.32348550003</v>
      </c>
      <c r="CW181" s="128">
        <f t="shared" si="453"/>
        <v>0</v>
      </c>
      <c r="CX181" s="130">
        <f t="shared" si="497"/>
        <v>3.5999999999999997E-2</v>
      </c>
      <c r="CY181" s="128">
        <f t="shared" si="498"/>
        <v>75.096668972161552</v>
      </c>
      <c r="CZ181" s="128">
        <f t="shared" si="499"/>
        <v>158900.4201544722</v>
      </c>
      <c r="DA181" s="20"/>
      <c r="DB181" s="127">
        <f t="shared" si="554"/>
        <v>1280</v>
      </c>
      <c r="DC181" s="128">
        <f t="shared" si="555"/>
        <v>128000</v>
      </c>
      <c r="DD181" s="128">
        <f t="shared" si="548"/>
        <v>128000</v>
      </c>
      <c r="DE181" s="128">
        <f t="shared" si="549"/>
        <v>163987.26882061435</v>
      </c>
      <c r="DF181" s="130">
        <f t="shared" si="500"/>
        <v>5.1000000000000004E-2</v>
      </c>
      <c r="DG181" s="128">
        <f t="shared" si="501"/>
        <v>168168.94417554003</v>
      </c>
      <c r="DH181" s="128" t="str">
        <f t="shared" si="502"/>
        <v>nie</v>
      </c>
      <c r="DI181" s="128">
        <f t="shared" si="503"/>
        <v>2560</v>
      </c>
      <c r="DJ181" s="128">
        <f t="shared" si="559"/>
        <v>158463.24478218742</v>
      </c>
      <c r="DK181" s="128">
        <f t="shared" si="454"/>
        <v>0</v>
      </c>
      <c r="DL181" s="130">
        <f t="shared" si="504"/>
        <v>3.5999999999999997E-2</v>
      </c>
      <c r="DM181" s="128">
        <f t="shared" si="505"/>
        <v>77.027602905131175</v>
      </c>
      <c r="DN181" s="128">
        <f t="shared" si="506"/>
        <v>158540.27238509257</v>
      </c>
      <c r="DP181" s="127">
        <f t="shared" si="556"/>
        <v>1000</v>
      </c>
      <c r="DQ181" s="128">
        <f t="shared" si="557"/>
        <v>100000</v>
      </c>
      <c r="DR181" s="128">
        <f t="shared" si="550"/>
        <v>100000</v>
      </c>
      <c r="DS181" s="128">
        <f t="shared" si="551"/>
        <v>182097.12964939213</v>
      </c>
      <c r="DT181" s="130">
        <f t="shared" si="507"/>
        <v>5.6000000000000001E-2</v>
      </c>
      <c r="DU181" s="128">
        <f t="shared" si="508"/>
        <v>187195.84927957511</v>
      </c>
      <c r="DV181" s="128" t="str">
        <f t="shared" si="509"/>
        <v>nie</v>
      </c>
      <c r="DW181" s="128">
        <f t="shared" si="510"/>
        <v>3000</v>
      </c>
      <c r="DX181" s="128">
        <f t="shared" si="511"/>
        <v>168198.63791645583</v>
      </c>
      <c r="DY181" s="128">
        <f t="shared" si="455"/>
        <v>0</v>
      </c>
      <c r="DZ181" s="130">
        <f t="shared" si="512"/>
        <v>3.5999999999999997E-2</v>
      </c>
      <c r="EA181" s="128">
        <f t="shared" si="513"/>
        <v>0</v>
      </c>
      <c r="EB181" s="128">
        <f t="shared" si="514"/>
        <v>168198.63791645583</v>
      </c>
    </row>
    <row r="182" spans="1:132">
      <c r="A182" s="212"/>
      <c r="B182" s="188">
        <f t="shared" si="515"/>
        <v>138</v>
      </c>
      <c r="C182" s="128">
        <f t="shared" si="516"/>
        <v>147665.95231619431</v>
      </c>
      <c r="D182" s="128">
        <f t="shared" si="517"/>
        <v>145781.84351970872</v>
      </c>
      <c r="E182" s="128">
        <f t="shared" si="518"/>
        <v>149394.90786754095</v>
      </c>
      <c r="F182" s="128">
        <f t="shared" si="519"/>
        <v>150296.46056892237</v>
      </c>
      <c r="G182" s="128">
        <f t="shared" si="520"/>
        <v>158900.4201544722</v>
      </c>
      <c r="H182" s="128">
        <f t="shared" si="521"/>
        <v>158540.27238509257</v>
      </c>
      <c r="I182" s="128">
        <f t="shared" si="522"/>
        <v>168198.63791645583</v>
      </c>
      <c r="J182" s="128">
        <f t="shared" si="523"/>
        <v>139784.70349277125</v>
      </c>
      <c r="K182" s="128">
        <f t="shared" si="524"/>
        <v>142077.48011499242</v>
      </c>
      <c r="M182" s="36"/>
      <c r="N182" s="32">
        <f t="shared" si="525"/>
        <v>138</v>
      </c>
      <c r="O182" s="25">
        <f t="shared" si="526"/>
        <v>0.47665952316194304</v>
      </c>
      <c r="P182" s="25">
        <f t="shared" si="527"/>
        <v>0.45781843519708731</v>
      </c>
      <c r="Q182" s="25">
        <f t="shared" si="528"/>
        <v>0.49394907867540949</v>
      </c>
      <c r="R182" s="25">
        <f t="shared" si="457"/>
        <v>0.50296460568922363</v>
      </c>
      <c r="S182" s="25">
        <f t="shared" si="458"/>
        <v>0.58900420154472211</v>
      </c>
      <c r="T182" s="25">
        <f t="shared" si="459"/>
        <v>0.58540272385092562</v>
      </c>
      <c r="U182" s="25">
        <f t="shared" si="460"/>
        <v>0.6819863791645584</v>
      </c>
      <c r="V182" s="25">
        <f t="shared" si="461"/>
        <v>0.39784703492771256</v>
      </c>
      <c r="W182" s="25">
        <f t="shared" si="462"/>
        <v>0.42077480114992416</v>
      </c>
      <c r="X182" s="36"/>
      <c r="Y182" s="36"/>
      <c r="AA182" s="124">
        <f t="shared" si="529"/>
        <v>139</v>
      </c>
      <c r="AB182" s="128">
        <f t="shared" si="463"/>
        <v>142438.9114200609</v>
      </c>
      <c r="AC182" s="124">
        <f t="shared" si="530"/>
        <v>139</v>
      </c>
      <c r="AD182" s="130">
        <f t="shared" si="531"/>
        <v>3.7499999999999999E-2</v>
      </c>
      <c r="AE182" s="127">
        <f t="shared" si="532"/>
        <v>1460</v>
      </c>
      <c r="AF182" s="128">
        <f t="shared" si="533"/>
        <v>145858.6</v>
      </c>
      <c r="AG182" s="128">
        <f t="shared" si="552"/>
        <v>146000</v>
      </c>
      <c r="AH182" s="128">
        <f t="shared" ref="AH182:AH187" si="560">AG182</f>
        <v>146000</v>
      </c>
      <c r="AI182" s="130">
        <f t="shared" si="464"/>
        <v>3.7499999999999999E-2</v>
      </c>
      <c r="AJ182" s="128">
        <f t="shared" si="465"/>
        <v>146456.25</v>
      </c>
      <c r="AK182" s="128" t="str">
        <f t="shared" si="466"/>
        <v>nie</v>
      </c>
      <c r="AL182" s="128">
        <f t="shared" si="467"/>
        <v>730</v>
      </c>
      <c r="AM182" s="128">
        <f t="shared" si="361"/>
        <v>145778.26250000001</v>
      </c>
      <c r="AN182" s="128">
        <f t="shared" si="468"/>
        <v>369.5625</v>
      </c>
      <c r="AO182" s="130">
        <f t="shared" si="469"/>
        <v>3.5999999999999997E-2</v>
      </c>
      <c r="AP182" s="128">
        <f t="shared" si="470"/>
        <v>2632.2999393226328</v>
      </c>
      <c r="AQ182" s="128">
        <f t="shared" si="362"/>
        <v>148040.99993932265</v>
      </c>
      <c r="AS182" s="124">
        <f t="shared" si="534"/>
        <v>139</v>
      </c>
      <c r="AT182" s="130">
        <f t="shared" si="535"/>
        <v>3.7499999999999999E-2</v>
      </c>
      <c r="AU182" s="127">
        <f t="shared" si="536"/>
        <v>1397</v>
      </c>
      <c r="AV182" s="128">
        <f t="shared" si="537"/>
        <v>139568.90000000002</v>
      </c>
      <c r="AW182" s="128">
        <f t="shared" si="363"/>
        <v>139700</v>
      </c>
      <c r="AX182" s="128">
        <f t="shared" ref="AX182:AX187" si="561">AW182</f>
        <v>139700</v>
      </c>
      <c r="AY182" s="130">
        <f t="shared" si="471"/>
        <v>3.9E-2</v>
      </c>
      <c r="AZ182" s="128">
        <f t="shared" si="472"/>
        <v>140154.02499999999</v>
      </c>
      <c r="BA182" s="128" t="str">
        <f t="shared" si="473"/>
        <v>nie</v>
      </c>
      <c r="BB182" s="128">
        <f t="shared" si="474"/>
        <v>977.9</v>
      </c>
      <c r="BC182" s="128">
        <f t="shared" si="367"/>
        <v>139275.66125</v>
      </c>
      <c r="BD182" s="128">
        <f t="shared" si="475"/>
        <v>367.76024999999532</v>
      </c>
      <c r="BE182" s="130">
        <f t="shared" si="476"/>
        <v>3.5999999999999997E-2</v>
      </c>
      <c r="BF182" s="128">
        <f t="shared" si="477"/>
        <v>7258.4064500315963</v>
      </c>
      <c r="BG182" s="128">
        <f t="shared" si="368"/>
        <v>146166.3074500316</v>
      </c>
      <c r="BI182" s="124">
        <f t="shared" si="538"/>
        <v>139</v>
      </c>
      <c r="BJ182" s="130">
        <f t="shared" si="558"/>
        <v>3.9100000000000003E-2</v>
      </c>
      <c r="BK182" s="127">
        <f t="shared" si="539"/>
        <v>1376</v>
      </c>
      <c r="BL182" s="128">
        <f t="shared" si="540"/>
        <v>137462.39999999999</v>
      </c>
      <c r="BM182" s="128">
        <f t="shared" si="553"/>
        <v>137600</v>
      </c>
      <c r="BN182" s="128">
        <f t="shared" si="541"/>
        <v>149975.1936</v>
      </c>
      <c r="BO182" s="130">
        <f t="shared" si="478"/>
        <v>4.3999999999999997E-2</v>
      </c>
      <c r="BP182" s="128">
        <f t="shared" si="479"/>
        <v>153824.55690240001</v>
      </c>
      <c r="BQ182" s="128" t="str">
        <f t="shared" si="480"/>
        <v>nie</v>
      </c>
      <c r="BR182" s="128">
        <f t="shared" si="481"/>
        <v>1376</v>
      </c>
      <c r="BS182" s="128">
        <f t="shared" si="364"/>
        <v>149627.331090944</v>
      </c>
      <c r="BT182" s="128">
        <f t="shared" si="456"/>
        <v>0</v>
      </c>
      <c r="BU182" s="130">
        <f t="shared" si="482"/>
        <v>3.5999999999999997E-2</v>
      </c>
      <c r="BV182" s="128">
        <f t="shared" si="483"/>
        <v>213.52069912580538</v>
      </c>
      <c r="BW182" s="128">
        <f t="shared" si="365"/>
        <v>149840.85179006981</v>
      </c>
      <c r="BY182" s="130">
        <f t="shared" si="452"/>
        <v>3.1E-2</v>
      </c>
      <c r="BZ182" s="127">
        <f t="shared" si="542"/>
        <v>1341</v>
      </c>
      <c r="CA182" s="128">
        <f t="shared" si="543"/>
        <v>133979.79999999999</v>
      </c>
      <c r="CB182" s="128">
        <f t="shared" si="366"/>
        <v>134100</v>
      </c>
      <c r="CC182" s="128">
        <f t="shared" ref="CC182:CC187" si="562">CB182</f>
        <v>134100</v>
      </c>
      <c r="CD182" s="130">
        <f t="shared" si="484"/>
        <v>4.5999999999999999E-2</v>
      </c>
      <c r="CE182" s="128">
        <f t="shared" si="485"/>
        <v>137698.34999999998</v>
      </c>
      <c r="CF182" s="128" t="str">
        <f t="shared" si="486"/>
        <v>nie</v>
      </c>
      <c r="CG182" s="128">
        <f t="shared" si="487"/>
        <v>2682</v>
      </c>
      <c r="CH182" s="128">
        <f t="shared" si="369"/>
        <v>134842.24349999998</v>
      </c>
      <c r="CI182" s="128">
        <f t="shared" si="488"/>
        <v>0</v>
      </c>
      <c r="CJ182" s="130">
        <f t="shared" si="489"/>
        <v>3.5999999999999997E-2</v>
      </c>
      <c r="CK182" s="128">
        <f t="shared" si="490"/>
        <v>15909.163121014877</v>
      </c>
      <c r="CL182" s="128">
        <f t="shared" si="491"/>
        <v>150751.40662101487</v>
      </c>
      <c r="CN182" s="127">
        <f t="shared" si="544"/>
        <v>1526</v>
      </c>
      <c r="CO182" s="128">
        <f t="shared" si="545"/>
        <v>152447.4</v>
      </c>
      <c r="CP182" s="128">
        <f t="shared" si="546"/>
        <v>152600</v>
      </c>
      <c r="CQ182" s="128">
        <f t="shared" si="547"/>
        <v>160764.1</v>
      </c>
      <c r="CR182" s="130">
        <f t="shared" si="492"/>
        <v>5.1000000000000004E-2</v>
      </c>
      <c r="CS182" s="128">
        <f t="shared" si="493"/>
        <v>165546.83197500001</v>
      </c>
      <c r="CT182" s="128" t="str">
        <f t="shared" si="494"/>
        <v>nie</v>
      </c>
      <c r="CU182" s="128">
        <f t="shared" si="495"/>
        <v>4578</v>
      </c>
      <c r="CV182" s="128">
        <f t="shared" si="496"/>
        <v>159378.75389975001</v>
      </c>
      <c r="CW182" s="128">
        <f t="shared" si="453"/>
        <v>0</v>
      </c>
      <c r="CX182" s="130">
        <f t="shared" si="497"/>
        <v>3.5999999999999997E-2</v>
      </c>
      <c r="CY182" s="128">
        <f t="shared" si="498"/>
        <v>75.279153877763903</v>
      </c>
      <c r="CZ182" s="128">
        <f t="shared" si="499"/>
        <v>159454.03305362776</v>
      </c>
      <c r="DA182" s="20"/>
      <c r="DB182" s="127">
        <f t="shared" si="554"/>
        <v>1280</v>
      </c>
      <c r="DC182" s="128">
        <f t="shared" si="555"/>
        <v>128000</v>
      </c>
      <c r="DD182" s="128">
        <f t="shared" si="548"/>
        <v>128000</v>
      </c>
      <c r="DE182" s="128">
        <f t="shared" si="549"/>
        <v>163987.26882061435</v>
      </c>
      <c r="DF182" s="130">
        <f t="shared" si="500"/>
        <v>5.1000000000000004E-2</v>
      </c>
      <c r="DG182" s="128">
        <f t="shared" si="501"/>
        <v>168865.89006802763</v>
      </c>
      <c r="DH182" s="128" t="str">
        <f t="shared" si="502"/>
        <v>nie</v>
      </c>
      <c r="DI182" s="128">
        <f t="shared" si="503"/>
        <v>2560</v>
      </c>
      <c r="DJ182" s="128">
        <f t="shared" si="559"/>
        <v>159027.77095510237</v>
      </c>
      <c r="DK182" s="128">
        <f t="shared" si="454"/>
        <v>0</v>
      </c>
      <c r="DL182" s="130">
        <f t="shared" si="504"/>
        <v>3.5999999999999997E-2</v>
      </c>
      <c r="DM182" s="128">
        <f t="shared" si="505"/>
        <v>77.214779980190642</v>
      </c>
      <c r="DN182" s="128">
        <f t="shared" si="506"/>
        <v>159104.98573508256</v>
      </c>
      <c r="DP182" s="127">
        <f t="shared" si="556"/>
        <v>1000</v>
      </c>
      <c r="DQ182" s="128">
        <f t="shared" si="557"/>
        <v>100000</v>
      </c>
      <c r="DR182" s="128">
        <f t="shared" si="550"/>
        <v>100000</v>
      </c>
      <c r="DS182" s="128">
        <f t="shared" si="551"/>
        <v>182097.12964939213</v>
      </c>
      <c r="DT182" s="130">
        <f t="shared" si="507"/>
        <v>5.6000000000000001E-2</v>
      </c>
      <c r="DU182" s="128">
        <f t="shared" si="508"/>
        <v>188045.63588460558</v>
      </c>
      <c r="DV182" s="128" t="str">
        <f t="shared" si="509"/>
        <v>nie</v>
      </c>
      <c r="DW182" s="128">
        <f t="shared" si="510"/>
        <v>3000</v>
      </c>
      <c r="DX182" s="128">
        <f t="shared" si="511"/>
        <v>168886.96506653051</v>
      </c>
      <c r="DY182" s="128">
        <f t="shared" si="455"/>
        <v>0</v>
      </c>
      <c r="DZ182" s="130">
        <f t="shared" si="512"/>
        <v>3.5999999999999997E-2</v>
      </c>
      <c r="EA182" s="128">
        <f t="shared" si="513"/>
        <v>0</v>
      </c>
      <c r="EB182" s="128">
        <f t="shared" si="514"/>
        <v>168886.96506653051</v>
      </c>
    </row>
    <row r="183" spans="1:132">
      <c r="A183" s="212"/>
      <c r="B183" s="188">
        <f t="shared" si="515"/>
        <v>139</v>
      </c>
      <c r="C183" s="128">
        <f t="shared" si="516"/>
        <v>148040.99993932265</v>
      </c>
      <c r="D183" s="128">
        <f t="shared" si="517"/>
        <v>146166.3074500316</v>
      </c>
      <c r="E183" s="128">
        <f t="shared" si="518"/>
        <v>149840.85179006981</v>
      </c>
      <c r="F183" s="128">
        <f t="shared" si="519"/>
        <v>150751.40662101487</v>
      </c>
      <c r="G183" s="128">
        <f t="shared" si="520"/>
        <v>159454.03305362776</v>
      </c>
      <c r="H183" s="128">
        <f t="shared" si="521"/>
        <v>159104.98573508256</v>
      </c>
      <c r="I183" s="128">
        <f t="shared" si="522"/>
        <v>168886.96506653051</v>
      </c>
      <c r="J183" s="128">
        <f t="shared" si="523"/>
        <v>140124.38032225869</v>
      </c>
      <c r="K183" s="128">
        <f t="shared" si="524"/>
        <v>142438.9114200609</v>
      </c>
      <c r="M183" s="36"/>
      <c r="N183" s="32">
        <f t="shared" si="525"/>
        <v>139</v>
      </c>
      <c r="O183" s="25">
        <f t="shared" si="526"/>
        <v>0.48040999939322648</v>
      </c>
      <c r="P183" s="25">
        <f t="shared" si="527"/>
        <v>0.46166307450031607</v>
      </c>
      <c r="Q183" s="25">
        <f t="shared" si="528"/>
        <v>0.49840851790069807</v>
      </c>
      <c r="R183" s="25">
        <f t="shared" si="457"/>
        <v>0.50751406621014872</v>
      </c>
      <c r="S183" s="25">
        <f t="shared" si="458"/>
        <v>0.59454033053627753</v>
      </c>
      <c r="T183" s="25">
        <f t="shared" si="459"/>
        <v>0.5910498573508256</v>
      </c>
      <c r="U183" s="25">
        <f t="shared" si="460"/>
        <v>0.68886965066530514</v>
      </c>
      <c r="V183" s="25">
        <f t="shared" si="461"/>
        <v>0.4012438032225869</v>
      </c>
      <c r="W183" s="25">
        <f t="shared" si="462"/>
        <v>0.4243891142006091</v>
      </c>
      <c r="X183" s="36"/>
      <c r="Y183" s="36"/>
      <c r="AA183" s="124">
        <f t="shared" si="529"/>
        <v>140</v>
      </c>
      <c r="AB183" s="128">
        <f t="shared" si="463"/>
        <v>142800.34272512942</v>
      </c>
      <c r="AC183" s="124">
        <f t="shared" si="530"/>
        <v>140</v>
      </c>
      <c r="AD183" s="130">
        <f t="shared" si="531"/>
        <v>3.7499999999999999E-2</v>
      </c>
      <c r="AE183" s="127">
        <f t="shared" si="532"/>
        <v>1460</v>
      </c>
      <c r="AF183" s="128">
        <f t="shared" si="533"/>
        <v>145858.6</v>
      </c>
      <c r="AG183" s="128">
        <f t="shared" si="552"/>
        <v>146000</v>
      </c>
      <c r="AH183" s="128">
        <f t="shared" si="560"/>
        <v>146000</v>
      </c>
      <c r="AI183" s="130">
        <f t="shared" si="464"/>
        <v>3.7499999999999999E-2</v>
      </c>
      <c r="AJ183" s="128">
        <f t="shared" si="465"/>
        <v>146456.25</v>
      </c>
      <c r="AK183" s="128" t="str">
        <f t="shared" si="466"/>
        <v>nie</v>
      </c>
      <c r="AL183" s="128">
        <f t="shared" si="467"/>
        <v>730</v>
      </c>
      <c r="AM183" s="128">
        <f t="shared" si="361"/>
        <v>145778.26250000001</v>
      </c>
      <c r="AN183" s="128">
        <f t="shared" si="468"/>
        <v>369.5625</v>
      </c>
      <c r="AO183" s="130">
        <f t="shared" si="469"/>
        <v>3.5999999999999997E-2</v>
      </c>
      <c r="AP183" s="128">
        <f t="shared" si="470"/>
        <v>3008.2589281751866</v>
      </c>
      <c r="AQ183" s="128">
        <f t="shared" si="362"/>
        <v>148416.95892817521</v>
      </c>
      <c r="AS183" s="124">
        <f t="shared" si="534"/>
        <v>140</v>
      </c>
      <c r="AT183" s="130">
        <f t="shared" si="535"/>
        <v>3.7499999999999999E-2</v>
      </c>
      <c r="AU183" s="127">
        <f t="shared" si="536"/>
        <v>1397</v>
      </c>
      <c r="AV183" s="128">
        <f t="shared" si="537"/>
        <v>139568.90000000002</v>
      </c>
      <c r="AW183" s="128">
        <f t="shared" si="363"/>
        <v>139700</v>
      </c>
      <c r="AX183" s="128">
        <f t="shared" si="561"/>
        <v>139700</v>
      </c>
      <c r="AY183" s="130">
        <f t="shared" si="471"/>
        <v>3.9E-2</v>
      </c>
      <c r="AZ183" s="128">
        <f t="shared" si="472"/>
        <v>140154.02499999999</v>
      </c>
      <c r="BA183" s="128" t="str">
        <f t="shared" si="473"/>
        <v>nie</v>
      </c>
      <c r="BB183" s="128">
        <f t="shared" si="474"/>
        <v>977.9</v>
      </c>
      <c r="BC183" s="128">
        <f t="shared" si="367"/>
        <v>139275.66125</v>
      </c>
      <c r="BD183" s="128">
        <f t="shared" si="475"/>
        <v>367.76024999999532</v>
      </c>
      <c r="BE183" s="130">
        <f t="shared" si="476"/>
        <v>3.5999999999999997E-2</v>
      </c>
      <c r="BF183" s="128">
        <f t="shared" si="477"/>
        <v>7643.8046277051681</v>
      </c>
      <c r="BG183" s="128">
        <f t="shared" si="368"/>
        <v>146551.70562770517</v>
      </c>
      <c r="BI183" s="124">
        <f t="shared" si="538"/>
        <v>140</v>
      </c>
      <c r="BJ183" s="130">
        <f t="shared" si="558"/>
        <v>3.9100000000000003E-2</v>
      </c>
      <c r="BK183" s="127">
        <f t="shared" si="539"/>
        <v>1376</v>
      </c>
      <c r="BL183" s="128">
        <f t="shared" si="540"/>
        <v>137462.39999999999</v>
      </c>
      <c r="BM183" s="128">
        <f t="shared" si="553"/>
        <v>137600</v>
      </c>
      <c r="BN183" s="128">
        <f t="shared" si="541"/>
        <v>149975.1936</v>
      </c>
      <c r="BO183" s="130">
        <f t="shared" si="478"/>
        <v>4.3999999999999997E-2</v>
      </c>
      <c r="BP183" s="128">
        <f t="shared" si="479"/>
        <v>154374.46594560001</v>
      </c>
      <c r="BQ183" s="128" t="str">
        <f t="shared" si="480"/>
        <v>nie</v>
      </c>
      <c r="BR183" s="128">
        <f t="shared" si="481"/>
        <v>1376</v>
      </c>
      <c r="BS183" s="128">
        <f t="shared" si="364"/>
        <v>150072.75741593601</v>
      </c>
      <c r="BT183" s="128">
        <f t="shared" si="456"/>
        <v>0</v>
      </c>
      <c r="BU183" s="130">
        <f t="shared" si="482"/>
        <v>3.5999999999999997E-2</v>
      </c>
      <c r="BV183" s="128">
        <f t="shared" si="483"/>
        <v>214.03955442468109</v>
      </c>
      <c r="BW183" s="128">
        <f t="shared" si="365"/>
        <v>150286.79697036068</v>
      </c>
      <c r="BY183" s="130">
        <f t="shared" si="452"/>
        <v>3.1E-2</v>
      </c>
      <c r="BZ183" s="127">
        <f t="shared" si="542"/>
        <v>1341</v>
      </c>
      <c r="CA183" s="128">
        <f t="shared" si="543"/>
        <v>133979.79999999999</v>
      </c>
      <c r="CB183" s="128">
        <f t="shared" si="366"/>
        <v>134100</v>
      </c>
      <c r="CC183" s="128">
        <f t="shared" si="562"/>
        <v>134100</v>
      </c>
      <c r="CD183" s="130">
        <f t="shared" si="484"/>
        <v>4.5999999999999999E-2</v>
      </c>
      <c r="CE183" s="128">
        <f t="shared" si="485"/>
        <v>138212.4</v>
      </c>
      <c r="CF183" s="128" t="str">
        <f t="shared" si="486"/>
        <v>nie</v>
      </c>
      <c r="CG183" s="128">
        <f t="shared" si="487"/>
        <v>2682</v>
      </c>
      <c r="CH183" s="128">
        <f t="shared" si="369"/>
        <v>135258.62399999998</v>
      </c>
      <c r="CI183" s="128">
        <f t="shared" si="488"/>
        <v>0</v>
      </c>
      <c r="CJ183" s="130">
        <f t="shared" si="489"/>
        <v>3.5999999999999997E-2</v>
      </c>
      <c r="CK183" s="128">
        <f t="shared" si="490"/>
        <v>15947.822387398943</v>
      </c>
      <c r="CL183" s="128">
        <f t="shared" si="491"/>
        <v>151206.44638739893</v>
      </c>
      <c r="CN183" s="127">
        <f t="shared" si="544"/>
        <v>1526</v>
      </c>
      <c r="CO183" s="128">
        <f t="shared" si="545"/>
        <v>152447.4</v>
      </c>
      <c r="CP183" s="128">
        <f t="shared" si="546"/>
        <v>152600</v>
      </c>
      <c r="CQ183" s="128">
        <f t="shared" si="547"/>
        <v>160764.1</v>
      </c>
      <c r="CR183" s="130">
        <f t="shared" si="492"/>
        <v>5.1000000000000004E-2</v>
      </c>
      <c r="CS183" s="128">
        <f t="shared" si="493"/>
        <v>166230.07940000002</v>
      </c>
      <c r="CT183" s="128" t="str">
        <f t="shared" si="494"/>
        <v>nie</v>
      </c>
      <c r="CU183" s="128">
        <f t="shared" si="495"/>
        <v>4578</v>
      </c>
      <c r="CV183" s="128">
        <f t="shared" si="496"/>
        <v>159932.18431400001</v>
      </c>
      <c r="CW183" s="128">
        <f t="shared" si="453"/>
        <v>0</v>
      </c>
      <c r="CX183" s="130">
        <f t="shared" si="497"/>
        <v>3.5999999999999997E-2</v>
      </c>
      <c r="CY183" s="128">
        <f t="shared" si="498"/>
        <v>75.46208222168687</v>
      </c>
      <c r="CZ183" s="128">
        <f t="shared" si="499"/>
        <v>160007.64639622171</v>
      </c>
      <c r="DA183" s="20"/>
      <c r="DB183" s="127">
        <f t="shared" si="554"/>
        <v>1280</v>
      </c>
      <c r="DC183" s="128">
        <f t="shared" si="555"/>
        <v>128000</v>
      </c>
      <c r="DD183" s="128">
        <f t="shared" si="548"/>
        <v>128000</v>
      </c>
      <c r="DE183" s="128">
        <f t="shared" si="549"/>
        <v>163987.26882061435</v>
      </c>
      <c r="DF183" s="130">
        <f t="shared" si="500"/>
        <v>5.1000000000000004E-2</v>
      </c>
      <c r="DG183" s="128">
        <f t="shared" si="501"/>
        <v>169562.83596051525</v>
      </c>
      <c r="DH183" s="128" t="str">
        <f t="shared" si="502"/>
        <v>nie</v>
      </c>
      <c r="DI183" s="128">
        <f t="shared" si="503"/>
        <v>2560</v>
      </c>
      <c r="DJ183" s="128">
        <f t="shared" si="559"/>
        <v>159592.29712801735</v>
      </c>
      <c r="DK183" s="128">
        <f t="shared" si="454"/>
        <v>0</v>
      </c>
      <c r="DL183" s="130">
        <f t="shared" si="504"/>
        <v>3.5999999999999997E-2</v>
      </c>
      <c r="DM183" s="128">
        <f t="shared" si="505"/>
        <v>77.4024118955425</v>
      </c>
      <c r="DN183" s="128">
        <f t="shared" si="506"/>
        <v>159669.69953991289</v>
      </c>
      <c r="DP183" s="127">
        <f t="shared" si="556"/>
        <v>1000</v>
      </c>
      <c r="DQ183" s="128">
        <f t="shared" si="557"/>
        <v>100000</v>
      </c>
      <c r="DR183" s="128">
        <f t="shared" si="550"/>
        <v>100000</v>
      </c>
      <c r="DS183" s="128">
        <f t="shared" si="551"/>
        <v>182097.12964939213</v>
      </c>
      <c r="DT183" s="130">
        <f t="shared" si="507"/>
        <v>5.6000000000000001E-2</v>
      </c>
      <c r="DU183" s="128">
        <f t="shared" si="508"/>
        <v>188895.42248963611</v>
      </c>
      <c r="DV183" s="128" t="str">
        <f t="shared" si="509"/>
        <v>nie</v>
      </c>
      <c r="DW183" s="128">
        <f t="shared" si="510"/>
        <v>3000</v>
      </c>
      <c r="DX183" s="128">
        <f t="shared" si="511"/>
        <v>169575.29221660524</v>
      </c>
      <c r="DY183" s="128">
        <f t="shared" si="455"/>
        <v>0</v>
      </c>
      <c r="DZ183" s="130">
        <f t="shared" si="512"/>
        <v>3.5999999999999997E-2</v>
      </c>
      <c r="EA183" s="128">
        <f t="shared" si="513"/>
        <v>0</v>
      </c>
      <c r="EB183" s="128">
        <f t="shared" si="514"/>
        <v>169575.29221660524</v>
      </c>
    </row>
    <row r="184" spans="1:132">
      <c r="A184" s="212"/>
      <c r="B184" s="188">
        <f t="shared" si="515"/>
        <v>140</v>
      </c>
      <c r="C184" s="128">
        <f t="shared" si="516"/>
        <v>148416.95892817521</v>
      </c>
      <c r="D184" s="128">
        <f t="shared" si="517"/>
        <v>146551.70562770517</v>
      </c>
      <c r="E184" s="128">
        <f t="shared" si="518"/>
        <v>150286.79697036068</v>
      </c>
      <c r="F184" s="128">
        <f t="shared" si="519"/>
        <v>151206.44638739893</v>
      </c>
      <c r="G184" s="128">
        <f t="shared" si="520"/>
        <v>160007.64639622171</v>
      </c>
      <c r="H184" s="128">
        <f t="shared" si="521"/>
        <v>159669.69953991289</v>
      </c>
      <c r="I184" s="128">
        <f t="shared" si="522"/>
        <v>169575.29221660524</v>
      </c>
      <c r="J184" s="128">
        <f t="shared" si="523"/>
        <v>140464.88256644175</v>
      </c>
      <c r="K184" s="128">
        <f t="shared" si="524"/>
        <v>142800.34272512942</v>
      </c>
      <c r="M184" s="36"/>
      <c r="N184" s="32">
        <f t="shared" si="525"/>
        <v>140</v>
      </c>
      <c r="O184" s="25">
        <f t="shared" si="526"/>
        <v>0.48416958928175213</v>
      </c>
      <c r="P184" s="25">
        <f t="shared" si="527"/>
        <v>0.46551705627705164</v>
      </c>
      <c r="Q184" s="25">
        <f t="shared" si="528"/>
        <v>0.5028679697036067</v>
      </c>
      <c r="R184" s="25">
        <f t="shared" si="457"/>
        <v>0.5120644638739893</v>
      </c>
      <c r="S184" s="25">
        <f t="shared" si="458"/>
        <v>0.60007646396221714</v>
      </c>
      <c r="T184" s="25">
        <f t="shared" si="459"/>
        <v>0.59669699539912902</v>
      </c>
      <c r="U184" s="25">
        <f t="shared" si="460"/>
        <v>0.69575292216605256</v>
      </c>
      <c r="V184" s="25">
        <f t="shared" si="461"/>
        <v>0.40464882566441762</v>
      </c>
      <c r="W184" s="25">
        <f t="shared" si="462"/>
        <v>0.42800342725129426</v>
      </c>
      <c r="X184" s="36"/>
      <c r="Y184" s="36"/>
      <c r="AA184" s="124">
        <f t="shared" si="529"/>
        <v>141</v>
      </c>
      <c r="AB184" s="128">
        <f t="shared" si="463"/>
        <v>143161.77403019794</v>
      </c>
      <c r="AC184" s="124">
        <f t="shared" si="530"/>
        <v>141</v>
      </c>
      <c r="AD184" s="130">
        <f t="shared" si="531"/>
        <v>3.7499999999999999E-2</v>
      </c>
      <c r="AE184" s="127">
        <f t="shared" si="532"/>
        <v>1460</v>
      </c>
      <c r="AF184" s="128">
        <f t="shared" si="533"/>
        <v>145858.6</v>
      </c>
      <c r="AG184" s="128">
        <f t="shared" si="552"/>
        <v>146000</v>
      </c>
      <c r="AH184" s="128">
        <f t="shared" si="560"/>
        <v>146000</v>
      </c>
      <c r="AI184" s="130">
        <f t="shared" si="464"/>
        <v>3.7499999999999999E-2</v>
      </c>
      <c r="AJ184" s="128">
        <f t="shared" si="465"/>
        <v>146456.25</v>
      </c>
      <c r="AK184" s="128" t="str">
        <f t="shared" si="466"/>
        <v>nie</v>
      </c>
      <c r="AL184" s="128">
        <f t="shared" si="467"/>
        <v>730</v>
      </c>
      <c r="AM184" s="128">
        <f t="shared" si="361"/>
        <v>145778.26250000001</v>
      </c>
      <c r="AN184" s="128">
        <f t="shared" si="468"/>
        <v>369.5625</v>
      </c>
      <c r="AO184" s="130">
        <f t="shared" si="469"/>
        <v>3.5999999999999997E-2</v>
      </c>
      <c r="AP184" s="128">
        <f t="shared" si="470"/>
        <v>3385.1314973706521</v>
      </c>
      <c r="AQ184" s="128">
        <f t="shared" si="362"/>
        <v>148793.83149737067</v>
      </c>
      <c r="AS184" s="124">
        <f t="shared" si="534"/>
        <v>141</v>
      </c>
      <c r="AT184" s="130">
        <f t="shared" si="535"/>
        <v>3.7499999999999999E-2</v>
      </c>
      <c r="AU184" s="127">
        <f t="shared" si="536"/>
        <v>1397</v>
      </c>
      <c r="AV184" s="128">
        <f t="shared" si="537"/>
        <v>139568.90000000002</v>
      </c>
      <c r="AW184" s="128">
        <f t="shared" si="363"/>
        <v>139700</v>
      </c>
      <c r="AX184" s="128">
        <f t="shared" si="561"/>
        <v>139700</v>
      </c>
      <c r="AY184" s="130">
        <f t="shared" si="471"/>
        <v>3.9E-2</v>
      </c>
      <c r="AZ184" s="128">
        <f t="shared" si="472"/>
        <v>140154.02499999999</v>
      </c>
      <c r="BA184" s="128" t="str">
        <f t="shared" si="473"/>
        <v>nie</v>
      </c>
      <c r="BB184" s="128">
        <f t="shared" si="474"/>
        <v>977.9</v>
      </c>
      <c r="BC184" s="128">
        <f t="shared" si="367"/>
        <v>139275.66125</v>
      </c>
      <c r="BD184" s="128">
        <f t="shared" si="475"/>
        <v>367.76024999999532</v>
      </c>
      <c r="BE184" s="130">
        <f t="shared" si="476"/>
        <v>3.5999999999999997E-2</v>
      </c>
      <c r="BF184" s="128">
        <f t="shared" si="477"/>
        <v>8030.1393229504865</v>
      </c>
      <c r="BG184" s="128">
        <f t="shared" si="368"/>
        <v>146938.04032295049</v>
      </c>
      <c r="BI184" s="124">
        <f t="shared" si="538"/>
        <v>141</v>
      </c>
      <c r="BJ184" s="130">
        <f t="shared" si="558"/>
        <v>3.9100000000000003E-2</v>
      </c>
      <c r="BK184" s="127">
        <f t="shared" si="539"/>
        <v>1376</v>
      </c>
      <c r="BL184" s="128">
        <f t="shared" si="540"/>
        <v>137462.39999999999</v>
      </c>
      <c r="BM184" s="128">
        <f t="shared" si="553"/>
        <v>137600</v>
      </c>
      <c r="BN184" s="128">
        <f t="shared" si="541"/>
        <v>149975.1936</v>
      </c>
      <c r="BO184" s="130">
        <f t="shared" si="478"/>
        <v>4.3999999999999997E-2</v>
      </c>
      <c r="BP184" s="128">
        <f t="shared" si="479"/>
        <v>154924.37498879997</v>
      </c>
      <c r="BQ184" s="128" t="str">
        <f t="shared" si="480"/>
        <v>nie</v>
      </c>
      <c r="BR184" s="128">
        <f t="shared" si="481"/>
        <v>1376</v>
      </c>
      <c r="BS184" s="128">
        <f t="shared" si="364"/>
        <v>150518.18374092798</v>
      </c>
      <c r="BT184" s="128">
        <f t="shared" si="456"/>
        <v>0</v>
      </c>
      <c r="BU184" s="130">
        <f t="shared" si="482"/>
        <v>3.5999999999999997E-2</v>
      </c>
      <c r="BV184" s="128">
        <f t="shared" si="483"/>
        <v>214.55967054193306</v>
      </c>
      <c r="BW184" s="128">
        <f t="shared" si="365"/>
        <v>150732.74341146991</v>
      </c>
      <c r="BY184" s="130">
        <f t="shared" si="452"/>
        <v>3.1E-2</v>
      </c>
      <c r="BZ184" s="127">
        <f t="shared" si="542"/>
        <v>1341</v>
      </c>
      <c r="CA184" s="128">
        <f t="shared" si="543"/>
        <v>133979.79999999999</v>
      </c>
      <c r="CB184" s="128">
        <f t="shared" si="366"/>
        <v>134100</v>
      </c>
      <c r="CC184" s="128">
        <f t="shared" si="562"/>
        <v>134100</v>
      </c>
      <c r="CD184" s="130">
        <f t="shared" si="484"/>
        <v>4.5999999999999999E-2</v>
      </c>
      <c r="CE184" s="128">
        <f t="shared" si="485"/>
        <v>138726.44999999998</v>
      </c>
      <c r="CF184" s="128" t="str">
        <f t="shared" si="486"/>
        <v>nie</v>
      </c>
      <c r="CG184" s="128">
        <f t="shared" si="487"/>
        <v>2682</v>
      </c>
      <c r="CH184" s="128">
        <f t="shared" si="369"/>
        <v>135675.00449999998</v>
      </c>
      <c r="CI184" s="128">
        <f t="shared" si="488"/>
        <v>0</v>
      </c>
      <c r="CJ184" s="130">
        <f t="shared" si="489"/>
        <v>3.5999999999999997E-2</v>
      </c>
      <c r="CK184" s="128">
        <f t="shared" si="490"/>
        <v>15986.575595800321</v>
      </c>
      <c r="CL184" s="128">
        <f t="shared" si="491"/>
        <v>151661.58009580031</v>
      </c>
      <c r="CN184" s="127">
        <f t="shared" si="544"/>
        <v>1526</v>
      </c>
      <c r="CO184" s="128">
        <f t="shared" si="545"/>
        <v>152447.4</v>
      </c>
      <c r="CP184" s="128">
        <f t="shared" si="546"/>
        <v>152600</v>
      </c>
      <c r="CQ184" s="128">
        <f t="shared" si="547"/>
        <v>160764.1</v>
      </c>
      <c r="CR184" s="130">
        <f t="shared" si="492"/>
        <v>5.1000000000000004E-2</v>
      </c>
      <c r="CS184" s="128">
        <f t="shared" si="493"/>
        <v>166913.326825</v>
      </c>
      <c r="CT184" s="128" t="str">
        <f t="shared" si="494"/>
        <v>nie</v>
      </c>
      <c r="CU184" s="128">
        <f t="shared" si="495"/>
        <v>4578</v>
      </c>
      <c r="CV184" s="128">
        <f t="shared" si="496"/>
        <v>160485.61472824999</v>
      </c>
      <c r="CW184" s="128">
        <f t="shared" si="453"/>
        <v>0</v>
      </c>
      <c r="CX184" s="130">
        <f t="shared" si="497"/>
        <v>3.5999999999999997E-2</v>
      </c>
      <c r="CY184" s="128">
        <f t="shared" si="498"/>
        <v>75.645455081485565</v>
      </c>
      <c r="CZ184" s="128">
        <f t="shared" si="499"/>
        <v>160561.26018333147</v>
      </c>
      <c r="DA184" s="20"/>
      <c r="DB184" s="127">
        <f t="shared" si="554"/>
        <v>1280</v>
      </c>
      <c r="DC184" s="128">
        <f t="shared" si="555"/>
        <v>128000</v>
      </c>
      <c r="DD184" s="128">
        <f t="shared" si="548"/>
        <v>128000</v>
      </c>
      <c r="DE184" s="128">
        <f t="shared" si="549"/>
        <v>163987.26882061435</v>
      </c>
      <c r="DF184" s="130">
        <f t="shared" si="500"/>
        <v>5.1000000000000004E-2</v>
      </c>
      <c r="DG184" s="128">
        <f t="shared" si="501"/>
        <v>170259.78185300285</v>
      </c>
      <c r="DH184" s="128" t="str">
        <f t="shared" si="502"/>
        <v>nie</v>
      </c>
      <c r="DI184" s="128">
        <f t="shared" si="503"/>
        <v>2560</v>
      </c>
      <c r="DJ184" s="128">
        <f t="shared" si="559"/>
        <v>160156.8233009323</v>
      </c>
      <c r="DK184" s="128">
        <f t="shared" si="454"/>
        <v>0</v>
      </c>
      <c r="DL184" s="130">
        <f t="shared" si="504"/>
        <v>3.5999999999999997E-2</v>
      </c>
      <c r="DM184" s="128">
        <f t="shared" si="505"/>
        <v>77.590499756448665</v>
      </c>
      <c r="DN184" s="128">
        <f t="shared" si="506"/>
        <v>160234.41380068875</v>
      </c>
      <c r="DP184" s="127">
        <f t="shared" si="556"/>
        <v>1000</v>
      </c>
      <c r="DQ184" s="128">
        <f t="shared" si="557"/>
        <v>100000</v>
      </c>
      <c r="DR184" s="128">
        <f t="shared" si="550"/>
        <v>100000</v>
      </c>
      <c r="DS184" s="128">
        <f t="shared" si="551"/>
        <v>182097.12964939213</v>
      </c>
      <c r="DT184" s="130">
        <f t="shared" si="507"/>
        <v>5.6000000000000001E-2</v>
      </c>
      <c r="DU184" s="128">
        <f t="shared" si="508"/>
        <v>189745.20909466661</v>
      </c>
      <c r="DV184" s="128" t="str">
        <f t="shared" si="509"/>
        <v>nie</v>
      </c>
      <c r="DW184" s="128">
        <f t="shared" si="510"/>
        <v>3000</v>
      </c>
      <c r="DX184" s="128">
        <f t="shared" si="511"/>
        <v>170263.61936667995</v>
      </c>
      <c r="DY184" s="128">
        <f t="shared" si="455"/>
        <v>0</v>
      </c>
      <c r="DZ184" s="130">
        <f t="shared" si="512"/>
        <v>3.5999999999999997E-2</v>
      </c>
      <c r="EA184" s="128">
        <f t="shared" si="513"/>
        <v>0</v>
      </c>
      <c r="EB184" s="128">
        <f t="shared" si="514"/>
        <v>170263.61936667995</v>
      </c>
    </row>
    <row r="185" spans="1:132">
      <c r="A185" s="212"/>
      <c r="B185" s="188">
        <f t="shared" si="515"/>
        <v>141</v>
      </c>
      <c r="C185" s="128">
        <f t="shared" si="516"/>
        <v>148793.83149737067</v>
      </c>
      <c r="D185" s="128">
        <f t="shared" si="517"/>
        <v>146938.04032295049</v>
      </c>
      <c r="E185" s="128">
        <f t="shared" si="518"/>
        <v>150732.74341146991</v>
      </c>
      <c r="F185" s="128">
        <f t="shared" si="519"/>
        <v>151661.58009580031</v>
      </c>
      <c r="G185" s="128">
        <f t="shared" si="520"/>
        <v>160561.26018333147</v>
      </c>
      <c r="H185" s="128">
        <f t="shared" si="521"/>
        <v>160234.41380068875</v>
      </c>
      <c r="I185" s="128">
        <f t="shared" si="522"/>
        <v>170263.61936667995</v>
      </c>
      <c r="J185" s="128">
        <f t="shared" si="523"/>
        <v>140806.21223107819</v>
      </c>
      <c r="K185" s="128">
        <f t="shared" si="524"/>
        <v>143161.77403019794</v>
      </c>
      <c r="M185" s="36"/>
      <c r="N185" s="32">
        <f t="shared" si="525"/>
        <v>141</v>
      </c>
      <c r="O185" s="25">
        <f t="shared" si="526"/>
        <v>0.48793831497370665</v>
      </c>
      <c r="P185" s="25">
        <f t="shared" si="527"/>
        <v>0.46938040322950481</v>
      </c>
      <c r="Q185" s="25">
        <f t="shared" si="528"/>
        <v>0.50732743411469916</v>
      </c>
      <c r="R185" s="25">
        <f t="shared" si="457"/>
        <v>0.51661580095800308</v>
      </c>
      <c r="S185" s="25">
        <f t="shared" si="458"/>
        <v>0.60561260183331478</v>
      </c>
      <c r="T185" s="25">
        <f t="shared" si="459"/>
        <v>0.60234413800688746</v>
      </c>
      <c r="U185" s="25">
        <f t="shared" si="460"/>
        <v>0.70263619366679952</v>
      </c>
      <c r="V185" s="25">
        <f t="shared" si="461"/>
        <v>0.40806212231078187</v>
      </c>
      <c r="W185" s="25">
        <f t="shared" si="462"/>
        <v>0.43161774030197941</v>
      </c>
      <c r="X185" s="36"/>
      <c r="Y185" s="36"/>
      <c r="AA185" s="124">
        <f t="shared" si="529"/>
        <v>142</v>
      </c>
      <c r="AB185" s="128">
        <f t="shared" si="463"/>
        <v>143523.20533526642</v>
      </c>
      <c r="AC185" s="124">
        <f t="shared" si="530"/>
        <v>142</v>
      </c>
      <c r="AD185" s="130">
        <f t="shared" si="531"/>
        <v>3.7499999999999999E-2</v>
      </c>
      <c r="AE185" s="127">
        <f t="shared" si="532"/>
        <v>1460</v>
      </c>
      <c r="AF185" s="128">
        <f t="shared" si="533"/>
        <v>145858.6</v>
      </c>
      <c r="AG185" s="128">
        <f t="shared" si="552"/>
        <v>146000</v>
      </c>
      <c r="AH185" s="128">
        <f t="shared" si="560"/>
        <v>146000</v>
      </c>
      <c r="AI185" s="130">
        <f t="shared" si="464"/>
        <v>3.7499999999999999E-2</v>
      </c>
      <c r="AJ185" s="128">
        <f t="shared" si="465"/>
        <v>146456.25</v>
      </c>
      <c r="AK185" s="128" t="str">
        <f t="shared" si="466"/>
        <v>nie</v>
      </c>
      <c r="AL185" s="128">
        <f t="shared" si="467"/>
        <v>730</v>
      </c>
      <c r="AM185" s="128">
        <f t="shared" ref="AM185:AM187" si="563">AJ185-AL185
-(AJ185-AG185-AL185)*podatek_Belki</f>
        <v>145778.26250000001</v>
      </c>
      <c r="AN185" s="128">
        <f t="shared" si="468"/>
        <v>369.5625</v>
      </c>
      <c r="AO185" s="130">
        <f t="shared" si="469"/>
        <v>3.5999999999999997E-2</v>
      </c>
      <c r="AP185" s="128">
        <f t="shared" si="470"/>
        <v>3762.9198669092625</v>
      </c>
      <c r="AQ185" s="128">
        <f t="shared" ref="AQ185:AQ187" si="564">AP184*(1+AO185/12*(1-podatek_Belki))+AM185</f>
        <v>149171.61986690928</v>
      </c>
      <c r="AS185" s="124">
        <f t="shared" si="534"/>
        <v>142</v>
      </c>
      <c r="AT185" s="130">
        <f t="shared" si="535"/>
        <v>3.7499999999999999E-2</v>
      </c>
      <c r="AU185" s="127">
        <f t="shared" si="536"/>
        <v>1397</v>
      </c>
      <c r="AV185" s="128">
        <f t="shared" si="537"/>
        <v>139568.90000000002</v>
      </c>
      <c r="AW185" s="128">
        <f t="shared" ref="AW185:AW187" si="565">IF(BA184="tak",
AU185*100,
AW184)</f>
        <v>139700</v>
      </c>
      <c r="AX185" s="128">
        <f t="shared" si="561"/>
        <v>139700</v>
      </c>
      <c r="AY185" s="130">
        <f t="shared" si="471"/>
        <v>3.9E-2</v>
      </c>
      <c r="AZ185" s="128">
        <f t="shared" si="472"/>
        <v>140154.02499999999</v>
      </c>
      <c r="BA185" s="128" t="str">
        <f t="shared" si="473"/>
        <v>nie</v>
      </c>
      <c r="BB185" s="128">
        <f t="shared" si="474"/>
        <v>977.9</v>
      </c>
      <c r="BC185" s="128">
        <f t="shared" si="367"/>
        <v>139275.66125</v>
      </c>
      <c r="BD185" s="128">
        <f t="shared" si="475"/>
        <v>367.76024999999532</v>
      </c>
      <c r="BE185" s="130">
        <f t="shared" si="476"/>
        <v>3.5999999999999997E-2</v>
      </c>
      <c r="BF185" s="128">
        <f t="shared" si="477"/>
        <v>8417.4128115052517</v>
      </c>
      <c r="BG185" s="128">
        <f t="shared" si="368"/>
        <v>147325.31381150527</v>
      </c>
      <c r="BI185" s="124">
        <f t="shared" si="538"/>
        <v>142</v>
      </c>
      <c r="BJ185" s="130">
        <f t="shared" si="558"/>
        <v>3.9100000000000003E-2</v>
      </c>
      <c r="BK185" s="127">
        <f t="shared" si="539"/>
        <v>1376</v>
      </c>
      <c r="BL185" s="128">
        <f t="shared" si="540"/>
        <v>137462.39999999999</v>
      </c>
      <c r="BM185" s="128">
        <f t="shared" si="553"/>
        <v>137600</v>
      </c>
      <c r="BN185" s="128">
        <f t="shared" si="541"/>
        <v>149975.1936</v>
      </c>
      <c r="BO185" s="130">
        <f t="shared" si="478"/>
        <v>4.3999999999999997E-2</v>
      </c>
      <c r="BP185" s="128">
        <f t="shared" si="479"/>
        <v>155474.284032</v>
      </c>
      <c r="BQ185" s="128" t="str">
        <f t="shared" si="480"/>
        <v>nie</v>
      </c>
      <c r="BR185" s="128">
        <f t="shared" si="481"/>
        <v>1376</v>
      </c>
      <c r="BS185" s="128">
        <f t="shared" ref="BS185:BS187" si="566">BP185-BR185
-(BP185-BM185-BR185)*podatek_Belki</f>
        <v>150963.61006591999</v>
      </c>
      <c r="BT185" s="128">
        <f t="shared" si="456"/>
        <v>0</v>
      </c>
      <c r="BU185" s="130">
        <f t="shared" si="482"/>
        <v>3.5999999999999997E-2</v>
      </c>
      <c r="BV185" s="128">
        <f t="shared" si="483"/>
        <v>215.08105054134995</v>
      </c>
      <c r="BW185" s="128">
        <f t="shared" ref="BW185:BW187" si="567">BV184*(1+BU185/12*(1-podatek_Belki))+BS185</f>
        <v>151178.69111646133</v>
      </c>
      <c r="BY185" s="130">
        <f t="shared" si="452"/>
        <v>3.1E-2</v>
      </c>
      <c r="BZ185" s="127">
        <f t="shared" si="542"/>
        <v>1341</v>
      </c>
      <c r="CA185" s="128">
        <f t="shared" si="543"/>
        <v>133979.79999999999</v>
      </c>
      <c r="CB185" s="128">
        <f t="shared" ref="CB185:CB187" si="568">IF(CF184="tak",
BZ185*100,
CB184)</f>
        <v>134100</v>
      </c>
      <c r="CC185" s="128">
        <f t="shared" si="562"/>
        <v>134100</v>
      </c>
      <c r="CD185" s="130">
        <f t="shared" si="484"/>
        <v>4.5999999999999999E-2</v>
      </c>
      <c r="CE185" s="128">
        <f t="shared" si="485"/>
        <v>139240.5</v>
      </c>
      <c r="CF185" s="128" t="str">
        <f t="shared" si="486"/>
        <v>nie</v>
      </c>
      <c r="CG185" s="128">
        <f t="shared" si="487"/>
        <v>2682</v>
      </c>
      <c r="CH185" s="128">
        <f t="shared" si="369"/>
        <v>136091.38500000001</v>
      </c>
      <c r="CI185" s="128">
        <f t="shared" si="488"/>
        <v>0</v>
      </c>
      <c r="CJ185" s="130">
        <f t="shared" si="489"/>
        <v>3.5999999999999997E-2</v>
      </c>
      <c r="CK185" s="128">
        <f t="shared" si="490"/>
        <v>16025.422974498115</v>
      </c>
      <c r="CL185" s="128">
        <f t="shared" si="491"/>
        <v>152116.80797449814</v>
      </c>
      <c r="CN185" s="127">
        <f t="shared" si="544"/>
        <v>1526</v>
      </c>
      <c r="CO185" s="128">
        <f t="shared" si="545"/>
        <v>152447.4</v>
      </c>
      <c r="CP185" s="128">
        <f t="shared" si="546"/>
        <v>152600</v>
      </c>
      <c r="CQ185" s="128">
        <f t="shared" si="547"/>
        <v>160764.1</v>
      </c>
      <c r="CR185" s="130">
        <f t="shared" si="492"/>
        <v>5.1000000000000004E-2</v>
      </c>
      <c r="CS185" s="128">
        <f t="shared" si="493"/>
        <v>167596.57425000001</v>
      </c>
      <c r="CT185" s="128" t="str">
        <f t="shared" si="494"/>
        <v>nie</v>
      </c>
      <c r="CU185" s="128">
        <f t="shared" si="495"/>
        <v>4578</v>
      </c>
      <c r="CV185" s="128">
        <f t="shared" si="496"/>
        <v>161039.04514249999</v>
      </c>
      <c r="CW185" s="128">
        <f t="shared" si="453"/>
        <v>0</v>
      </c>
      <c r="CX185" s="130">
        <f t="shared" si="497"/>
        <v>3.5999999999999997E-2</v>
      </c>
      <c r="CY185" s="128">
        <f t="shared" si="498"/>
        <v>75.829273537333563</v>
      </c>
      <c r="CZ185" s="128">
        <f t="shared" si="499"/>
        <v>161114.87441603732</v>
      </c>
      <c r="DA185" s="20"/>
      <c r="DB185" s="127">
        <f t="shared" si="554"/>
        <v>1280</v>
      </c>
      <c r="DC185" s="128">
        <f t="shared" si="555"/>
        <v>128000</v>
      </c>
      <c r="DD185" s="128">
        <f t="shared" si="548"/>
        <v>128000</v>
      </c>
      <c r="DE185" s="128">
        <f t="shared" si="549"/>
        <v>163987.26882061435</v>
      </c>
      <c r="DF185" s="130">
        <f t="shared" si="500"/>
        <v>5.1000000000000004E-2</v>
      </c>
      <c r="DG185" s="128">
        <f t="shared" si="501"/>
        <v>170956.72774549047</v>
      </c>
      <c r="DH185" s="128" t="str">
        <f t="shared" si="502"/>
        <v>nie</v>
      </c>
      <c r="DI185" s="128">
        <f t="shared" si="503"/>
        <v>2560</v>
      </c>
      <c r="DJ185" s="128">
        <f t="shared" si="559"/>
        <v>160721.34947384728</v>
      </c>
      <c r="DK185" s="128">
        <f t="shared" si="454"/>
        <v>0</v>
      </c>
      <c r="DL185" s="130">
        <f t="shared" si="504"/>
        <v>3.5999999999999997E-2</v>
      </c>
      <c r="DM185" s="128">
        <f t="shared" si="505"/>
        <v>77.779044670856834</v>
      </c>
      <c r="DN185" s="128">
        <f t="shared" si="506"/>
        <v>160799.12851851815</v>
      </c>
      <c r="DP185" s="127">
        <f t="shared" si="556"/>
        <v>1000</v>
      </c>
      <c r="DQ185" s="128">
        <f t="shared" si="557"/>
        <v>100000</v>
      </c>
      <c r="DR185" s="128">
        <f t="shared" si="550"/>
        <v>100000</v>
      </c>
      <c r="DS185" s="128">
        <f t="shared" si="551"/>
        <v>182097.12964939213</v>
      </c>
      <c r="DT185" s="130">
        <f t="shared" si="507"/>
        <v>5.6000000000000001E-2</v>
      </c>
      <c r="DU185" s="128">
        <f t="shared" si="508"/>
        <v>190594.99569969709</v>
      </c>
      <c r="DV185" s="128" t="str">
        <f t="shared" si="509"/>
        <v>nie</v>
      </c>
      <c r="DW185" s="128">
        <f t="shared" si="510"/>
        <v>3000</v>
      </c>
      <c r="DX185" s="128">
        <f t="shared" si="511"/>
        <v>170951.94651675463</v>
      </c>
      <c r="DY185" s="128">
        <f t="shared" si="455"/>
        <v>0</v>
      </c>
      <c r="DZ185" s="130">
        <f t="shared" si="512"/>
        <v>3.5999999999999997E-2</v>
      </c>
      <c r="EA185" s="128">
        <f t="shared" si="513"/>
        <v>0</v>
      </c>
      <c r="EB185" s="128">
        <f t="shared" si="514"/>
        <v>170951.94651675463</v>
      </c>
    </row>
    <row r="186" spans="1:132">
      <c r="A186" s="212"/>
      <c r="B186" s="188">
        <f t="shared" si="515"/>
        <v>142</v>
      </c>
      <c r="C186" s="128">
        <f t="shared" si="516"/>
        <v>149171.61986690928</v>
      </c>
      <c r="D186" s="128">
        <f t="shared" si="517"/>
        <v>147325.31381150527</v>
      </c>
      <c r="E186" s="128">
        <f t="shared" si="518"/>
        <v>151178.69111646133</v>
      </c>
      <c r="F186" s="128">
        <f t="shared" si="519"/>
        <v>152116.80797449814</v>
      </c>
      <c r="G186" s="128">
        <f t="shared" si="520"/>
        <v>161114.87441603732</v>
      </c>
      <c r="H186" s="128">
        <f t="shared" si="521"/>
        <v>160799.12851851815</v>
      </c>
      <c r="I186" s="128">
        <f t="shared" si="522"/>
        <v>170951.94651675463</v>
      </c>
      <c r="J186" s="128">
        <f t="shared" si="523"/>
        <v>141148.37132679971</v>
      </c>
      <c r="K186" s="128">
        <f t="shared" si="524"/>
        <v>143523.20533526642</v>
      </c>
      <c r="M186" s="36"/>
      <c r="N186" s="32">
        <f t="shared" si="525"/>
        <v>142</v>
      </c>
      <c r="O186" s="25">
        <f t="shared" si="526"/>
        <v>0.49171619866909277</v>
      </c>
      <c r="P186" s="25">
        <f t="shared" si="527"/>
        <v>0.47325313811505265</v>
      </c>
      <c r="Q186" s="25">
        <f t="shared" si="528"/>
        <v>0.51178691116461317</v>
      </c>
      <c r="R186" s="25">
        <f t="shared" si="457"/>
        <v>0.52116807974498136</v>
      </c>
      <c r="S186" s="25">
        <f t="shared" si="458"/>
        <v>0.61114874416037313</v>
      </c>
      <c r="T186" s="25">
        <f t="shared" si="459"/>
        <v>0.60799128518518142</v>
      </c>
      <c r="U186" s="25">
        <f t="shared" si="460"/>
        <v>0.70951946516754627</v>
      </c>
      <c r="V186" s="25">
        <f t="shared" si="461"/>
        <v>0.41148371326799715</v>
      </c>
      <c r="W186" s="25">
        <f t="shared" si="462"/>
        <v>0.43523205335266413</v>
      </c>
      <c r="X186" s="36"/>
      <c r="Y186" s="36"/>
      <c r="AA186" s="124">
        <f t="shared" si="529"/>
        <v>143</v>
      </c>
      <c r="AB186" s="128">
        <f t="shared" si="463"/>
        <v>143884.63664033494</v>
      </c>
      <c r="AC186" s="124">
        <f t="shared" si="530"/>
        <v>143</v>
      </c>
      <c r="AD186" s="130">
        <f t="shared" si="531"/>
        <v>3.7499999999999999E-2</v>
      </c>
      <c r="AE186" s="127">
        <f t="shared" si="532"/>
        <v>1460</v>
      </c>
      <c r="AF186" s="128">
        <f t="shared" si="533"/>
        <v>145858.6</v>
      </c>
      <c r="AG186" s="128">
        <f t="shared" si="552"/>
        <v>146000</v>
      </c>
      <c r="AH186" s="128">
        <f t="shared" si="560"/>
        <v>146000</v>
      </c>
      <c r="AI186" s="130">
        <f t="shared" si="464"/>
        <v>3.7499999999999999E-2</v>
      </c>
      <c r="AJ186" s="128">
        <f t="shared" si="465"/>
        <v>146456.25</v>
      </c>
      <c r="AK186" s="128" t="str">
        <f t="shared" si="466"/>
        <v>nie</v>
      </c>
      <c r="AL186" s="128">
        <f t="shared" si="467"/>
        <v>730</v>
      </c>
      <c r="AM186" s="128">
        <f t="shared" si="563"/>
        <v>145778.26250000001</v>
      </c>
      <c r="AN186" s="128">
        <f t="shared" si="468"/>
        <v>369.5625</v>
      </c>
      <c r="AO186" s="130">
        <f t="shared" si="469"/>
        <v>3.5999999999999997E-2</v>
      </c>
      <c r="AP186" s="128">
        <f t="shared" si="470"/>
        <v>4141.6262621858514</v>
      </c>
      <c r="AQ186" s="128">
        <f t="shared" si="564"/>
        <v>149550.32626218587</v>
      </c>
      <c r="AS186" s="124">
        <f t="shared" si="534"/>
        <v>143</v>
      </c>
      <c r="AT186" s="130">
        <f t="shared" si="535"/>
        <v>3.7499999999999999E-2</v>
      </c>
      <c r="AU186" s="127">
        <f t="shared" si="536"/>
        <v>1397</v>
      </c>
      <c r="AV186" s="128">
        <f t="shared" si="537"/>
        <v>139568.90000000002</v>
      </c>
      <c r="AW186" s="128">
        <f t="shared" si="565"/>
        <v>139700</v>
      </c>
      <c r="AX186" s="128">
        <f t="shared" si="561"/>
        <v>139700</v>
      </c>
      <c r="AY186" s="130">
        <f t="shared" si="471"/>
        <v>3.9E-2</v>
      </c>
      <c r="AZ186" s="128">
        <f t="shared" si="472"/>
        <v>140154.02499999999</v>
      </c>
      <c r="BA186" s="128" t="str">
        <f t="shared" si="473"/>
        <v>nie</v>
      </c>
      <c r="BB186" s="128">
        <f t="shared" si="474"/>
        <v>977.9</v>
      </c>
      <c r="BC186" s="128">
        <f t="shared" si="367"/>
        <v>139275.66125</v>
      </c>
      <c r="BD186" s="128">
        <f t="shared" si="475"/>
        <v>367.76024999999532</v>
      </c>
      <c r="BE186" s="130">
        <f t="shared" si="476"/>
        <v>3.5999999999999997E-2</v>
      </c>
      <c r="BF186" s="128">
        <f t="shared" si="477"/>
        <v>8805.6273746372044</v>
      </c>
      <c r="BG186" s="128">
        <f t="shared" si="368"/>
        <v>147713.52837463722</v>
      </c>
      <c r="BI186" s="124">
        <f t="shared" si="538"/>
        <v>143</v>
      </c>
      <c r="BJ186" s="130">
        <f t="shared" si="558"/>
        <v>3.9100000000000003E-2</v>
      </c>
      <c r="BK186" s="127">
        <f t="shared" si="539"/>
        <v>1376</v>
      </c>
      <c r="BL186" s="128">
        <f t="shared" si="540"/>
        <v>137462.39999999999</v>
      </c>
      <c r="BM186" s="128">
        <f t="shared" si="553"/>
        <v>137600</v>
      </c>
      <c r="BN186" s="128">
        <f t="shared" si="541"/>
        <v>149975.1936</v>
      </c>
      <c r="BO186" s="130">
        <f t="shared" si="478"/>
        <v>4.3999999999999997E-2</v>
      </c>
      <c r="BP186" s="128">
        <f t="shared" si="479"/>
        <v>156024.19307519999</v>
      </c>
      <c r="BQ186" s="128" t="str">
        <f t="shared" si="480"/>
        <v>nie</v>
      </c>
      <c r="BR186" s="128">
        <f t="shared" si="481"/>
        <v>1376</v>
      </c>
      <c r="BS186" s="128">
        <f t="shared" si="566"/>
        <v>151409.03639091199</v>
      </c>
      <c r="BT186" s="128">
        <f t="shared" si="456"/>
        <v>0</v>
      </c>
      <c r="BU186" s="130">
        <f t="shared" si="482"/>
        <v>3.5999999999999997E-2</v>
      </c>
      <c r="BV186" s="128">
        <f t="shared" si="483"/>
        <v>215.60369749416543</v>
      </c>
      <c r="BW186" s="128">
        <f t="shared" si="567"/>
        <v>151624.64008840616</v>
      </c>
      <c r="BY186" s="130">
        <f t="shared" si="452"/>
        <v>3.1E-2</v>
      </c>
      <c r="BZ186" s="127">
        <f t="shared" si="542"/>
        <v>1341</v>
      </c>
      <c r="CA186" s="128">
        <f t="shared" si="543"/>
        <v>133979.79999999999</v>
      </c>
      <c r="CB186" s="128">
        <f t="shared" si="568"/>
        <v>134100</v>
      </c>
      <c r="CC186" s="128">
        <f t="shared" si="562"/>
        <v>134100</v>
      </c>
      <c r="CD186" s="130">
        <f t="shared" si="484"/>
        <v>4.5999999999999999E-2</v>
      </c>
      <c r="CE186" s="128">
        <f t="shared" si="485"/>
        <v>139754.54999999999</v>
      </c>
      <c r="CF186" s="128" t="str">
        <f t="shared" si="486"/>
        <v>nie</v>
      </c>
      <c r="CG186" s="128">
        <f t="shared" si="487"/>
        <v>2682</v>
      </c>
      <c r="CH186" s="128">
        <f t="shared" si="369"/>
        <v>136507.76549999998</v>
      </c>
      <c r="CI186" s="128">
        <f t="shared" si="488"/>
        <v>0</v>
      </c>
      <c r="CJ186" s="130">
        <f t="shared" si="489"/>
        <v>3.5999999999999997E-2</v>
      </c>
      <c r="CK186" s="128">
        <f t="shared" si="490"/>
        <v>16064.364752326144</v>
      </c>
      <c r="CL186" s="128">
        <f t="shared" si="491"/>
        <v>152572.13025232611</v>
      </c>
      <c r="CN186" s="127">
        <f t="shared" si="544"/>
        <v>1526</v>
      </c>
      <c r="CO186" s="128">
        <f t="shared" si="545"/>
        <v>152447.4</v>
      </c>
      <c r="CP186" s="128">
        <f t="shared" si="546"/>
        <v>152600</v>
      </c>
      <c r="CQ186" s="128">
        <f t="shared" si="547"/>
        <v>160764.1</v>
      </c>
      <c r="CR186" s="130">
        <f t="shared" si="492"/>
        <v>5.1000000000000004E-2</v>
      </c>
      <c r="CS186" s="128">
        <f t="shared" si="493"/>
        <v>168279.82167500001</v>
      </c>
      <c r="CT186" s="128" t="str">
        <f t="shared" si="494"/>
        <v>nie</v>
      </c>
      <c r="CU186" s="128">
        <f t="shared" si="495"/>
        <v>4578</v>
      </c>
      <c r="CV186" s="128">
        <f t="shared" si="496"/>
        <v>161592.47555675003</v>
      </c>
      <c r="CW186" s="128">
        <f t="shared" si="453"/>
        <v>0</v>
      </c>
      <c r="CX186" s="130">
        <f t="shared" si="497"/>
        <v>3.5999999999999997E-2</v>
      </c>
      <c r="CY186" s="128">
        <f t="shared" si="498"/>
        <v>76.013538672029284</v>
      </c>
      <c r="CZ186" s="128">
        <f t="shared" si="499"/>
        <v>161668.48909542206</v>
      </c>
      <c r="DA186" s="20"/>
      <c r="DB186" s="127">
        <f t="shared" si="554"/>
        <v>1280</v>
      </c>
      <c r="DC186" s="128">
        <f t="shared" si="555"/>
        <v>128000</v>
      </c>
      <c r="DD186" s="128">
        <f t="shared" si="548"/>
        <v>128000</v>
      </c>
      <c r="DE186" s="128">
        <f t="shared" si="549"/>
        <v>163987.26882061435</v>
      </c>
      <c r="DF186" s="130">
        <f t="shared" si="500"/>
        <v>5.1000000000000004E-2</v>
      </c>
      <c r="DG186" s="128">
        <f t="shared" si="501"/>
        <v>171653.67363797809</v>
      </c>
      <c r="DH186" s="128" t="str">
        <f t="shared" si="502"/>
        <v>nie</v>
      </c>
      <c r="DI186" s="128">
        <f t="shared" si="503"/>
        <v>2560</v>
      </c>
      <c r="DJ186" s="128">
        <f t="shared" si="559"/>
        <v>161285.87564676226</v>
      </c>
      <c r="DK186" s="128">
        <f t="shared" si="454"/>
        <v>0</v>
      </c>
      <c r="DL186" s="130">
        <f t="shared" si="504"/>
        <v>3.5999999999999997E-2</v>
      </c>
      <c r="DM186" s="128">
        <f t="shared" si="505"/>
        <v>77.968047749407006</v>
      </c>
      <c r="DN186" s="128">
        <f t="shared" si="506"/>
        <v>161363.84369451166</v>
      </c>
      <c r="DP186" s="127">
        <f t="shared" si="556"/>
        <v>1000</v>
      </c>
      <c r="DQ186" s="128">
        <f t="shared" si="557"/>
        <v>100000</v>
      </c>
      <c r="DR186" s="128">
        <f t="shared" si="550"/>
        <v>100000</v>
      </c>
      <c r="DS186" s="128">
        <f t="shared" si="551"/>
        <v>182097.12964939213</v>
      </c>
      <c r="DT186" s="130">
        <f t="shared" si="507"/>
        <v>5.6000000000000001E-2</v>
      </c>
      <c r="DU186" s="128">
        <f t="shared" si="508"/>
        <v>191444.78230472756</v>
      </c>
      <c r="DV186" s="128" t="str">
        <f t="shared" si="509"/>
        <v>nie</v>
      </c>
      <c r="DW186" s="128">
        <f t="shared" si="510"/>
        <v>3000</v>
      </c>
      <c r="DX186" s="128">
        <f t="shared" si="511"/>
        <v>171640.27366682934</v>
      </c>
      <c r="DY186" s="128">
        <f t="shared" si="455"/>
        <v>0</v>
      </c>
      <c r="DZ186" s="130">
        <f t="shared" si="512"/>
        <v>3.5999999999999997E-2</v>
      </c>
      <c r="EA186" s="128">
        <f t="shared" si="513"/>
        <v>0</v>
      </c>
      <c r="EB186" s="128">
        <f t="shared" si="514"/>
        <v>171640.27366682934</v>
      </c>
    </row>
    <row r="187" spans="1:132">
      <c r="A187" s="212"/>
      <c r="B187" s="188">
        <f t="shared" si="515"/>
        <v>143</v>
      </c>
      <c r="C187" s="128">
        <f t="shared" si="516"/>
        <v>149550.32626218587</v>
      </c>
      <c r="D187" s="128">
        <f t="shared" si="517"/>
        <v>147713.52837463722</v>
      </c>
      <c r="E187" s="128">
        <f t="shared" si="518"/>
        <v>151624.64008840616</v>
      </c>
      <c r="F187" s="128">
        <f t="shared" si="519"/>
        <v>152572.13025232611</v>
      </c>
      <c r="G187" s="128">
        <f t="shared" si="520"/>
        <v>161668.48909542206</v>
      </c>
      <c r="H187" s="128">
        <f t="shared" si="521"/>
        <v>161363.84369451166</v>
      </c>
      <c r="I187" s="128">
        <f t="shared" si="522"/>
        <v>171640.27366682934</v>
      </c>
      <c r="J187" s="128">
        <f t="shared" si="523"/>
        <v>141491.36186912382</v>
      </c>
      <c r="K187" s="128">
        <f t="shared" si="524"/>
        <v>143884.63664033494</v>
      </c>
      <c r="M187" s="36"/>
      <c r="N187" s="32">
        <f t="shared" si="525"/>
        <v>143</v>
      </c>
      <c r="O187" s="25">
        <f t="shared" si="526"/>
        <v>0.49550326262185873</v>
      </c>
      <c r="P187" s="25">
        <f t="shared" si="527"/>
        <v>0.47713528374637204</v>
      </c>
      <c r="Q187" s="25">
        <f t="shared" si="528"/>
        <v>0.51624640088406148</v>
      </c>
      <c r="R187" s="25">
        <f t="shared" si="457"/>
        <v>0.52572130252326121</v>
      </c>
      <c r="S187" s="25">
        <f t="shared" si="458"/>
        <v>0.61668489095422063</v>
      </c>
      <c r="T187" s="25">
        <f t="shared" si="459"/>
        <v>0.61363843694511666</v>
      </c>
      <c r="U187" s="25">
        <f t="shared" si="460"/>
        <v>0.71640273666829346</v>
      </c>
      <c r="V187" s="25">
        <f t="shared" si="461"/>
        <v>0.41491361869123833</v>
      </c>
      <c r="W187" s="25">
        <f t="shared" si="462"/>
        <v>0.43884636640334929</v>
      </c>
      <c r="X187" s="36"/>
      <c r="Y187" s="36"/>
      <c r="AA187" s="124">
        <f t="shared" si="529"/>
        <v>144</v>
      </c>
      <c r="AB187" s="128">
        <f t="shared" si="463"/>
        <v>144246.06794540343</v>
      </c>
      <c r="AC187" s="124">
        <f t="shared" si="530"/>
        <v>144</v>
      </c>
      <c r="AD187" s="130">
        <f t="shared" si="531"/>
        <v>3.7499999999999999E-2</v>
      </c>
      <c r="AE187" s="127">
        <f t="shared" si="532"/>
        <v>1460</v>
      </c>
      <c r="AF187" s="128">
        <f t="shared" si="533"/>
        <v>145858.6</v>
      </c>
      <c r="AG187" s="128">
        <f t="shared" si="552"/>
        <v>146000</v>
      </c>
      <c r="AH187" s="128">
        <f t="shared" si="560"/>
        <v>146000</v>
      </c>
      <c r="AI187" s="130">
        <f t="shared" si="464"/>
        <v>3.7499999999999999E-2</v>
      </c>
      <c r="AJ187" s="128">
        <f t="shared" si="465"/>
        <v>146456.25</v>
      </c>
      <c r="AK187" s="128" t="str">
        <f t="shared" si="466"/>
        <v>tak</v>
      </c>
      <c r="AL187" s="128">
        <f t="shared" si="467"/>
        <v>0</v>
      </c>
      <c r="AM187" s="128">
        <f t="shared" si="563"/>
        <v>146369.5625</v>
      </c>
      <c r="AN187" s="129"/>
      <c r="AO187" s="130">
        <f t="shared" si="469"/>
        <v>3.5999999999999997E-2</v>
      </c>
      <c r="AP187" s="128">
        <f t="shared" si="470"/>
        <v>4151.6904140029628</v>
      </c>
      <c r="AQ187" s="128">
        <f t="shared" si="564"/>
        <v>150521.25291400295</v>
      </c>
      <c r="AS187" s="124">
        <f t="shared" si="534"/>
        <v>144</v>
      </c>
      <c r="AT187" s="130">
        <f t="shared" si="535"/>
        <v>3.7499999999999999E-2</v>
      </c>
      <c r="AU187" s="127">
        <f t="shared" si="536"/>
        <v>1397</v>
      </c>
      <c r="AV187" s="128">
        <f t="shared" si="537"/>
        <v>139568.90000000002</v>
      </c>
      <c r="AW187" s="128">
        <f t="shared" si="565"/>
        <v>139700</v>
      </c>
      <c r="AX187" s="128">
        <f t="shared" si="561"/>
        <v>139700</v>
      </c>
      <c r="AY187" s="130">
        <f t="shared" si="471"/>
        <v>3.9E-2</v>
      </c>
      <c r="AZ187" s="128">
        <f t="shared" si="472"/>
        <v>140154.02499999999</v>
      </c>
      <c r="BA187" s="128" t="str">
        <f t="shared" si="473"/>
        <v>tak</v>
      </c>
      <c r="BB187" s="128">
        <f t="shared" si="474"/>
        <v>0</v>
      </c>
      <c r="BC187" s="128">
        <f t="shared" si="367"/>
        <v>140067.76024999999</v>
      </c>
      <c r="BD187" s="129"/>
      <c r="BE187" s="130">
        <f t="shared" si="476"/>
        <v>3.5999999999999997E-2</v>
      </c>
      <c r="BF187" s="128">
        <f t="shared" si="477"/>
        <v>8827.0250491575716</v>
      </c>
      <c r="BG187" s="128">
        <f t="shared" si="368"/>
        <v>148894.78529915755</v>
      </c>
      <c r="BI187" s="124">
        <f t="shared" si="538"/>
        <v>144</v>
      </c>
      <c r="BJ187" s="130">
        <f t="shared" si="558"/>
        <v>3.9100000000000003E-2</v>
      </c>
      <c r="BK187" s="127">
        <f t="shared" si="539"/>
        <v>1376</v>
      </c>
      <c r="BL187" s="128">
        <f t="shared" si="540"/>
        <v>137462.39999999999</v>
      </c>
      <c r="BM187" s="128">
        <f t="shared" si="553"/>
        <v>137600</v>
      </c>
      <c r="BN187" s="128">
        <f t="shared" si="541"/>
        <v>149975.1936</v>
      </c>
      <c r="BO187" s="130">
        <f t="shared" si="478"/>
        <v>4.3999999999999997E-2</v>
      </c>
      <c r="BP187" s="128">
        <f t="shared" si="479"/>
        <v>156574.10211840001</v>
      </c>
      <c r="BQ187" s="128" t="str">
        <f t="shared" si="480"/>
        <v>tak</v>
      </c>
      <c r="BR187" s="128">
        <f t="shared" si="481"/>
        <v>0</v>
      </c>
      <c r="BS187" s="128">
        <f t="shared" si="566"/>
        <v>152969.02271590402</v>
      </c>
      <c r="BT187" s="128" t="e">
        <f>IF(AND(BQ187="tak",#REF!&lt;&gt;""),
 BS187-#REF!,
0)</f>
        <v>#REF!</v>
      </c>
      <c r="BU187" s="130">
        <f t="shared" si="482"/>
        <v>3.5999999999999997E-2</v>
      </c>
      <c r="BV187" s="128" t="e">
        <f t="shared" si="483"/>
        <v>#REF!</v>
      </c>
      <c r="BW187" s="128">
        <f t="shared" si="567"/>
        <v>153185.1503303831</v>
      </c>
      <c r="BY187" s="130">
        <f t="shared" si="452"/>
        <v>3.1E-2</v>
      </c>
      <c r="BZ187" s="127">
        <f t="shared" si="542"/>
        <v>1341</v>
      </c>
      <c r="CA187" s="128">
        <f t="shared" si="543"/>
        <v>133979.79999999999</v>
      </c>
      <c r="CB187" s="128">
        <f t="shared" si="568"/>
        <v>134100</v>
      </c>
      <c r="CC187" s="128">
        <f t="shared" si="562"/>
        <v>134100</v>
      </c>
      <c r="CD187" s="130">
        <f t="shared" si="484"/>
        <v>4.5999999999999999E-2</v>
      </c>
      <c r="CE187" s="128">
        <f t="shared" si="485"/>
        <v>140268.6</v>
      </c>
      <c r="CF187" s="128" t="str">
        <f t="shared" si="486"/>
        <v>tak</v>
      </c>
      <c r="CG187" s="128">
        <f t="shared" si="487"/>
        <v>0</v>
      </c>
      <c r="CH187" s="128">
        <f t="shared" si="369"/>
        <v>139096.56599999999</v>
      </c>
      <c r="CI187" s="129"/>
      <c r="CJ187" s="130">
        <f t="shared" si="489"/>
        <v>3.5999999999999997E-2</v>
      </c>
      <c r="CK187" s="128">
        <f t="shared" si="490"/>
        <v>16103.401158674296</v>
      </c>
      <c r="CL187" s="128">
        <f t="shared" si="491"/>
        <v>155199.96715867429</v>
      </c>
      <c r="CN187" s="127">
        <f t="shared" si="544"/>
        <v>1526</v>
      </c>
      <c r="CO187" s="128">
        <f t="shared" si="545"/>
        <v>152447.4</v>
      </c>
      <c r="CP187" s="128">
        <f>IF(CT186="tak",
CN187*100,
CP186)</f>
        <v>152600</v>
      </c>
      <c r="CQ187" s="128">
        <f t="shared" si="547"/>
        <v>160764.1</v>
      </c>
      <c r="CR187" s="130">
        <f t="shared" si="492"/>
        <v>5.1000000000000004E-2</v>
      </c>
      <c r="CS187" s="128">
        <f t="shared" si="493"/>
        <v>168963.06909999999</v>
      </c>
      <c r="CT187" s="128" t="str">
        <f t="shared" si="494"/>
        <v>nie</v>
      </c>
      <c r="CU187" s="128">
        <f t="shared" si="495"/>
        <v>4578</v>
      </c>
      <c r="CV187" s="128">
        <f t="shared" si="496"/>
        <v>162145.905971</v>
      </c>
      <c r="CW187" s="128" t="e">
        <f>IF(AND(CT187="tak",#REF!&lt;&gt;""),
 CV187-#REF!,
0)</f>
        <v>#REF!</v>
      </c>
      <c r="CX187" s="130">
        <f t="shared" si="497"/>
        <v>3.5999999999999997E-2</v>
      </c>
      <c r="CY187" s="128" t="e">
        <f t="shared" si="498"/>
        <v>#REF!</v>
      </c>
      <c r="CZ187" s="128">
        <f t="shared" si="499"/>
        <v>162222.10422257101</v>
      </c>
      <c r="DA187" s="20"/>
      <c r="DB187" s="127">
        <f t="shared" si="554"/>
        <v>1280</v>
      </c>
      <c r="DC187" s="128">
        <f t="shared" si="555"/>
        <v>128000</v>
      </c>
      <c r="DD187" s="128">
        <f t="shared" si="548"/>
        <v>128000</v>
      </c>
      <c r="DE187" s="128">
        <f t="shared" si="549"/>
        <v>163987.26882061435</v>
      </c>
      <c r="DF187" s="130">
        <f t="shared" si="500"/>
        <v>5.1000000000000004E-2</v>
      </c>
      <c r="DG187" s="128">
        <f t="shared" si="501"/>
        <v>172350.61953046566</v>
      </c>
      <c r="DH187" s="128" t="str">
        <f t="shared" si="502"/>
        <v>tak</v>
      </c>
      <c r="DI187" s="128">
        <f t="shared" si="503"/>
        <v>0</v>
      </c>
      <c r="DJ187" s="128">
        <f t="shared" si="559"/>
        <v>163924.00181967719</v>
      </c>
      <c r="DK187" s="128" t="e">
        <f>IF(AND(DH187="tak",#REF!&lt;&gt;""),
 DJ187-#REF!,
0)</f>
        <v>#REF!</v>
      </c>
      <c r="DL187" s="130">
        <f t="shared" si="504"/>
        <v>3.5999999999999997E-2</v>
      </c>
      <c r="DM187" s="128" t="e">
        <f t="shared" si="505"/>
        <v>#REF!</v>
      </c>
      <c r="DN187" s="128">
        <f t="shared" si="506"/>
        <v>164002.15932978262</v>
      </c>
      <c r="DP187" s="127">
        <f t="shared" si="556"/>
        <v>1000</v>
      </c>
      <c r="DQ187" s="128">
        <f t="shared" si="557"/>
        <v>100000</v>
      </c>
      <c r="DR187" s="128">
        <f t="shared" si="550"/>
        <v>100000</v>
      </c>
      <c r="DS187" s="128">
        <f t="shared" si="551"/>
        <v>182097.12964939213</v>
      </c>
      <c r="DT187" s="130">
        <f t="shared" si="507"/>
        <v>5.6000000000000001E-2</v>
      </c>
      <c r="DU187" s="128">
        <f t="shared" si="508"/>
        <v>192294.56890975809</v>
      </c>
      <c r="DV187" s="128" t="str">
        <f t="shared" si="509"/>
        <v>tak</v>
      </c>
      <c r="DW187" s="128">
        <f t="shared" si="510"/>
        <v>0</v>
      </c>
      <c r="DX187" s="128">
        <f t="shared" si="511"/>
        <v>174758.60081690404</v>
      </c>
      <c r="DY187" s="128" t="e">
        <f>IF(AND(DV187="tak",#REF!&lt;&gt;""),
 DX187-#REF!,
0)</f>
        <v>#REF!</v>
      </c>
      <c r="DZ187" s="130">
        <f t="shared" si="512"/>
        <v>3.5999999999999997E-2</v>
      </c>
      <c r="EA187" s="128" t="e">
        <f t="shared" si="513"/>
        <v>#REF!</v>
      </c>
      <c r="EB187" s="128">
        <f t="shared" si="514"/>
        <v>174758.60081690404</v>
      </c>
    </row>
    <row r="188" spans="1:132">
      <c r="A188" s="212"/>
      <c r="B188" s="188">
        <f t="shared" si="515"/>
        <v>144</v>
      </c>
      <c r="C188" s="128">
        <f t="shared" si="516"/>
        <v>150521.25291400295</v>
      </c>
      <c r="D188" s="128">
        <f t="shared" si="517"/>
        <v>148894.78529915755</v>
      </c>
      <c r="E188" s="128">
        <f t="shared" si="518"/>
        <v>153185.1503303831</v>
      </c>
      <c r="F188" s="128">
        <f t="shared" si="519"/>
        <v>155199.96715867429</v>
      </c>
      <c r="G188" s="128">
        <f t="shared" si="520"/>
        <v>162222.10422257101</v>
      </c>
      <c r="H188" s="128">
        <f t="shared" si="521"/>
        <v>164002.15932978262</v>
      </c>
      <c r="I188" s="128">
        <f t="shared" si="522"/>
        <v>174758.60081690404</v>
      </c>
      <c r="J188" s="128">
        <f t="shared" si="523"/>
        <v>141835.1858784658</v>
      </c>
      <c r="K188" s="128">
        <f t="shared" si="524"/>
        <v>144246.06794540343</v>
      </c>
      <c r="M188" s="36"/>
      <c r="N188" s="32">
        <f t="shared" si="525"/>
        <v>144</v>
      </c>
      <c r="O188" s="25">
        <f t="shared" si="526"/>
        <v>0.50521252914002956</v>
      </c>
      <c r="P188" s="25">
        <f t="shared" si="527"/>
        <v>0.48894785299157539</v>
      </c>
      <c r="Q188" s="25">
        <f t="shared" si="528"/>
        <v>0.53185150330383091</v>
      </c>
      <c r="R188" s="25">
        <f t="shared" si="457"/>
        <v>0.55199967158674301</v>
      </c>
      <c r="S188" s="25">
        <f t="shared" si="458"/>
        <v>0.62222104222571017</v>
      </c>
      <c r="T188" s="25">
        <f t="shared" si="459"/>
        <v>0.64002159329782615</v>
      </c>
      <c r="U188" s="25">
        <f t="shared" si="460"/>
        <v>0.74758600816904042</v>
      </c>
      <c r="V188" s="25">
        <f t="shared" si="461"/>
        <v>0.41835185878465797</v>
      </c>
      <c r="W188" s="25">
        <f t="shared" si="462"/>
        <v>0.44246067945403422</v>
      </c>
      <c r="X188" s="36"/>
      <c r="Y188" s="36"/>
    </row>
  </sheetData>
  <mergeCells count="19">
    <mergeCell ref="N42:W42"/>
    <mergeCell ref="B6:K6"/>
    <mergeCell ref="B2:K2"/>
    <mergeCell ref="B22:K22"/>
    <mergeCell ref="A69:A80"/>
    <mergeCell ref="A43:A44"/>
    <mergeCell ref="A45:A56"/>
    <mergeCell ref="A57:A68"/>
    <mergeCell ref="B41:K41"/>
    <mergeCell ref="B42:K42"/>
    <mergeCell ref="A81:A92"/>
    <mergeCell ref="A93:A104"/>
    <mergeCell ref="A165:A176"/>
    <mergeCell ref="A177:A188"/>
    <mergeCell ref="A105:A116"/>
    <mergeCell ref="A117:A128"/>
    <mergeCell ref="A129:A140"/>
    <mergeCell ref="A141:A152"/>
    <mergeCell ref="A153:A164"/>
  </mergeCells>
  <conditionalFormatting sqref="C9:J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J1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J1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J1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J1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J1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J1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J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J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1">
    <cfRule type="colorScale" priority="34">
      <colorScale>
        <cfvo type="min"/>
        <cfvo type="percentile" val="30"/>
        <cfvo type="max"/>
        <color rgb="FFF8696B"/>
        <color rgb="FFFFEB84"/>
        <color rgb="FF63BE7B"/>
      </colorScale>
    </cfRule>
  </conditionalFormatting>
  <dataValidations count="1">
    <dataValidation type="whole" allowBlank="1" showInputMessage="1" showErrorMessage="1" errorTitle="Uwaga" error="Wpisz liczbę z przedziału od 1 do 144. _x000a__x000a_Dziękuję :)" sqref="B4" xr:uid="{F842CB76-D0DB-4726-8E85-DDBE36F8108A}">
      <formula1>1</formula1>
      <formula2>144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71AD-6959-4519-95F7-5957D204C079}">
  <dimension ref="A1:DZ190"/>
  <sheetViews>
    <sheetView zoomScale="55" zoomScaleNormal="55" workbookViewId="0">
      <selection activeCell="DR15" sqref="DR15"/>
    </sheetView>
  </sheetViews>
  <sheetFormatPr baseColWidth="10" defaultColWidth="8.83203125" defaultRowHeight="15"/>
  <cols>
    <col min="1" max="1" width="9.33203125" style="45" customWidth="1"/>
    <col min="2" max="2" width="4.5" style="45" customWidth="1"/>
    <col min="3" max="3" width="23.33203125" customWidth="1"/>
    <col min="4" max="11" width="20.5" customWidth="1"/>
    <col min="12" max="12" width="4.1640625" style="45" customWidth="1"/>
    <col min="13" max="22" width="20.5" style="45" customWidth="1"/>
    <col min="23" max="23" width="8.1640625" bestFit="1" customWidth="1"/>
    <col min="24" max="24" width="14.33203125" bestFit="1" customWidth="1"/>
    <col min="25" max="25" width="15.5" bestFit="1" customWidth="1"/>
    <col min="26" max="26" width="9" bestFit="1" customWidth="1"/>
    <col min="27" max="27" width="11" bestFit="1" customWidth="1"/>
    <col min="28" max="28" width="12.1640625" bestFit="1" customWidth="1"/>
    <col min="29" max="29" width="12.5" bestFit="1" customWidth="1"/>
    <col min="30" max="30" width="10.83203125" bestFit="1" customWidth="1"/>
    <col min="31" max="31" width="12.1640625" bestFit="1" customWidth="1"/>
    <col min="32" max="33" width="12.6640625" bestFit="1" customWidth="1"/>
    <col min="34" max="39" width="12.6640625" customWidth="1"/>
    <col min="40" max="41" width="18.33203125" customWidth="1"/>
    <col min="42" max="43" width="12.6640625" customWidth="1"/>
    <col min="44" max="45" width="19.1640625" customWidth="1"/>
    <col min="46" max="46" width="20" customWidth="1"/>
    <col min="47" max="47" width="19.1640625" customWidth="1"/>
    <col min="48" max="48" width="20" customWidth="1"/>
    <col min="49" max="50" width="19.1640625" customWidth="1"/>
    <col min="51" max="51" width="13.5" bestFit="1" customWidth="1"/>
    <col min="52" max="52" width="11" bestFit="1" customWidth="1"/>
    <col min="53" max="53" width="19.1640625" customWidth="1"/>
    <col min="54" max="55" width="12.6640625" customWidth="1"/>
    <col min="56" max="56" width="14.6640625" bestFit="1" customWidth="1"/>
    <col min="57" max="57" width="19.1640625" customWidth="1"/>
    <col min="58" max="58" width="12.6640625" customWidth="1"/>
    <col min="59" max="59" width="14.6640625" bestFit="1" customWidth="1"/>
    <col min="60" max="60" width="8.83203125" style="45"/>
    <col min="61" max="61" width="15.5" bestFit="1" customWidth="1"/>
    <col min="62" max="62" width="9" bestFit="1" customWidth="1"/>
    <col min="63" max="63" width="12.5" bestFit="1" customWidth="1"/>
    <col min="64" max="64" width="12.1640625" bestFit="1" customWidth="1"/>
    <col min="65" max="65" width="12.5" bestFit="1" customWidth="1"/>
    <col min="66" max="66" width="10.83203125" bestFit="1" customWidth="1"/>
    <col min="67" max="67" width="12.1640625" bestFit="1" customWidth="1"/>
    <col min="68" max="69" width="12.6640625" bestFit="1" customWidth="1"/>
    <col min="70" max="75" width="12.6640625" customWidth="1"/>
    <col min="76" max="77" width="18.33203125" customWidth="1"/>
    <col min="78" max="79" width="12.6640625" customWidth="1"/>
    <col min="80" max="81" width="19.1640625" customWidth="1"/>
    <col min="82" max="82" width="20" customWidth="1"/>
    <col min="83" max="83" width="19.1640625" customWidth="1"/>
    <col min="84" max="84" width="20" customWidth="1"/>
    <col min="85" max="86" width="19.1640625" customWidth="1"/>
    <col min="87" max="87" width="13.5" bestFit="1" customWidth="1"/>
    <col min="88" max="88" width="11" bestFit="1" customWidth="1"/>
    <col min="89" max="89" width="19.1640625" customWidth="1"/>
    <col min="90" max="91" width="12.6640625" customWidth="1"/>
    <col min="92" max="92" width="14.6640625" bestFit="1" customWidth="1"/>
    <col min="93" max="93" width="19.1640625" customWidth="1"/>
    <col min="94" max="94" width="12.6640625" customWidth="1"/>
    <col min="95" max="95" width="14.6640625" bestFit="1" customWidth="1"/>
    <col min="96" max="96" width="8.6640625" style="45"/>
    <col min="97" max="97" width="9" bestFit="1" customWidth="1"/>
    <col min="98" max="98" width="11" bestFit="1" customWidth="1"/>
    <col min="99" max="99" width="12.1640625" bestFit="1" customWidth="1"/>
    <col min="100" max="100" width="12.5" bestFit="1" customWidth="1"/>
    <col min="101" max="101" width="10.83203125" bestFit="1" customWidth="1"/>
    <col min="102" max="102" width="12.1640625" bestFit="1" customWidth="1"/>
    <col min="103" max="103" width="12.6640625" bestFit="1" customWidth="1"/>
    <col min="104" max="105" width="9.5" bestFit="1" customWidth="1"/>
    <col min="106" max="106" width="11.1640625" bestFit="1" customWidth="1"/>
    <col min="107" max="108" width="9.5" customWidth="1"/>
    <col min="109" max="109" width="15.33203125" customWidth="1"/>
    <col min="110" max="110" width="12.6640625" bestFit="1" customWidth="1"/>
    <col min="111" max="111" width="12.6640625" customWidth="1"/>
    <col min="112" max="112" width="14.6640625" bestFit="1" customWidth="1"/>
    <col min="113" max="113" width="8.6640625" style="13"/>
    <col min="114" max="115" width="11.1640625" style="13" bestFit="1" customWidth="1"/>
    <col min="116" max="130" width="8.6640625" style="13"/>
  </cols>
  <sheetData>
    <row r="1" spans="3:112" ht="25.5" customHeight="1">
      <c r="C1" s="45"/>
      <c r="D1" s="45"/>
      <c r="E1" s="45"/>
      <c r="F1" s="45"/>
      <c r="G1" s="45"/>
      <c r="H1" s="45"/>
      <c r="I1" s="45"/>
      <c r="J1" s="45"/>
      <c r="K1" s="45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</row>
    <row r="2" spans="3:112" ht="33" customHeight="1">
      <c r="C2" s="45"/>
      <c r="D2" s="45"/>
      <c r="E2" s="45"/>
      <c r="F2" s="45"/>
      <c r="G2" s="45"/>
      <c r="H2" s="45"/>
      <c r="I2" s="45"/>
      <c r="J2" s="45"/>
      <c r="K2" s="45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</row>
    <row r="3" spans="3:112" ht="18.75" customHeight="1">
      <c r="C3" s="45"/>
      <c r="D3" s="45"/>
      <c r="E3" s="45"/>
      <c r="F3" s="45"/>
      <c r="G3" s="45"/>
      <c r="H3" s="45"/>
      <c r="I3" s="45"/>
      <c r="J3" s="45"/>
      <c r="K3" s="45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</row>
    <row r="4" spans="3:112" ht="9" customHeight="1">
      <c r="C4" s="45"/>
      <c r="D4" s="45"/>
      <c r="E4" s="45"/>
      <c r="F4" s="45"/>
      <c r="G4" s="45"/>
      <c r="H4" s="45"/>
      <c r="I4" s="45"/>
      <c r="J4" s="45"/>
      <c r="K4" s="45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</row>
    <row r="5" spans="3:112" ht="9" customHeight="1">
      <c r="C5" s="45"/>
      <c r="D5" s="45"/>
      <c r="E5" s="45"/>
      <c r="F5" s="45"/>
      <c r="G5" s="45"/>
      <c r="H5" s="45"/>
      <c r="I5" s="45"/>
      <c r="J5" s="45"/>
      <c r="K5" s="45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</row>
    <row r="6" spans="3:112" ht="9" customHeight="1">
      <c r="C6" s="45"/>
      <c r="D6" s="45"/>
      <c r="E6" s="45"/>
      <c r="F6" s="45"/>
      <c r="G6" s="45"/>
      <c r="H6" s="45"/>
      <c r="I6" s="45"/>
      <c r="J6" s="45"/>
      <c r="K6" s="45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</row>
    <row r="7" spans="3:112" ht="9" customHeight="1">
      <c r="C7" s="45"/>
      <c r="D7" s="45"/>
      <c r="E7" s="45"/>
      <c r="F7" s="45"/>
      <c r="G7" s="45"/>
      <c r="H7" s="45"/>
      <c r="I7" s="45"/>
      <c r="J7" s="45"/>
      <c r="K7" s="45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</row>
    <row r="8" spans="3:112" ht="9" customHeight="1">
      <c r="C8" s="45"/>
      <c r="D8" s="45"/>
      <c r="E8" s="45"/>
      <c r="F8" s="45"/>
      <c r="G8" s="45"/>
      <c r="H8" s="45"/>
      <c r="I8" s="45"/>
      <c r="J8" s="45"/>
      <c r="K8" s="45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</row>
    <row r="9" spans="3:112" ht="33" customHeight="1">
      <c r="C9" s="45"/>
      <c r="D9" s="45"/>
      <c r="E9" s="45"/>
      <c r="F9" s="45"/>
      <c r="G9" s="45"/>
      <c r="H9" s="45"/>
      <c r="I9" s="45"/>
      <c r="J9" s="45"/>
      <c r="K9" s="45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</row>
    <row r="10" spans="3:112" ht="18.75" customHeight="1">
      <c r="C10" s="45"/>
      <c r="D10" s="45"/>
      <c r="E10" s="45"/>
      <c r="F10" s="45"/>
      <c r="G10" s="45"/>
      <c r="H10" s="45"/>
      <c r="I10" s="45"/>
      <c r="J10" s="45"/>
      <c r="K10" s="45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</row>
    <row r="11" spans="3:112" ht="46" customHeight="1">
      <c r="C11" s="45"/>
      <c r="D11" s="45"/>
      <c r="E11" s="45"/>
      <c r="F11" s="45"/>
      <c r="G11" s="45"/>
      <c r="H11" s="45"/>
      <c r="I11" s="45"/>
      <c r="J11" s="45"/>
      <c r="K11" s="45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</row>
    <row r="12" spans="3:112" ht="46" customHeight="1">
      <c r="C12" s="45"/>
      <c r="D12" s="45"/>
      <c r="E12" s="45"/>
      <c r="F12" s="45"/>
      <c r="G12" s="45"/>
      <c r="H12" s="45"/>
      <c r="I12" s="45"/>
      <c r="J12" s="45"/>
      <c r="K12" s="45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</row>
    <row r="13" spans="3:112" ht="46" customHeight="1">
      <c r="C13" s="45"/>
      <c r="D13" s="45"/>
      <c r="E13" s="45"/>
      <c r="F13" s="45"/>
      <c r="G13" s="45"/>
      <c r="H13" s="45"/>
      <c r="I13" s="45"/>
      <c r="J13" s="45"/>
      <c r="K13" s="45"/>
      <c r="X13" s="20"/>
      <c r="Y13" s="199" t="s">
        <v>108</v>
      </c>
      <c r="Z13" s="20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I13" s="199" t="s">
        <v>58</v>
      </c>
      <c r="BJ13" s="20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S13" s="199" t="s">
        <v>59</v>
      </c>
      <c r="CT13" s="20"/>
      <c r="CU13" s="20"/>
      <c r="CV13" s="20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</row>
    <row r="14" spans="3:112" ht="46" customHeight="1">
      <c r="C14" s="45"/>
      <c r="D14" s="45"/>
      <c r="E14" s="45"/>
      <c r="F14" s="45"/>
      <c r="G14" s="45"/>
      <c r="H14" s="45"/>
      <c r="I14" s="45"/>
      <c r="J14" s="45"/>
      <c r="K14" s="45"/>
      <c r="X14" s="20"/>
      <c r="Y14" s="21"/>
      <c r="Z14" s="20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I14" s="21"/>
      <c r="BJ14" s="20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S14" s="21"/>
      <c r="CT14" s="20"/>
      <c r="CU14" s="20"/>
      <c r="CV14" s="20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</row>
    <row r="15" spans="3:112" ht="46" customHeight="1" thickBot="1">
      <c r="C15" s="45"/>
      <c r="D15" s="45"/>
      <c r="E15" s="45"/>
      <c r="F15" s="45"/>
      <c r="G15" s="45"/>
      <c r="H15" s="45"/>
      <c r="I15" s="45"/>
      <c r="J15" s="45"/>
      <c r="K15" s="45"/>
      <c r="X15" s="20"/>
      <c r="Y15" s="21"/>
      <c r="Z15" s="20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I15" s="21"/>
      <c r="BJ15" s="20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S15" s="21"/>
      <c r="CT15" s="20"/>
      <c r="CU15" s="20"/>
      <c r="CV15" s="20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</row>
    <row r="16" spans="3:112" ht="51.75" customHeight="1" thickBot="1">
      <c r="C16" s="69" t="s">
        <v>98</v>
      </c>
      <c r="D16" s="65" t="s">
        <v>104</v>
      </c>
      <c r="E16" s="70" t="s">
        <v>105</v>
      </c>
      <c r="F16" s="42" t="s">
        <v>75</v>
      </c>
      <c r="G16" s="59" t="s">
        <v>74</v>
      </c>
      <c r="H16" s="43" t="s">
        <v>77</v>
      </c>
      <c r="I16" s="46" t="s">
        <v>76</v>
      </c>
      <c r="J16" s="56" t="s">
        <v>68</v>
      </c>
      <c r="K16" s="38" t="s">
        <v>67</v>
      </c>
      <c r="W16" s="15" t="s">
        <v>13</v>
      </c>
      <c r="X16" s="17" t="s">
        <v>21</v>
      </c>
      <c r="Y16" s="60" t="s">
        <v>82</v>
      </c>
      <c r="Z16" s="61" t="s">
        <v>25</v>
      </c>
      <c r="AA16" s="61" t="s">
        <v>23</v>
      </c>
      <c r="AB16" s="61" t="s">
        <v>14</v>
      </c>
      <c r="AC16" s="61" t="s">
        <v>15</v>
      </c>
      <c r="AD16" s="61" t="s">
        <v>17</v>
      </c>
      <c r="AE16" s="61" t="s">
        <v>18</v>
      </c>
      <c r="AF16" s="62" t="s">
        <v>8</v>
      </c>
      <c r="AG16" s="61" t="s">
        <v>16</v>
      </c>
      <c r="AH16" s="61" t="s">
        <v>29</v>
      </c>
      <c r="AI16" s="61" t="s">
        <v>30</v>
      </c>
      <c r="AJ16" s="61" t="s">
        <v>31</v>
      </c>
      <c r="AK16" s="61" t="s">
        <v>32</v>
      </c>
      <c r="AL16" s="61" t="s">
        <v>28</v>
      </c>
      <c r="AM16" s="61" t="s">
        <v>17</v>
      </c>
      <c r="AN16" s="61" t="s">
        <v>34</v>
      </c>
      <c r="AO16" s="61" t="s">
        <v>37</v>
      </c>
      <c r="AP16" s="61" t="s">
        <v>33</v>
      </c>
      <c r="AQ16" s="61" t="s">
        <v>17</v>
      </c>
      <c r="AR16" s="61" t="s">
        <v>35</v>
      </c>
      <c r="AS16" s="61" t="s">
        <v>38</v>
      </c>
      <c r="AT16" s="61" t="s">
        <v>41</v>
      </c>
      <c r="AU16" s="61" t="s">
        <v>36</v>
      </c>
      <c r="AV16" s="61" t="s">
        <v>46</v>
      </c>
      <c r="AW16" s="61" t="s">
        <v>40</v>
      </c>
      <c r="AX16" s="61" t="s">
        <v>46</v>
      </c>
      <c r="AY16" s="61" t="s">
        <v>78</v>
      </c>
      <c r="AZ16" s="61" t="s">
        <v>39</v>
      </c>
      <c r="BA16" s="61" t="s">
        <v>42</v>
      </c>
      <c r="BB16" s="62" t="s">
        <v>44</v>
      </c>
      <c r="BC16" s="61" t="s">
        <v>45</v>
      </c>
      <c r="BD16" s="61" t="s">
        <v>47</v>
      </c>
      <c r="BE16" s="61" t="s">
        <v>43</v>
      </c>
      <c r="BF16" s="62" t="s">
        <v>11</v>
      </c>
      <c r="BG16" s="61" t="s">
        <v>20</v>
      </c>
      <c r="BI16" s="16" t="s">
        <v>12</v>
      </c>
      <c r="BJ16" s="17" t="s">
        <v>25</v>
      </c>
      <c r="BK16" s="17" t="s">
        <v>23</v>
      </c>
      <c r="BL16" s="17" t="s">
        <v>14</v>
      </c>
      <c r="BM16" s="17" t="s">
        <v>15</v>
      </c>
      <c r="BN16" s="17" t="s">
        <v>17</v>
      </c>
      <c r="BO16" s="17" t="s">
        <v>18</v>
      </c>
      <c r="BP16" s="18" t="s">
        <v>8</v>
      </c>
      <c r="BQ16" s="17" t="s">
        <v>16</v>
      </c>
      <c r="BR16" s="17" t="s">
        <v>29</v>
      </c>
      <c r="BS16" s="17" t="s">
        <v>30</v>
      </c>
      <c r="BT16" s="17" t="s">
        <v>31</v>
      </c>
      <c r="BU16" s="17" t="s">
        <v>32</v>
      </c>
      <c r="BV16" s="17" t="s">
        <v>28</v>
      </c>
      <c r="BW16" s="17" t="s">
        <v>17</v>
      </c>
      <c r="BX16" s="17" t="s">
        <v>34</v>
      </c>
      <c r="BY16" s="17" t="s">
        <v>37</v>
      </c>
      <c r="BZ16" s="17" t="s">
        <v>33</v>
      </c>
      <c r="CA16" s="17" t="s">
        <v>17</v>
      </c>
      <c r="CB16" s="17" t="s">
        <v>35</v>
      </c>
      <c r="CC16" s="17" t="s">
        <v>38</v>
      </c>
      <c r="CD16" s="17" t="s">
        <v>41</v>
      </c>
      <c r="CE16" s="17" t="s">
        <v>36</v>
      </c>
      <c r="CF16" s="17" t="s">
        <v>46</v>
      </c>
      <c r="CG16" s="17" t="s">
        <v>40</v>
      </c>
      <c r="CH16" s="17" t="s">
        <v>46</v>
      </c>
      <c r="CI16" s="17" t="s">
        <v>78</v>
      </c>
      <c r="CJ16" s="17" t="s">
        <v>39</v>
      </c>
      <c r="CK16" s="17" t="s">
        <v>42</v>
      </c>
      <c r="CL16" s="18" t="s">
        <v>44</v>
      </c>
      <c r="CM16" s="17" t="s">
        <v>45</v>
      </c>
      <c r="CN16" s="17" t="s">
        <v>47</v>
      </c>
      <c r="CO16" s="17" t="s">
        <v>43</v>
      </c>
      <c r="CP16" s="18" t="s">
        <v>11</v>
      </c>
      <c r="CQ16" s="17" t="s">
        <v>20</v>
      </c>
      <c r="CS16" s="47" t="s">
        <v>25</v>
      </c>
      <c r="CT16" s="47" t="s">
        <v>23</v>
      </c>
      <c r="CU16" s="47" t="s">
        <v>14</v>
      </c>
      <c r="CV16" s="47" t="s">
        <v>15</v>
      </c>
      <c r="CW16" s="47" t="s">
        <v>17</v>
      </c>
      <c r="CX16" s="47" t="s">
        <v>18</v>
      </c>
      <c r="CY16" s="48" t="s">
        <v>8</v>
      </c>
      <c r="CZ16" s="47" t="s">
        <v>49</v>
      </c>
      <c r="DA16" s="47" t="s">
        <v>48</v>
      </c>
      <c r="DB16" s="47" t="s">
        <v>42</v>
      </c>
      <c r="DC16" s="48" t="s">
        <v>44</v>
      </c>
      <c r="DD16" s="47" t="s">
        <v>45</v>
      </c>
      <c r="DE16" s="47" t="s">
        <v>47</v>
      </c>
      <c r="DF16" s="47" t="s">
        <v>43</v>
      </c>
      <c r="DG16" s="48" t="s">
        <v>11</v>
      </c>
      <c r="DH16" s="47" t="s">
        <v>20</v>
      </c>
    </row>
    <row r="17" spans="2:112" ht="51.75" customHeight="1" thickBot="1">
      <c r="B17" s="69"/>
      <c r="C17" s="39">
        <v>50</v>
      </c>
      <c r="D17" s="195">
        <f>INDEX(IKE_wyniki_TOS_preferencje,MATCH(IKE_zakup_domyslny_mc,IKE_wyniki_mc,0))</f>
        <v>118711.206675696</v>
      </c>
      <c r="E17" s="195">
        <f>INDEX(IKE_wyniki_TOS_I,MATCH(IKE_zakup_domyslny_mc,IKE_wyniki_mc,0))</f>
        <v>114141.453509296</v>
      </c>
      <c r="F17" s="195">
        <f>INDEX(IKE_wyniki_COI_preferencje,MATCH(IKE_zakup_domyslny_mc,IKE_wyniki_mc,0))</f>
        <v>120432.651245</v>
      </c>
      <c r="G17" s="195">
        <f>INDEX(IKE_wyniki_COI_I,MATCH(IKE_zakup_domyslny_mc,IKE_wyniki_mc,0))</f>
        <v>115540.18124500001</v>
      </c>
      <c r="H17" s="195">
        <f>INDEX(IKE_wyniki_EDO_preferencje,MATCH(IKE_zakup_domyslny_mc,IKE_wyniki_mc,0))</f>
        <v>122821.22215273822</v>
      </c>
      <c r="I17" s="195">
        <f>INDEX(IKE_wyniki_EDO_I,MATCH(IKE_zakup_domyslny_mc,IKE_wyniki_mc,0))</f>
        <v>115955.83181260167</v>
      </c>
      <c r="J17" s="197">
        <f>INDEX(J37:J181,MATCH(IKE_zakup_domyslny_mc,C37:C181,0))</f>
        <v>112902.29539841811</v>
      </c>
      <c r="K17" s="196">
        <f>INDEX(IKE_wyniki_skumulowana_inflacja,MATCH(IKE_zakup_domyslny_mc,IKE_wyniki_mc,0))</f>
        <v>113572.3832306525</v>
      </c>
      <c r="W17" s="15"/>
      <c r="X17" s="17"/>
      <c r="Y17" s="60"/>
      <c r="Z17" s="61"/>
      <c r="AA17" s="61"/>
      <c r="AB17" s="61"/>
      <c r="AC17" s="61"/>
      <c r="AD17" s="61"/>
      <c r="AE17" s="61"/>
      <c r="AF17" s="62"/>
      <c r="AG17" s="61"/>
      <c r="AH17" s="7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2"/>
      <c r="BC17" s="61"/>
      <c r="BD17" s="61"/>
      <c r="BE17" s="61"/>
      <c r="BF17" s="62"/>
      <c r="BG17" s="61"/>
      <c r="BI17" s="16"/>
      <c r="BJ17" s="17"/>
      <c r="BK17" s="17"/>
      <c r="BL17" s="17"/>
      <c r="BM17" s="17"/>
      <c r="BN17" s="17"/>
      <c r="BO17" s="17"/>
      <c r="BP17" s="18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8"/>
      <c r="CM17" s="17"/>
      <c r="CN17" s="17"/>
      <c r="CO17" s="17"/>
      <c r="CP17" s="18"/>
      <c r="CQ17" s="17"/>
      <c r="CS17" s="47"/>
      <c r="CT17" s="47"/>
      <c r="CU17" s="47"/>
      <c r="CV17" s="47"/>
      <c r="CW17" s="47"/>
      <c r="CX17" s="47"/>
      <c r="CY17" s="48"/>
      <c r="CZ17" s="47"/>
      <c r="DA17" s="47"/>
      <c r="DB17" s="47"/>
      <c r="DC17" s="48"/>
      <c r="DD17" s="47"/>
      <c r="DE17" s="47"/>
      <c r="DF17" s="47"/>
      <c r="DG17" s="48"/>
      <c r="DH17" s="47"/>
    </row>
    <row r="18" spans="2:112" ht="9.75" customHeight="1" thickBot="1">
      <c r="B18" s="69"/>
      <c r="C18" s="45"/>
      <c r="D18" s="45"/>
      <c r="E18" s="45"/>
      <c r="F18" s="45"/>
      <c r="G18" s="45"/>
      <c r="H18" s="45"/>
      <c r="I18" s="45"/>
      <c r="J18" s="45"/>
      <c r="K18" s="45"/>
      <c r="W18" s="1"/>
      <c r="X18" s="4"/>
      <c r="Y18" s="6"/>
      <c r="Z18" s="5"/>
      <c r="AA18" s="5"/>
      <c r="AB18" s="2"/>
      <c r="AC18" s="2"/>
      <c r="AD18" s="2"/>
      <c r="AE18" s="2"/>
      <c r="AF18" s="1"/>
      <c r="AG18" s="1"/>
      <c r="AI18" s="1">
        <v>2</v>
      </c>
      <c r="AJ18" s="1">
        <v>3</v>
      </c>
      <c r="AK18" s="1">
        <v>4</v>
      </c>
      <c r="AL18" s="1"/>
      <c r="AM18" s="1"/>
      <c r="AN18" s="1"/>
      <c r="AO18" s="1"/>
      <c r="AP18" s="1"/>
      <c r="AQ18" s="1"/>
      <c r="AR18" s="1"/>
      <c r="AS18" s="1"/>
      <c r="AT18" s="2"/>
      <c r="AU18" s="1"/>
      <c r="AV18" s="2"/>
      <c r="AW18" s="1"/>
      <c r="AX18" s="1"/>
      <c r="AY18" s="2"/>
      <c r="AZ18" s="2"/>
      <c r="BA18" s="1"/>
      <c r="BB18" s="1"/>
      <c r="BC18" s="1"/>
      <c r="BD18" s="2"/>
      <c r="BE18" s="1"/>
      <c r="BF18" s="1"/>
      <c r="BG18" s="2"/>
      <c r="BI18" s="6"/>
      <c r="BJ18" s="5"/>
      <c r="BK18" s="5"/>
      <c r="BL18" s="2"/>
      <c r="BM18" s="2"/>
      <c r="BN18" s="2"/>
      <c r="BO18" s="2"/>
      <c r="BP18" s="1"/>
      <c r="BQ18" s="1"/>
      <c r="BR18" s="1"/>
      <c r="BS18" s="1">
        <v>2</v>
      </c>
      <c r="BT18" s="1">
        <v>3</v>
      </c>
      <c r="BU18" s="1">
        <v>4</v>
      </c>
      <c r="BV18" s="1"/>
      <c r="BW18" s="1"/>
      <c r="BX18" s="1"/>
      <c r="BY18" s="1"/>
      <c r="BZ18" s="1"/>
      <c r="CA18" s="1"/>
      <c r="CB18" s="1"/>
      <c r="CC18" s="1"/>
      <c r="CD18" s="2"/>
      <c r="CE18" s="1"/>
      <c r="CF18" s="2"/>
      <c r="CG18" s="1"/>
      <c r="CH18" s="1"/>
      <c r="CI18" s="2"/>
      <c r="CJ18" s="2"/>
      <c r="CK18" s="1"/>
      <c r="CL18" s="1"/>
      <c r="CM18" s="1"/>
      <c r="CN18" s="2"/>
      <c r="CO18" s="1"/>
      <c r="CP18" s="1"/>
      <c r="CQ18" s="2"/>
      <c r="CS18" s="5"/>
      <c r="CT18" s="5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1"/>
      <c r="DG18" s="1"/>
      <c r="DH18" s="2"/>
    </row>
    <row r="19" spans="2:112" ht="81.75" customHeight="1" thickBot="1">
      <c r="B19" s="69"/>
      <c r="C19" s="234" t="s">
        <v>62</v>
      </c>
      <c r="D19" s="229"/>
      <c r="E19" s="229"/>
      <c r="F19" s="229"/>
      <c r="G19" s="229"/>
      <c r="H19" s="229"/>
      <c r="I19" s="229"/>
      <c r="J19" s="229"/>
      <c r="K19" s="230"/>
      <c r="M19" s="227" t="s">
        <v>66</v>
      </c>
      <c r="N19" s="228"/>
      <c r="O19" s="228"/>
      <c r="P19" s="229"/>
      <c r="Q19" s="229"/>
      <c r="R19" s="229"/>
      <c r="S19" s="229"/>
      <c r="T19" s="229"/>
      <c r="U19" s="230"/>
      <c r="W19" s="1">
        <v>1</v>
      </c>
      <c r="X19" s="2">
        <f t="shared" ref="X19:X50" si="0">zakup_domyslny_wartosc*IFERROR((INDEX(scenariusz_I_inflacja_skumulowana,MATCH(ROUNDDOWN(W19/12,0),scenariusz_I_rok,0))+1),1)
*(1+MOD(W19,12)*INDEX(scenariusz_I_inflacja,MATCH(ROUNDUP(W19/12,0),scenariusz_I_rok,0))/12)</f>
        <v>100258.33333333334</v>
      </c>
      <c r="Y19" s="7"/>
      <c r="Z19" s="5">
        <f>zakup_domyslny_ilosc</f>
        <v>1000</v>
      </c>
      <c r="AA19" s="2">
        <f>zakup_domyslny_wartosc</f>
        <v>100000</v>
      </c>
      <c r="AB19" s="2">
        <f>zakup_domyslny_wartosc</f>
        <v>100000</v>
      </c>
      <c r="AC19" s="2">
        <f>zakup_domyslny_wartosc</f>
        <v>100000</v>
      </c>
      <c r="AD19" s="8">
        <f t="shared" ref="AD19:AD50" si="1">IF(AND(MOD($W19,zapadalnosc_TOS)&lt;=zmiana_oprocentowania_co_ile_mc_TOS,MOD($W19,zapadalnosc_TOS)&lt;&gt;0),proc_I_okres_TOS,(marza_TOS+$Y19))</f>
        <v>4.3999999999999997E-2</v>
      </c>
      <c r="AE19" s="2">
        <f t="shared" ref="AE19:AE82" si="2">AC19*(1+AD19*IF(MOD($W19,12)&lt;&gt;0,MOD($W19,12),12)/12)</f>
        <v>100366.66666666667</v>
      </c>
      <c r="AF19" s="2" t="str">
        <f t="shared" ref="AF19:AF50" si="3">IF(MOD($W19,zapadalnosc_TOS)=0,"tak","nie")</f>
        <v>nie</v>
      </c>
      <c r="AG19" s="2">
        <f t="shared" ref="AG19:AG50" si="4">IF(MOD($W19,zapadalnosc_TOS)=0,0,
IF(AND(MOD($W19,zapadalnosc_TOS)&lt;zapadalnosc_TOS,MOD($W19,zapadalnosc_TOS)&lt;=koszt_wczesniejszy_wykup_ochrona_TOS),
MIN(AE19-AB19,Z19*koszt_wczesniejszy_wykup_TOS),Z19*koszt_wczesniejszy_wykup_TOS))</f>
        <v>366.66666666667152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2">
        <f>IF(AND(AF19="tak",AA20&lt;&gt;""),
 AE19-AA20,
0)</f>
        <v>0</v>
      </c>
      <c r="AU19" s="6"/>
      <c r="AV19" s="2">
        <f t="shared" ref="AV19:AV29" si="5">AZ18+AT19+AU19</f>
        <v>0</v>
      </c>
      <c r="AW19" s="6"/>
      <c r="AX19" s="2">
        <f t="shared" ref="AX19:AX50" si="6">AV19-AW19*zamiana_TOS</f>
        <v>0</v>
      </c>
      <c r="AY19" s="1">
        <f t="shared" ref="AY19:AY29" si="7">ROUNDDOWN(AX19/100,0)</f>
        <v>0</v>
      </c>
      <c r="AZ19" s="2">
        <f>AX19-AY19*100</f>
        <v>0</v>
      </c>
      <c r="BA19" s="2">
        <f t="shared" ref="BA19:BA30" si="8">AE19+AN19+AR19+AZ18</f>
        <v>100366.66666666667</v>
      </c>
      <c r="BB19" s="2">
        <f t="shared" ref="BB19:BB50" si="9">MIN(IF(MOD($W19,12)=0,INDEX(IKE_oplata_wskaznik,MATCH(ROUNDUP($W19/12,0),IKE_oplata_rok,0)),0)*BA19,200)</f>
        <v>0</v>
      </c>
      <c r="BC19" s="2">
        <f>BB19+BC18</f>
        <v>0</v>
      </c>
      <c r="BD19" s="2">
        <f t="shared" ref="BD19:BD82" si="10">BA19-BC19</f>
        <v>100366.66666666667</v>
      </c>
      <c r="BE19" s="2">
        <f>AG19+AO19+AS19</f>
        <v>366.66666666667152</v>
      </c>
      <c r="BF19" s="2">
        <f t="shared" ref="BF19:BF82" si="11">(BA19-BE19-zakup_domyslny_wartosc)*podatek_Belki</f>
        <v>0</v>
      </c>
      <c r="BG19" s="2">
        <f t="shared" ref="BG19:BG82" si="12">BA19-BC19-BE19-BF19</f>
        <v>100000</v>
      </c>
      <c r="BI19" s="7"/>
      <c r="BJ19" s="5">
        <f>zakup_domyslny_ilosc</f>
        <v>1000</v>
      </c>
      <c r="BK19" s="2">
        <f>zakup_domyslny_wartosc</f>
        <v>100000</v>
      </c>
      <c r="BL19" s="2">
        <f>zakup_domyslny_wartosc</f>
        <v>100000</v>
      </c>
      <c r="BM19" s="2">
        <f t="shared" ref="BM19:BM50" si="13">BL19</f>
        <v>100000</v>
      </c>
      <c r="BN19" s="8">
        <f t="shared" ref="BN19:BN50" si="14">IF(AND(MOD($W19,zapadalnosc_COI)&lt;=zmiana_oprocentowania_co_ile_mc_COI,MOD($W19,zapadalnosc_COI)&lt;&gt;0),proc_I_okres_COI,(marza_COI+$BI19))</f>
        <v>4.7500000000000001E-2</v>
      </c>
      <c r="BO19" s="2">
        <f t="shared" ref="BO19:BO50" si="15">BM19*(1+BN19*IF(MOD($W19,12)&lt;&gt;0,MOD($W19,12),12)/12)</f>
        <v>100395.83333333333</v>
      </c>
      <c r="BP19" s="2" t="str">
        <f t="shared" ref="BP19:BP50" si="16">IF(MOD($W19,zapadalnosc_COI)=0,"tak","nie")</f>
        <v>nie</v>
      </c>
      <c r="BQ19" s="2">
        <f t="shared" ref="BQ19:BQ50" si="17">IF(MOD($W19,zapadalnosc_COI)=0,0,
IF(AND(MOD($W19,zapadalnosc_COI)&lt;zapadalnosc_COI,MOD($W19,zapadalnosc_COI)&lt;=koszt_wczesniejszy_wykup_ochrona_COI),
MIN(BO19-BL19,BJ19*koszt_wczesniejszy_wykup_COI),BJ19*koszt_wczesniejszy_wykup_COI))</f>
        <v>395.83333333332848</v>
      </c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2">
        <f t="shared" ref="CD19:CD50" si="18">IF(MOD($W19,wyplata_odsetek_COI)=0, (BO19-BL19),0)
-IF(AND(BP19="tak",BK20&lt;&gt;""),BK20-BL19,0)</f>
        <v>0</v>
      </c>
      <c r="CE19" s="6"/>
      <c r="CF19" s="2">
        <f t="shared" ref="CF19:CF29" si="19">CJ18+CD19+CE19</f>
        <v>0</v>
      </c>
      <c r="CG19" s="6"/>
      <c r="CH19" s="2">
        <f t="shared" ref="CH19:CH50" si="20">CF19-CG19*zamiana_COI</f>
        <v>0</v>
      </c>
      <c r="CI19" s="1">
        <f t="shared" ref="CI19:CI29" si="21">ROUNDDOWN(CH19/100,0)</f>
        <v>0</v>
      </c>
      <c r="CJ19" s="2">
        <f>CH19-CI19*100</f>
        <v>0</v>
      </c>
      <c r="CK19" s="2">
        <f t="shared" ref="CK19:CK30" si="22">BO19+BX19+CB19+CJ18</f>
        <v>100395.83333333333</v>
      </c>
      <c r="CL19" s="2">
        <f t="shared" ref="CL19:CL50" si="23">MIN(IF(MOD($W19,12)=0,INDEX(IKE_oplata_wskaznik,MATCH(ROUNDUP($W19/12,0),IKE_oplata_rok,0)),0)*CK19,200)</f>
        <v>0</v>
      </c>
      <c r="CM19" s="2">
        <f>CL19+CM18</f>
        <v>0</v>
      </c>
      <c r="CN19" s="2">
        <f t="shared" ref="CN19:CN50" si="24">CK19-CM19</f>
        <v>100395.83333333333</v>
      </c>
      <c r="CO19" s="2">
        <f>BQ19+BY19+CC19</f>
        <v>395.83333333332848</v>
      </c>
      <c r="CP19" s="2">
        <f t="shared" ref="CP19:CP50" si="25">(CK19-CO19-zakup_domyslny_wartosc)*podatek_Belki</f>
        <v>0</v>
      </c>
      <c r="CQ19" s="2">
        <f t="shared" ref="CQ19:CQ50" si="26">CK19-CM19-CO19-CP19</f>
        <v>100000</v>
      </c>
      <c r="CS19" s="5">
        <f>zakup_domyslny_ilosc</f>
        <v>1000</v>
      </c>
      <c r="CT19" s="2">
        <f>zakup_domyslny_wartosc</f>
        <v>100000</v>
      </c>
      <c r="CU19" s="2">
        <f>zakup_domyslny_wartosc</f>
        <v>100000</v>
      </c>
      <c r="CV19" s="2">
        <f>zakup_domyslny_wartosc</f>
        <v>100000</v>
      </c>
      <c r="CW19" s="8">
        <f t="shared" ref="CW19:CW50" si="27">IF(AND(MOD($W19,zapadalnosc_EDO)&lt;=12,MOD($W19,zapadalnosc_EDO)&lt;&gt;0),proc_I_okres_EDO,(marza_EDO+$BI19))</f>
        <v>5.3499999999999999E-2</v>
      </c>
      <c r="CX19" s="2">
        <f t="shared" ref="CX19:CX50" si="28">CV19*(1+CW19*IF(MOD($W19,12)&lt;&gt;0,MOD($W19,12),12)/12)</f>
        <v>100445.83333333333</v>
      </c>
      <c r="CY19" s="2" t="str">
        <f t="shared" ref="CY19:CY50" si="29">IF(MOD($W19,zapadalnosc_EDO)=0,"tak","nie")</f>
        <v>nie</v>
      </c>
      <c r="CZ19" s="2">
        <f>IF(AND(CY19="tak",CT20&lt;&gt;""),
 CX19-CT20,
0)</f>
        <v>0</v>
      </c>
      <c r="DA19" s="2">
        <f>DA18+CZ19</f>
        <v>0</v>
      </c>
      <c r="DB19" s="2">
        <f>DA18+CX19</f>
        <v>100445.83333333333</v>
      </c>
      <c r="DC19" s="2">
        <f t="shared" ref="DC19:DC50" si="30">MIN(IF(MOD(W19,12)=0,INDEX(IKE_oplata_wskaznik,MATCH(ROUNDUP(W19/12,0),IKE_oplata_rok,0)),0)*DB19,200)</f>
        <v>0</v>
      </c>
      <c r="DD19" s="2">
        <f>DC19+DD18</f>
        <v>0</v>
      </c>
      <c r="DE19" s="2">
        <f t="shared" ref="DE19" si="31">DB19-DD19</f>
        <v>100445.83333333333</v>
      </c>
      <c r="DF19" s="2">
        <f t="shared" ref="DF19:DF50" si="32">IF(AND(MOD($W19,zapadalnosc_EDO)&lt;zapadalnosc_EDO,MOD($W19,zapadalnosc_EDO)&lt;&gt;0),MIN(CX19-CU19,CS19*koszt_wczesniejszy_wykup_EDO),0)</f>
        <v>445.83333333332848</v>
      </c>
      <c r="DG19" s="2">
        <f t="shared" ref="DG19:DG50" si="33">(CX19-DF19-zakup_domyslny_wartosc)*podatek_Belki</f>
        <v>0</v>
      </c>
      <c r="DH19" s="2">
        <f>DB19-DD19-DF19-DG19</f>
        <v>100000</v>
      </c>
    </row>
    <row r="20" spans="2:112" ht="64.5" customHeight="1">
      <c r="B20" s="69"/>
      <c r="C20" s="37" t="s">
        <v>7</v>
      </c>
      <c r="D20" s="65" t="s">
        <v>104</v>
      </c>
      <c r="E20" s="70" t="s">
        <v>105</v>
      </c>
      <c r="F20" s="42" t="s">
        <v>75</v>
      </c>
      <c r="G20" s="59" t="s">
        <v>74</v>
      </c>
      <c r="H20" s="43" t="s">
        <v>77</v>
      </c>
      <c r="I20" s="46" t="s">
        <v>76</v>
      </c>
      <c r="J20" s="56" t="s">
        <v>68</v>
      </c>
      <c r="K20" s="38" t="s">
        <v>67</v>
      </c>
      <c r="M20" s="37" t="s">
        <v>7</v>
      </c>
      <c r="N20" s="65" t="s">
        <v>104</v>
      </c>
      <c r="O20" s="70" t="s">
        <v>105</v>
      </c>
      <c r="P20" s="42" t="s">
        <v>75</v>
      </c>
      <c r="Q20" s="59" t="s">
        <v>74</v>
      </c>
      <c r="R20" s="43" t="s">
        <v>77</v>
      </c>
      <c r="S20" s="46" t="s">
        <v>76</v>
      </c>
      <c r="T20" s="56" t="s">
        <v>68</v>
      </c>
      <c r="U20" s="38" t="str">
        <f>OBLIGACJE!$K$23</f>
        <v>Skumulowana INFLACJA</v>
      </c>
      <c r="W20" s="1">
        <f t="shared" ref="W20:W51" si="34">W19+1</f>
        <v>2</v>
      </c>
      <c r="X20" s="2">
        <f t="shared" si="0"/>
        <v>100516.66666666667</v>
      </c>
      <c r="Y20" s="7"/>
      <c r="Z20" s="5">
        <f t="shared" ref="Z20:Z51" si="35">IF(AF19="tak",
ROUNDDOWN(AE19/zamiana_TOS,0),
Z19)</f>
        <v>1000</v>
      </c>
      <c r="AA20" s="2">
        <f t="shared" ref="AA20:AA51" si="36">IF(AF19="tak",
Z20*zamiana_TOS,
AA19)</f>
        <v>100000</v>
      </c>
      <c r="AB20" s="2">
        <f t="shared" ref="AB20:AB83" si="37">IF(AF19="tak",
Z20*100,
AB19)</f>
        <v>100000</v>
      </c>
      <c r="AC20" s="2">
        <f t="shared" ref="AC20:AC51" si="38">IF(AF19="tak",
 AB20,
IF(MOD($W20,kapitalizacja_odsetek_mc_TOS)&lt;&gt;1,AC19,AE19))</f>
        <v>100000</v>
      </c>
      <c r="AD20" s="8">
        <f t="shared" si="1"/>
        <v>4.3999999999999997E-2</v>
      </c>
      <c r="AE20" s="2">
        <f t="shared" si="2"/>
        <v>100733.33333333334</v>
      </c>
      <c r="AF20" s="2" t="str">
        <f t="shared" si="3"/>
        <v>nie</v>
      </c>
      <c r="AG20" s="2">
        <f t="shared" si="4"/>
        <v>733.33333333334303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2">
        <f t="shared" ref="AT20:AT83" si="39">IF(AND(AF20="tak",AA21&lt;&gt;""),
 AE20-AA21,
0)</f>
        <v>0</v>
      </c>
      <c r="AU20" s="6"/>
      <c r="AV20" s="2">
        <f t="shared" si="5"/>
        <v>0</v>
      </c>
      <c r="AW20" s="6"/>
      <c r="AX20" s="2">
        <f t="shared" si="6"/>
        <v>0</v>
      </c>
      <c r="AY20" s="1">
        <f t="shared" si="7"/>
        <v>0</v>
      </c>
      <c r="AZ20" s="2">
        <f t="shared" ref="AZ20:AZ83" si="40">AX20-AY20*100</f>
        <v>0</v>
      </c>
      <c r="BA20" s="2">
        <f t="shared" si="8"/>
        <v>100733.33333333334</v>
      </c>
      <c r="BB20" s="2">
        <f t="shared" si="9"/>
        <v>0</v>
      </c>
      <c r="BC20" s="2">
        <f t="shared" ref="BC20:BC83" si="41">BB20+BC19</f>
        <v>0</v>
      </c>
      <c r="BD20" s="2">
        <f t="shared" si="10"/>
        <v>100733.33333333334</v>
      </c>
      <c r="BE20" s="2">
        <f t="shared" ref="BE20:BE83" si="42">AG20+AO20+AS20</f>
        <v>733.33333333334303</v>
      </c>
      <c r="BF20" s="2">
        <f t="shared" si="11"/>
        <v>0</v>
      </c>
      <c r="BG20" s="2">
        <f t="shared" si="12"/>
        <v>100000</v>
      </c>
      <c r="BI20" s="7"/>
      <c r="BJ20" s="5">
        <f t="shared" ref="BJ20:BJ51" si="43">IF(BP19="tak",
ROUNDDOWN(BO19/zamiana_COI,0),
BJ19)</f>
        <v>1000</v>
      </c>
      <c r="BK20" s="2">
        <f t="shared" ref="BK20:BK51" si="44">IF(BP19="tak",
BJ20*zamiana_COI,
BK19)</f>
        <v>100000</v>
      </c>
      <c r="BL20" s="2">
        <f t="shared" ref="BL20:BL51" si="45">IF(BP19="tak",
BJ20*100,
BL19)</f>
        <v>100000</v>
      </c>
      <c r="BM20" s="2">
        <f t="shared" si="13"/>
        <v>100000</v>
      </c>
      <c r="BN20" s="8">
        <f t="shared" si="14"/>
        <v>4.7500000000000001E-2</v>
      </c>
      <c r="BO20" s="2">
        <f t="shared" si="15"/>
        <v>100791.66666666666</v>
      </c>
      <c r="BP20" s="2" t="str">
        <f t="shared" si="16"/>
        <v>nie</v>
      </c>
      <c r="BQ20" s="2">
        <f t="shared" si="17"/>
        <v>791.66666666665697</v>
      </c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2">
        <f t="shared" si="18"/>
        <v>0</v>
      </c>
      <c r="CE20" s="6"/>
      <c r="CF20" s="2">
        <f t="shared" si="19"/>
        <v>0</v>
      </c>
      <c r="CG20" s="6"/>
      <c r="CH20" s="2">
        <f t="shared" si="20"/>
        <v>0</v>
      </c>
      <c r="CI20" s="1">
        <f t="shared" si="21"/>
        <v>0</v>
      </c>
      <c r="CJ20" s="2">
        <f t="shared" ref="CJ20:CJ31" si="46">CH20-CI20*100</f>
        <v>0</v>
      </c>
      <c r="CK20" s="2">
        <f t="shared" si="22"/>
        <v>100791.66666666666</v>
      </c>
      <c r="CL20" s="2">
        <f t="shared" si="23"/>
        <v>0</v>
      </c>
      <c r="CM20" s="2">
        <f t="shared" ref="CM20:CM83" si="47">CL20+CM19</f>
        <v>0</v>
      </c>
      <c r="CN20" s="2">
        <f t="shared" si="24"/>
        <v>100791.66666666666</v>
      </c>
      <c r="CO20" s="2">
        <f t="shared" ref="CO20:CO83" si="48">BQ20+BY20+CC20</f>
        <v>791.66666666665697</v>
      </c>
      <c r="CP20" s="2">
        <f t="shared" si="25"/>
        <v>0</v>
      </c>
      <c r="CQ20" s="2">
        <f t="shared" si="26"/>
        <v>100000</v>
      </c>
      <c r="CS20" s="5">
        <f t="shared" ref="CS20:CS51" si="49">IF(CY19="tak",
ROUNDDOWN(CX19/zamiana_EDO,0),
CS19)</f>
        <v>1000</v>
      </c>
      <c r="CT20" s="2">
        <f t="shared" ref="CT20:CT51" si="50">IF(CY19="tak",
CS20*zamiana_EDO,
CT19)</f>
        <v>100000</v>
      </c>
      <c r="CU20" s="2">
        <f t="shared" ref="CU20:CU51" si="51">IF(CY19="tak",
CS20*100,
CU19)</f>
        <v>100000</v>
      </c>
      <c r="CV20" s="2">
        <f t="shared" ref="CV20:CV51" si="52">IF(CY19="tak",
 CU20,
IF(MOD($W20,kapitalizacja_odsetek_mc_EDO)&lt;&gt;1,CV19,CX19))</f>
        <v>100000</v>
      </c>
      <c r="CW20" s="8">
        <f t="shared" si="27"/>
        <v>5.3499999999999999E-2</v>
      </c>
      <c r="CX20" s="2">
        <f t="shared" si="28"/>
        <v>100891.66666666667</v>
      </c>
      <c r="CY20" s="2" t="str">
        <f t="shared" si="29"/>
        <v>nie</v>
      </c>
      <c r="CZ20" s="2">
        <f t="shared" ref="CZ20:CZ83" si="53">IF(AND(CY20="tak",CT21&lt;&gt;""),
 CX20-CT21,
0)</f>
        <v>0</v>
      </c>
      <c r="DA20" s="2">
        <f t="shared" ref="DA20:DA83" si="54">DA19+CZ20</f>
        <v>0</v>
      </c>
      <c r="DB20" s="2">
        <f t="shared" ref="DB20:DB83" si="55">DA19+CX20</f>
        <v>100891.66666666667</v>
      </c>
      <c r="DC20" s="2">
        <f t="shared" si="30"/>
        <v>0</v>
      </c>
      <c r="DD20" s="2">
        <f t="shared" ref="DD20:DD83" si="56">DC20+DD19</f>
        <v>0</v>
      </c>
      <c r="DE20" s="2">
        <f t="shared" ref="DE20:DE83" si="57">DB20-DD20</f>
        <v>100891.66666666667</v>
      </c>
      <c r="DF20" s="2">
        <f t="shared" si="32"/>
        <v>891.66666666667152</v>
      </c>
      <c r="DG20" s="2">
        <f t="shared" si="33"/>
        <v>0</v>
      </c>
      <c r="DH20" s="2">
        <f t="shared" ref="DH20:DH83" si="58">DB20-DD20-DF20-DG20</f>
        <v>100000</v>
      </c>
    </row>
    <row r="21" spans="2:112">
      <c r="C21" s="51">
        <v>0</v>
      </c>
      <c r="D21" s="2">
        <f t="shared" ref="D21:K21" si="59">zakup_domyslny_wartosc</f>
        <v>100000</v>
      </c>
      <c r="E21" s="2">
        <f t="shared" si="59"/>
        <v>100000</v>
      </c>
      <c r="F21" s="2">
        <f t="shared" si="59"/>
        <v>100000</v>
      </c>
      <c r="G21" s="2">
        <f t="shared" si="59"/>
        <v>100000</v>
      </c>
      <c r="H21" s="2">
        <f t="shared" si="59"/>
        <v>100000</v>
      </c>
      <c r="I21" s="2">
        <f t="shared" si="59"/>
        <v>100000</v>
      </c>
      <c r="J21" s="52">
        <f t="shared" si="59"/>
        <v>100000</v>
      </c>
      <c r="K21" s="44">
        <f t="shared" si="59"/>
        <v>100000</v>
      </c>
      <c r="M21" s="51">
        <v>0</v>
      </c>
      <c r="N21" s="25">
        <f t="shared" ref="N21:N33" si="60">D21/zakup_domyslny_wartosc-1</f>
        <v>0</v>
      </c>
      <c r="O21" s="25">
        <f t="shared" ref="O21:O33" si="61">E21/zakup_domyslny_wartosc-1</f>
        <v>0</v>
      </c>
      <c r="P21" s="25">
        <f t="shared" ref="P21:P33" si="62">F21/zakup_domyslny_wartosc-1</f>
        <v>0</v>
      </c>
      <c r="Q21" s="25">
        <f t="shared" ref="Q21:Q33" si="63">G21/zakup_domyslny_wartosc-1</f>
        <v>0</v>
      </c>
      <c r="R21" s="25">
        <f t="shared" ref="R21:R33" si="64">H21/zakup_domyslny_wartosc-1</f>
        <v>0</v>
      </c>
      <c r="S21" s="25">
        <f t="shared" ref="S21:S33" si="65">I21/zakup_domyslny_wartosc-1</f>
        <v>0</v>
      </c>
      <c r="T21" s="25">
        <f t="shared" ref="T21:T33" si="66">J21/zakup_domyslny_wartosc-1</f>
        <v>0</v>
      </c>
      <c r="U21" s="27">
        <f t="shared" ref="U21:U33" si="67">K21/zakup_domyslny_wartosc-1</f>
        <v>0</v>
      </c>
      <c r="W21" s="1">
        <f t="shared" si="34"/>
        <v>3</v>
      </c>
      <c r="X21" s="2">
        <f t="shared" si="0"/>
        <v>100774.99999999999</v>
      </c>
      <c r="Y21" s="7"/>
      <c r="Z21" s="5">
        <f t="shared" si="35"/>
        <v>1000</v>
      </c>
      <c r="AA21" s="2">
        <f t="shared" si="36"/>
        <v>100000</v>
      </c>
      <c r="AB21" s="2">
        <f t="shared" si="37"/>
        <v>100000</v>
      </c>
      <c r="AC21" s="2">
        <f t="shared" si="38"/>
        <v>100000</v>
      </c>
      <c r="AD21" s="8">
        <f t="shared" si="1"/>
        <v>4.3999999999999997E-2</v>
      </c>
      <c r="AE21" s="2">
        <f t="shared" si="2"/>
        <v>101099.99999999999</v>
      </c>
      <c r="AF21" s="2" t="str">
        <f t="shared" si="3"/>
        <v>nie</v>
      </c>
      <c r="AG21" s="2">
        <f t="shared" si="4"/>
        <v>1000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2">
        <f t="shared" si="39"/>
        <v>0</v>
      </c>
      <c r="AU21" s="6"/>
      <c r="AV21" s="2">
        <f t="shared" si="5"/>
        <v>0</v>
      </c>
      <c r="AW21" s="6"/>
      <c r="AX21" s="2">
        <f t="shared" si="6"/>
        <v>0</v>
      </c>
      <c r="AY21" s="1">
        <f t="shared" si="7"/>
        <v>0</v>
      </c>
      <c r="AZ21" s="2">
        <f t="shared" si="40"/>
        <v>0</v>
      </c>
      <c r="BA21" s="2">
        <f t="shared" si="8"/>
        <v>101099.99999999999</v>
      </c>
      <c r="BB21" s="2">
        <f t="shared" si="9"/>
        <v>0</v>
      </c>
      <c r="BC21" s="2">
        <f t="shared" si="41"/>
        <v>0</v>
      </c>
      <c r="BD21" s="2">
        <f t="shared" si="10"/>
        <v>101099.99999999999</v>
      </c>
      <c r="BE21" s="2">
        <f t="shared" si="42"/>
        <v>1000</v>
      </c>
      <c r="BF21" s="2">
        <f t="shared" si="11"/>
        <v>18.999999999997236</v>
      </c>
      <c r="BG21" s="2">
        <f t="shared" si="12"/>
        <v>100080.99999999999</v>
      </c>
      <c r="BI21" s="7"/>
      <c r="BJ21" s="5">
        <f t="shared" si="43"/>
        <v>1000</v>
      </c>
      <c r="BK21" s="2">
        <f t="shared" si="44"/>
        <v>100000</v>
      </c>
      <c r="BL21" s="2">
        <f t="shared" si="45"/>
        <v>100000</v>
      </c>
      <c r="BM21" s="2">
        <f t="shared" si="13"/>
        <v>100000</v>
      </c>
      <c r="BN21" s="8">
        <f t="shared" si="14"/>
        <v>4.7500000000000001E-2</v>
      </c>
      <c r="BO21" s="2">
        <f t="shared" si="15"/>
        <v>101187.50000000001</v>
      </c>
      <c r="BP21" s="2" t="str">
        <f t="shared" si="16"/>
        <v>nie</v>
      </c>
      <c r="BQ21" s="2">
        <f t="shared" si="17"/>
        <v>1187.5000000000146</v>
      </c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2">
        <f t="shared" si="18"/>
        <v>0</v>
      </c>
      <c r="CE21" s="6"/>
      <c r="CF21" s="2">
        <f t="shared" si="19"/>
        <v>0</v>
      </c>
      <c r="CG21" s="6"/>
      <c r="CH21" s="2">
        <f t="shared" si="20"/>
        <v>0</v>
      </c>
      <c r="CI21" s="1">
        <f t="shared" si="21"/>
        <v>0</v>
      </c>
      <c r="CJ21" s="2">
        <f t="shared" si="46"/>
        <v>0</v>
      </c>
      <c r="CK21" s="2">
        <f t="shared" si="22"/>
        <v>101187.50000000001</v>
      </c>
      <c r="CL21" s="2">
        <f t="shared" si="23"/>
        <v>0</v>
      </c>
      <c r="CM21" s="2">
        <f t="shared" si="47"/>
        <v>0</v>
      </c>
      <c r="CN21" s="2">
        <f t="shared" si="24"/>
        <v>101187.50000000001</v>
      </c>
      <c r="CO21" s="2">
        <f t="shared" si="48"/>
        <v>1187.5000000000146</v>
      </c>
      <c r="CP21" s="2">
        <f t="shared" si="25"/>
        <v>0</v>
      </c>
      <c r="CQ21" s="2">
        <f t="shared" si="26"/>
        <v>100000</v>
      </c>
      <c r="CS21" s="5">
        <f t="shared" si="49"/>
        <v>1000</v>
      </c>
      <c r="CT21" s="2">
        <f t="shared" si="50"/>
        <v>100000</v>
      </c>
      <c r="CU21" s="2">
        <f t="shared" si="51"/>
        <v>100000</v>
      </c>
      <c r="CV21" s="2">
        <f t="shared" si="52"/>
        <v>100000</v>
      </c>
      <c r="CW21" s="8">
        <f t="shared" si="27"/>
        <v>5.3499999999999999E-2</v>
      </c>
      <c r="CX21" s="2">
        <f t="shared" si="28"/>
        <v>101337.49999999999</v>
      </c>
      <c r="CY21" s="2" t="str">
        <f t="shared" si="29"/>
        <v>nie</v>
      </c>
      <c r="CZ21" s="2">
        <f t="shared" si="53"/>
        <v>0</v>
      </c>
      <c r="DA21" s="2">
        <f t="shared" si="54"/>
        <v>0</v>
      </c>
      <c r="DB21" s="2">
        <f t="shared" si="55"/>
        <v>101337.49999999999</v>
      </c>
      <c r="DC21" s="2">
        <f t="shared" si="30"/>
        <v>0</v>
      </c>
      <c r="DD21" s="2">
        <f t="shared" si="56"/>
        <v>0</v>
      </c>
      <c r="DE21" s="2">
        <f t="shared" si="57"/>
        <v>101337.49999999999</v>
      </c>
      <c r="DF21" s="2">
        <f t="shared" si="32"/>
        <v>1337.4999999999854</v>
      </c>
      <c r="DG21" s="2">
        <f t="shared" si="33"/>
        <v>0</v>
      </c>
      <c r="DH21" s="2">
        <f t="shared" si="58"/>
        <v>100000</v>
      </c>
    </row>
    <row r="22" spans="2:112">
      <c r="C22" s="23">
        <v>1</v>
      </c>
      <c r="D22" s="2">
        <f t="shared" ref="D22:D33" si="68">INDEX(IKE_wyniki_TOS_preferencje,MATCH(C22*12,IKE_wyniki_mc,0))</f>
        <v>104400</v>
      </c>
      <c r="E22" s="2">
        <f t="shared" ref="E22:E33" si="69">INDEX(IKE_wyniki_TOS_I,MATCH(C22*12,IKE_wyniki_mc,0))</f>
        <v>102754</v>
      </c>
      <c r="F22" s="2">
        <f t="shared" ref="F22:F33" si="70">INDEX(IKE_wyniki_COI_preferencje,MATCH(C22*12,IKE_wyniki_mc,0))</f>
        <v>104750.00000000001</v>
      </c>
      <c r="G22" s="2">
        <f t="shared" ref="G22:G33" si="71">INDEX(IKE_wyniki_COI_I,MATCH(C22*12,IKE_wyniki_mc,0))</f>
        <v>102227.50000000001</v>
      </c>
      <c r="H22" s="2">
        <f t="shared" ref="H22:H33" si="72">INDEX(IKE_wyniki_EDO_preferencje,MATCH(C22*12,IKE_wyniki_mc,0))</f>
        <v>105350.00000000001</v>
      </c>
      <c r="I22" s="2">
        <f t="shared" ref="I22:I33" si="73">INDEX(IKE_wyniki_EDO_I,MATCH(C22*12,IKE_wyniki_mc,0))</f>
        <v>101903.50000000001</v>
      </c>
      <c r="J22" s="52">
        <f t="shared" ref="J22:J33" si="74">FV(INDEX(scenariusz_I_konto,MATCH(C22,scenariusz_I_rok,0))/12*(1-podatek_Belki),12,0,-J21,1)</f>
        <v>102955.28974864181</v>
      </c>
      <c r="K22" s="44">
        <f t="shared" ref="K22:K33" si="75">INDEX(IKE_wyniki_skumulowana_inflacja,MATCH(C22*12,IKE_wyniki_mc,0))</f>
        <v>103099.99999999999</v>
      </c>
      <c r="M22" s="23">
        <v>1</v>
      </c>
      <c r="N22" s="25">
        <f t="shared" si="60"/>
        <v>4.4000000000000039E-2</v>
      </c>
      <c r="O22" s="25">
        <f t="shared" si="61"/>
        <v>2.7539999999999898E-2</v>
      </c>
      <c r="P22" s="25">
        <f t="shared" si="62"/>
        <v>4.7500000000000098E-2</v>
      </c>
      <c r="Q22" s="25">
        <f t="shared" si="63"/>
        <v>2.2275000000000045E-2</v>
      </c>
      <c r="R22" s="25">
        <f t="shared" si="64"/>
        <v>5.3500000000000103E-2</v>
      </c>
      <c r="S22" s="26">
        <f t="shared" si="65"/>
        <v>1.9035000000000135E-2</v>
      </c>
      <c r="T22" s="25">
        <f t="shared" si="66"/>
        <v>2.9552897486418095E-2</v>
      </c>
      <c r="U22" s="27">
        <f t="shared" si="67"/>
        <v>3.0999999999999917E-2</v>
      </c>
      <c r="W22" s="1">
        <f t="shared" si="34"/>
        <v>4</v>
      </c>
      <c r="X22" s="2">
        <f t="shared" si="0"/>
        <v>101033.33333333333</v>
      </c>
      <c r="Y22" s="7"/>
      <c r="Z22" s="5">
        <f t="shared" si="35"/>
        <v>1000</v>
      </c>
      <c r="AA22" s="2">
        <f t="shared" si="36"/>
        <v>100000</v>
      </c>
      <c r="AB22" s="2">
        <f t="shared" si="37"/>
        <v>100000</v>
      </c>
      <c r="AC22" s="2">
        <f t="shared" si="38"/>
        <v>100000</v>
      </c>
      <c r="AD22" s="8">
        <f t="shared" si="1"/>
        <v>4.3999999999999997E-2</v>
      </c>
      <c r="AE22" s="2">
        <f t="shared" si="2"/>
        <v>101466.66666666666</v>
      </c>
      <c r="AF22" s="2" t="str">
        <f t="shared" si="3"/>
        <v>nie</v>
      </c>
      <c r="AG22" s="2">
        <f t="shared" si="4"/>
        <v>1000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2">
        <f t="shared" si="39"/>
        <v>0</v>
      </c>
      <c r="AU22" s="6"/>
      <c r="AV22" s="2">
        <f t="shared" si="5"/>
        <v>0</v>
      </c>
      <c r="AW22" s="6"/>
      <c r="AX22" s="2">
        <f t="shared" si="6"/>
        <v>0</v>
      </c>
      <c r="AY22" s="1">
        <f t="shared" si="7"/>
        <v>0</v>
      </c>
      <c r="AZ22" s="2">
        <f t="shared" si="40"/>
        <v>0</v>
      </c>
      <c r="BA22" s="2">
        <f t="shared" si="8"/>
        <v>101466.66666666666</v>
      </c>
      <c r="BB22" s="2">
        <f t="shared" si="9"/>
        <v>0</v>
      </c>
      <c r="BC22" s="2">
        <f t="shared" si="41"/>
        <v>0</v>
      </c>
      <c r="BD22" s="2">
        <f t="shared" si="10"/>
        <v>101466.66666666666</v>
      </c>
      <c r="BE22" s="2">
        <f t="shared" si="42"/>
        <v>1000</v>
      </c>
      <c r="BF22" s="2">
        <f t="shared" si="11"/>
        <v>88.666666666664824</v>
      </c>
      <c r="BG22" s="2">
        <f t="shared" si="12"/>
        <v>100377.99999999999</v>
      </c>
      <c r="BI22" s="7"/>
      <c r="BJ22" s="5">
        <f t="shared" si="43"/>
        <v>1000</v>
      </c>
      <c r="BK22" s="2">
        <f t="shared" si="44"/>
        <v>100000</v>
      </c>
      <c r="BL22" s="2">
        <f t="shared" si="45"/>
        <v>100000</v>
      </c>
      <c r="BM22" s="2">
        <f t="shared" si="13"/>
        <v>100000</v>
      </c>
      <c r="BN22" s="8">
        <f t="shared" si="14"/>
        <v>4.7500000000000001E-2</v>
      </c>
      <c r="BO22" s="2">
        <f t="shared" si="15"/>
        <v>101583.33333333334</v>
      </c>
      <c r="BP22" s="2" t="str">
        <f t="shared" si="16"/>
        <v>nie</v>
      </c>
      <c r="BQ22" s="2">
        <f t="shared" si="17"/>
        <v>1583.333333333343</v>
      </c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2">
        <f t="shared" si="18"/>
        <v>0</v>
      </c>
      <c r="CE22" s="6"/>
      <c r="CF22" s="2">
        <f t="shared" si="19"/>
        <v>0</v>
      </c>
      <c r="CG22" s="6"/>
      <c r="CH22" s="2">
        <f t="shared" si="20"/>
        <v>0</v>
      </c>
      <c r="CI22" s="1">
        <f t="shared" si="21"/>
        <v>0</v>
      </c>
      <c r="CJ22" s="2">
        <f t="shared" si="46"/>
        <v>0</v>
      </c>
      <c r="CK22" s="2">
        <f t="shared" si="22"/>
        <v>101583.33333333334</v>
      </c>
      <c r="CL22" s="2">
        <f t="shared" si="23"/>
        <v>0</v>
      </c>
      <c r="CM22" s="2">
        <f t="shared" si="47"/>
        <v>0</v>
      </c>
      <c r="CN22" s="2">
        <f t="shared" si="24"/>
        <v>101583.33333333334</v>
      </c>
      <c r="CO22" s="2">
        <f t="shared" si="48"/>
        <v>1583.333333333343</v>
      </c>
      <c r="CP22" s="2">
        <f t="shared" si="25"/>
        <v>0</v>
      </c>
      <c r="CQ22" s="2">
        <f t="shared" si="26"/>
        <v>100000</v>
      </c>
      <c r="CS22" s="5">
        <f t="shared" si="49"/>
        <v>1000</v>
      </c>
      <c r="CT22" s="2">
        <f t="shared" si="50"/>
        <v>100000</v>
      </c>
      <c r="CU22" s="2">
        <f t="shared" si="51"/>
        <v>100000</v>
      </c>
      <c r="CV22" s="2">
        <f t="shared" si="52"/>
        <v>100000</v>
      </c>
      <c r="CW22" s="8">
        <f t="shared" si="27"/>
        <v>5.3499999999999999E-2</v>
      </c>
      <c r="CX22" s="2">
        <f t="shared" si="28"/>
        <v>101783.33333333334</v>
      </c>
      <c r="CY22" s="2" t="str">
        <f t="shared" si="29"/>
        <v>nie</v>
      </c>
      <c r="CZ22" s="2">
        <f t="shared" si="53"/>
        <v>0</v>
      </c>
      <c r="DA22" s="2">
        <f t="shared" si="54"/>
        <v>0</v>
      </c>
      <c r="DB22" s="2">
        <f t="shared" si="55"/>
        <v>101783.33333333334</v>
      </c>
      <c r="DC22" s="2">
        <f t="shared" si="30"/>
        <v>0</v>
      </c>
      <c r="DD22" s="2">
        <f t="shared" si="56"/>
        <v>0</v>
      </c>
      <c r="DE22" s="2">
        <f t="shared" si="57"/>
        <v>101783.33333333334</v>
      </c>
      <c r="DF22" s="2">
        <f t="shared" si="32"/>
        <v>1783.333333333343</v>
      </c>
      <c r="DG22" s="2">
        <f t="shared" si="33"/>
        <v>0</v>
      </c>
      <c r="DH22" s="2">
        <f t="shared" si="58"/>
        <v>100000</v>
      </c>
    </row>
    <row r="23" spans="2:112">
      <c r="C23" s="23">
        <v>2</v>
      </c>
      <c r="D23" s="2">
        <f t="shared" si="68"/>
        <v>108819.21024</v>
      </c>
      <c r="E23" s="2">
        <f t="shared" si="69"/>
        <v>106300.42624</v>
      </c>
      <c r="F23" s="2">
        <f t="shared" si="70"/>
        <v>109397.93280000001</v>
      </c>
      <c r="G23" s="2">
        <f t="shared" si="71"/>
        <v>105882.8753</v>
      </c>
      <c r="H23" s="2">
        <f t="shared" si="72"/>
        <v>110545.69344</v>
      </c>
      <c r="I23" s="2">
        <f t="shared" si="73"/>
        <v>106078.35194000001</v>
      </c>
      <c r="J23" s="52">
        <f t="shared" si="74"/>
        <v>105997.91687226789</v>
      </c>
      <c r="K23" s="44">
        <f t="shared" si="75"/>
        <v>106296.09999999998</v>
      </c>
      <c r="M23" s="23">
        <v>2</v>
      </c>
      <c r="N23" s="25">
        <f t="shared" si="60"/>
        <v>8.8192102400000083E-2</v>
      </c>
      <c r="O23" s="25">
        <f t="shared" si="61"/>
        <v>6.3004262400000011E-2</v>
      </c>
      <c r="P23" s="25">
        <f t="shared" si="62"/>
        <v>9.3979328000000084E-2</v>
      </c>
      <c r="Q23" s="25">
        <f t="shared" si="63"/>
        <v>5.8828753000000011E-2</v>
      </c>
      <c r="R23" s="25">
        <f t="shared" si="64"/>
        <v>0.10545693440000004</v>
      </c>
      <c r="S23" s="26">
        <f t="shared" si="65"/>
        <v>6.0783519400000152E-2</v>
      </c>
      <c r="T23" s="53">
        <f t="shared" si="66"/>
        <v>5.9979168722678944E-2</v>
      </c>
      <c r="U23" s="27">
        <f t="shared" si="67"/>
        <v>6.2960999999999823E-2</v>
      </c>
      <c r="W23" s="1">
        <f t="shared" si="34"/>
        <v>5</v>
      </c>
      <c r="X23" s="2">
        <f t="shared" si="0"/>
        <v>101291.66666666667</v>
      </c>
      <c r="Y23" s="7"/>
      <c r="Z23" s="5">
        <f t="shared" si="35"/>
        <v>1000</v>
      </c>
      <c r="AA23" s="2">
        <f t="shared" si="36"/>
        <v>100000</v>
      </c>
      <c r="AB23" s="2">
        <f t="shared" si="37"/>
        <v>100000</v>
      </c>
      <c r="AC23" s="2">
        <f t="shared" si="38"/>
        <v>100000</v>
      </c>
      <c r="AD23" s="8">
        <f t="shared" si="1"/>
        <v>4.3999999999999997E-2</v>
      </c>
      <c r="AE23" s="2">
        <f t="shared" si="2"/>
        <v>101833.33333333333</v>
      </c>
      <c r="AF23" s="2" t="str">
        <f t="shared" si="3"/>
        <v>nie</v>
      </c>
      <c r="AG23" s="2">
        <f t="shared" si="4"/>
        <v>1000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2">
        <f t="shared" si="39"/>
        <v>0</v>
      </c>
      <c r="AU23" s="6"/>
      <c r="AV23" s="2">
        <f t="shared" si="5"/>
        <v>0</v>
      </c>
      <c r="AW23" s="6"/>
      <c r="AX23" s="2">
        <f t="shared" si="6"/>
        <v>0</v>
      </c>
      <c r="AY23" s="1">
        <f t="shared" si="7"/>
        <v>0</v>
      </c>
      <c r="AZ23" s="2">
        <f t="shared" si="40"/>
        <v>0</v>
      </c>
      <c r="BA23" s="2">
        <f t="shared" si="8"/>
        <v>101833.33333333333</v>
      </c>
      <c r="BB23" s="2">
        <f t="shared" si="9"/>
        <v>0</v>
      </c>
      <c r="BC23" s="2">
        <f t="shared" si="41"/>
        <v>0</v>
      </c>
      <c r="BD23" s="2">
        <f t="shared" si="10"/>
        <v>101833.33333333333</v>
      </c>
      <c r="BE23" s="2">
        <f t="shared" si="42"/>
        <v>1000</v>
      </c>
      <c r="BF23" s="2">
        <f t="shared" si="11"/>
        <v>158.3333333333324</v>
      </c>
      <c r="BG23" s="2">
        <f t="shared" si="12"/>
        <v>100675</v>
      </c>
      <c r="BI23" s="7"/>
      <c r="BJ23" s="5">
        <f t="shared" si="43"/>
        <v>1000</v>
      </c>
      <c r="BK23" s="2">
        <f t="shared" si="44"/>
        <v>100000</v>
      </c>
      <c r="BL23" s="2">
        <f t="shared" si="45"/>
        <v>100000</v>
      </c>
      <c r="BM23" s="2">
        <f t="shared" si="13"/>
        <v>100000</v>
      </c>
      <c r="BN23" s="8">
        <f t="shared" si="14"/>
        <v>4.7500000000000001E-2</v>
      </c>
      <c r="BO23" s="2">
        <f t="shared" si="15"/>
        <v>101979.16666666667</v>
      </c>
      <c r="BP23" s="2" t="str">
        <f t="shared" si="16"/>
        <v>nie</v>
      </c>
      <c r="BQ23" s="2">
        <f t="shared" si="17"/>
        <v>1979.1666666666715</v>
      </c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2">
        <f t="shared" si="18"/>
        <v>0</v>
      </c>
      <c r="CE23" s="6"/>
      <c r="CF23" s="2">
        <f t="shared" si="19"/>
        <v>0</v>
      </c>
      <c r="CG23" s="6"/>
      <c r="CH23" s="2">
        <f t="shared" si="20"/>
        <v>0</v>
      </c>
      <c r="CI23" s="1">
        <f t="shared" si="21"/>
        <v>0</v>
      </c>
      <c r="CJ23" s="2">
        <f t="shared" si="46"/>
        <v>0</v>
      </c>
      <c r="CK23" s="2">
        <f t="shared" si="22"/>
        <v>101979.16666666667</v>
      </c>
      <c r="CL23" s="2">
        <f t="shared" si="23"/>
        <v>0</v>
      </c>
      <c r="CM23" s="2">
        <f t="shared" si="47"/>
        <v>0</v>
      </c>
      <c r="CN23" s="2">
        <f t="shared" si="24"/>
        <v>101979.16666666667</v>
      </c>
      <c r="CO23" s="2">
        <f t="shared" si="48"/>
        <v>1979.1666666666715</v>
      </c>
      <c r="CP23" s="2">
        <f t="shared" si="25"/>
        <v>0</v>
      </c>
      <c r="CQ23" s="2">
        <f t="shared" si="26"/>
        <v>100000</v>
      </c>
      <c r="CS23" s="5">
        <f t="shared" si="49"/>
        <v>1000</v>
      </c>
      <c r="CT23" s="2">
        <f t="shared" si="50"/>
        <v>100000</v>
      </c>
      <c r="CU23" s="2">
        <f t="shared" si="51"/>
        <v>100000</v>
      </c>
      <c r="CV23" s="2">
        <f t="shared" si="52"/>
        <v>100000</v>
      </c>
      <c r="CW23" s="8">
        <f t="shared" si="27"/>
        <v>5.3499999999999999E-2</v>
      </c>
      <c r="CX23" s="2">
        <f t="shared" si="28"/>
        <v>102229.16666666666</v>
      </c>
      <c r="CY23" s="2" t="str">
        <f t="shared" si="29"/>
        <v>nie</v>
      </c>
      <c r="CZ23" s="2">
        <f t="shared" si="53"/>
        <v>0</v>
      </c>
      <c r="DA23" s="2">
        <f t="shared" si="54"/>
        <v>0</v>
      </c>
      <c r="DB23" s="2">
        <f t="shared" si="55"/>
        <v>102229.16666666666</v>
      </c>
      <c r="DC23" s="2">
        <f t="shared" si="30"/>
        <v>0</v>
      </c>
      <c r="DD23" s="2">
        <f t="shared" si="56"/>
        <v>0</v>
      </c>
      <c r="DE23" s="2">
        <f t="shared" si="57"/>
        <v>102229.16666666666</v>
      </c>
      <c r="DF23" s="2">
        <f t="shared" si="32"/>
        <v>2229.166666666657</v>
      </c>
      <c r="DG23" s="2">
        <f t="shared" si="33"/>
        <v>0</v>
      </c>
      <c r="DH23" s="2">
        <f t="shared" si="58"/>
        <v>100000</v>
      </c>
    </row>
    <row r="24" spans="2:112">
      <c r="C24" s="23">
        <v>3</v>
      </c>
      <c r="D24" s="2">
        <f t="shared" si="68"/>
        <v>112910.97712535999</v>
      </c>
      <c r="E24" s="2">
        <f t="shared" si="69"/>
        <v>110392.47967095999</v>
      </c>
      <c r="F24" s="2">
        <f t="shared" si="70"/>
        <v>114270.20662500001</v>
      </c>
      <c r="G24" s="2">
        <f t="shared" si="71"/>
        <v>109718.991125</v>
      </c>
      <c r="H24" s="2">
        <f t="shared" si="72"/>
        <v>116018.00421697499</v>
      </c>
      <c r="I24" s="2">
        <f t="shared" si="73"/>
        <v>110477.75830047499</v>
      </c>
      <c r="J24" s="52">
        <f t="shared" si="74"/>
        <v>109130.46244336788</v>
      </c>
      <c r="K24" s="44">
        <f t="shared" si="75"/>
        <v>109591.27909999997</v>
      </c>
      <c r="M24" s="23">
        <v>3</v>
      </c>
      <c r="N24" s="25">
        <f t="shared" si="60"/>
        <v>0.12910977125359979</v>
      </c>
      <c r="O24" s="25">
        <f t="shared" si="61"/>
        <v>0.10392479670959998</v>
      </c>
      <c r="P24" s="25">
        <f t="shared" si="62"/>
        <v>0.14270206625000004</v>
      </c>
      <c r="Q24" s="25">
        <f t="shared" si="63"/>
        <v>9.7189911250000094E-2</v>
      </c>
      <c r="R24" s="25">
        <f t="shared" si="64"/>
        <v>0.1601800421697499</v>
      </c>
      <c r="S24" s="26">
        <f t="shared" si="65"/>
        <v>0.10477758300474993</v>
      </c>
      <c r="T24" s="53">
        <f t="shared" si="66"/>
        <v>9.1304624433678816E-2</v>
      </c>
      <c r="U24" s="27">
        <f t="shared" si="67"/>
        <v>9.591279099999972E-2</v>
      </c>
      <c r="W24" s="1">
        <f t="shared" si="34"/>
        <v>6</v>
      </c>
      <c r="X24" s="2">
        <f t="shared" si="0"/>
        <v>101550</v>
      </c>
      <c r="Y24" s="7"/>
      <c r="Z24" s="5">
        <f t="shared" si="35"/>
        <v>1000</v>
      </c>
      <c r="AA24" s="2">
        <f t="shared" si="36"/>
        <v>100000</v>
      </c>
      <c r="AB24" s="2">
        <f t="shared" si="37"/>
        <v>100000</v>
      </c>
      <c r="AC24" s="2">
        <f t="shared" si="38"/>
        <v>100000</v>
      </c>
      <c r="AD24" s="8">
        <f t="shared" si="1"/>
        <v>4.3999999999999997E-2</v>
      </c>
      <c r="AE24" s="2">
        <f t="shared" si="2"/>
        <v>102200</v>
      </c>
      <c r="AF24" s="2" t="str">
        <f t="shared" si="3"/>
        <v>nie</v>
      </c>
      <c r="AG24" s="2">
        <f t="shared" si="4"/>
        <v>1000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2">
        <f t="shared" si="39"/>
        <v>0</v>
      </c>
      <c r="AU24" s="6"/>
      <c r="AV24" s="2">
        <f t="shared" si="5"/>
        <v>0</v>
      </c>
      <c r="AW24" s="6"/>
      <c r="AX24" s="2">
        <f t="shared" si="6"/>
        <v>0</v>
      </c>
      <c r="AY24" s="1">
        <f t="shared" si="7"/>
        <v>0</v>
      </c>
      <c r="AZ24" s="2">
        <f t="shared" si="40"/>
        <v>0</v>
      </c>
      <c r="BA24" s="2">
        <f t="shared" si="8"/>
        <v>102200</v>
      </c>
      <c r="BB24" s="2">
        <f t="shared" si="9"/>
        <v>0</v>
      </c>
      <c r="BC24" s="2">
        <f t="shared" si="41"/>
        <v>0</v>
      </c>
      <c r="BD24" s="2">
        <f t="shared" si="10"/>
        <v>102200</v>
      </c>
      <c r="BE24" s="2">
        <f t="shared" si="42"/>
        <v>1000</v>
      </c>
      <c r="BF24" s="2">
        <f t="shared" si="11"/>
        <v>228</v>
      </c>
      <c r="BG24" s="2">
        <f t="shared" si="12"/>
        <v>100972</v>
      </c>
      <c r="BI24" s="7"/>
      <c r="BJ24" s="5">
        <f t="shared" si="43"/>
        <v>1000</v>
      </c>
      <c r="BK24" s="2">
        <f t="shared" si="44"/>
        <v>100000</v>
      </c>
      <c r="BL24" s="2">
        <f t="shared" si="45"/>
        <v>100000</v>
      </c>
      <c r="BM24" s="2">
        <f t="shared" si="13"/>
        <v>100000</v>
      </c>
      <c r="BN24" s="8">
        <f t="shared" si="14"/>
        <v>4.7500000000000001E-2</v>
      </c>
      <c r="BO24" s="2">
        <f t="shared" si="15"/>
        <v>102375</v>
      </c>
      <c r="BP24" s="2" t="str">
        <f t="shared" si="16"/>
        <v>nie</v>
      </c>
      <c r="BQ24" s="2">
        <f t="shared" si="17"/>
        <v>2000</v>
      </c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2">
        <f t="shared" si="18"/>
        <v>0</v>
      </c>
      <c r="CE24" s="6"/>
      <c r="CF24" s="2">
        <f t="shared" si="19"/>
        <v>0</v>
      </c>
      <c r="CG24" s="6"/>
      <c r="CH24" s="2">
        <f t="shared" si="20"/>
        <v>0</v>
      </c>
      <c r="CI24" s="1">
        <f t="shared" si="21"/>
        <v>0</v>
      </c>
      <c r="CJ24" s="2">
        <f t="shared" si="46"/>
        <v>0</v>
      </c>
      <c r="CK24" s="2">
        <f t="shared" si="22"/>
        <v>102375</v>
      </c>
      <c r="CL24" s="2">
        <f t="shared" si="23"/>
        <v>0</v>
      </c>
      <c r="CM24" s="2">
        <f t="shared" si="47"/>
        <v>0</v>
      </c>
      <c r="CN24" s="2">
        <f t="shared" si="24"/>
        <v>102375</v>
      </c>
      <c r="CO24" s="2">
        <f t="shared" si="48"/>
        <v>2000</v>
      </c>
      <c r="CP24" s="2">
        <f t="shared" si="25"/>
        <v>71.25</v>
      </c>
      <c r="CQ24" s="2">
        <f t="shared" si="26"/>
        <v>100303.75</v>
      </c>
      <c r="CS24" s="5">
        <f t="shared" si="49"/>
        <v>1000</v>
      </c>
      <c r="CT24" s="2">
        <f t="shared" si="50"/>
        <v>100000</v>
      </c>
      <c r="CU24" s="2">
        <f t="shared" si="51"/>
        <v>100000</v>
      </c>
      <c r="CV24" s="2">
        <f t="shared" si="52"/>
        <v>100000</v>
      </c>
      <c r="CW24" s="8">
        <f t="shared" si="27"/>
        <v>5.3499999999999999E-2</v>
      </c>
      <c r="CX24" s="2">
        <f t="shared" si="28"/>
        <v>102675</v>
      </c>
      <c r="CY24" s="2" t="str">
        <f t="shared" si="29"/>
        <v>nie</v>
      </c>
      <c r="CZ24" s="2">
        <f t="shared" si="53"/>
        <v>0</v>
      </c>
      <c r="DA24" s="2">
        <f t="shared" si="54"/>
        <v>0</v>
      </c>
      <c r="DB24" s="2">
        <f t="shared" si="55"/>
        <v>102675</v>
      </c>
      <c r="DC24" s="2">
        <f t="shared" si="30"/>
        <v>0</v>
      </c>
      <c r="DD24" s="2">
        <f t="shared" si="56"/>
        <v>0</v>
      </c>
      <c r="DE24" s="2">
        <f t="shared" si="57"/>
        <v>102675</v>
      </c>
      <c r="DF24" s="2">
        <f t="shared" si="32"/>
        <v>2675</v>
      </c>
      <c r="DG24" s="2">
        <f t="shared" si="33"/>
        <v>0</v>
      </c>
      <c r="DH24" s="2">
        <f t="shared" si="58"/>
        <v>100000</v>
      </c>
    </row>
    <row r="25" spans="2:112">
      <c r="C25" s="23">
        <v>4</v>
      </c>
      <c r="D25" s="2">
        <f t="shared" si="68"/>
        <v>117843.78187569599</v>
      </c>
      <c r="E25" s="2">
        <f t="shared" si="69"/>
        <v>113438.839421296</v>
      </c>
      <c r="F25" s="2">
        <f t="shared" si="70"/>
        <v>119381.60124500001</v>
      </c>
      <c r="G25" s="2">
        <f t="shared" si="71"/>
        <v>115364.70824500002</v>
      </c>
      <c r="H25" s="2">
        <f t="shared" si="72"/>
        <v>121781.633300659</v>
      </c>
      <c r="I25" s="2">
        <f t="shared" si="73"/>
        <v>115113.7648424175</v>
      </c>
      <c r="J25" s="52">
        <f t="shared" si="74"/>
        <v>112355.58381260214</v>
      </c>
      <c r="K25" s="44">
        <f t="shared" si="75"/>
        <v>112988.60875209997</v>
      </c>
      <c r="M25" s="23">
        <v>4</v>
      </c>
      <c r="N25" s="25">
        <f t="shared" si="60"/>
        <v>0.17843781875695996</v>
      </c>
      <c r="O25" s="25">
        <f t="shared" si="61"/>
        <v>0.13438839421296001</v>
      </c>
      <c r="P25" s="25">
        <f t="shared" si="62"/>
        <v>0.19381601245000013</v>
      </c>
      <c r="Q25" s="25">
        <f t="shared" si="63"/>
        <v>0.15364708245000025</v>
      </c>
      <c r="R25" s="25">
        <f t="shared" si="64"/>
        <v>0.21781633300659009</v>
      </c>
      <c r="S25" s="26">
        <f t="shared" si="65"/>
        <v>0.15113764842417488</v>
      </c>
      <c r="T25" s="53">
        <f t="shared" si="66"/>
        <v>0.12355583812602133</v>
      </c>
      <c r="U25" s="27">
        <f t="shared" si="67"/>
        <v>0.12988608752099973</v>
      </c>
      <c r="W25" s="1">
        <f t="shared" si="34"/>
        <v>7</v>
      </c>
      <c r="X25" s="2">
        <f t="shared" si="0"/>
        <v>101808.33333333333</v>
      </c>
      <c r="Y25" s="8">
        <f t="shared" ref="Y25:Y56" si="76">MAX(INDEX(scenariusz_I_WIBOR6M,MATCH(ROUNDUP(W25/12,0),scenariusz_I_rok,0)),0)</f>
        <v>3.9100000000000003E-2</v>
      </c>
      <c r="Z25" s="5">
        <f t="shared" si="35"/>
        <v>1000</v>
      </c>
      <c r="AA25" s="2">
        <f t="shared" si="36"/>
        <v>100000</v>
      </c>
      <c r="AB25" s="2">
        <f t="shared" si="37"/>
        <v>100000</v>
      </c>
      <c r="AC25" s="2">
        <f t="shared" si="38"/>
        <v>100000</v>
      </c>
      <c r="AD25" s="8">
        <f t="shared" si="1"/>
        <v>4.3999999999999997E-2</v>
      </c>
      <c r="AE25" s="2">
        <f t="shared" si="2"/>
        <v>102566.66666666667</v>
      </c>
      <c r="AF25" s="2" t="str">
        <f t="shared" si="3"/>
        <v>nie</v>
      </c>
      <c r="AG25" s="2">
        <f t="shared" si="4"/>
        <v>1000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2">
        <f t="shared" si="39"/>
        <v>0</v>
      </c>
      <c r="AU25" s="6"/>
      <c r="AV25" s="2">
        <f t="shared" si="5"/>
        <v>0</v>
      </c>
      <c r="AW25" s="6"/>
      <c r="AX25" s="2">
        <f t="shared" si="6"/>
        <v>0</v>
      </c>
      <c r="AY25" s="1">
        <f t="shared" si="7"/>
        <v>0</v>
      </c>
      <c r="AZ25" s="2">
        <f t="shared" si="40"/>
        <v>0</v>
      </c>
      <c r="BA25" s="2">
        <f t="shared" si="8"/>
        <v>102566.66666666667</v>
      </c>
      <c r="BB25" s="2">
        <f t="shared" si="9"/>
        <v>0</v>
      </c>
      <c r="BC25" s="2">
        <f t="shared" si="41"/>
        <v>0</v>
      </c>
      <c r="BD25" s="2">
        <f t="shared" si="10"/>
        <v>102566.66666666667</v>
      </c>
      <c r="BE25" s="2">
        <f t="shared" si="42"/>
        <v>1000</v>
      </c>
      <c r="BF25" s="2">
        <f t="shared" si="11"/>
        <v>297.6666666666676</v>
      </c>
      <c r="BG25" s="2">
        <f t="shared" si="12"/>
        <v>101269</v>
      </c>
      <c r="BI25" s="7"/>
      <c r="BJ25" s="5">
        <f t="shared" si="43"/>
        <v>1000</v>
      </c>
      <c r="BK25" s="2">
        <f t="shared" si="44"/>
        <v>100000</v>
      </c>
      <c r="BL25" s="2">
        <f t="shared" si="45"/>
        <v>100000</v>
      </c>
      <c r="BM25" s="2">
        <f t="shared" si="13"/>
        <v>100000</v>
      </c>
      <c r="BN25" s="8">
        <f t="shared" si="14"/>
        <v>4.7500000000000001E-2</v>
      </c>
      <c r="BO25" s="2">
        <f t="shared" si="15"/>
        <v>102770.83333333334</v>
      </c>
      <c r="BP25" s="2" t="str">
        <f t="shared" si="16"/>
        <v>nie</v>
      </c>
      <c r="BQ25" s="2">
        <f t="shared" si="17"/>
        <v>2000</v>
      </c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2">
        <f t="shared" si="18"/>
        <v>0</v>
      </c>
      <c r="CE25" s="6"/>
      <c r="CF25" s="2">
        <f t="shared" si="19"/>
        <v>0</v>
      </c>
      <c r="CG25" s="6"/>
      <c r="CH25" s="2">
        <f t="shared" si="20"/>
        <v>0</v>
      </c>
      <c r="CI25" s="1">
        <f t="shared" si="21"/>
        <v>0</v>
      </c>
      <c r="CJ25" s="2">
        <f t="shared" si="46"/>
        <v>0</v>
      </c>
      <c r="CK25" s="2">
        <f t="shared" si="22"/>
        <v>102770.83333333334</v>
      </c>
      <c r="CL25" s="2">
        <f t="shared" si="23"/>
        <v>0</v>
      </c>
      <c r="CM25" s="2">
        <f t="shared" si="47"/>
        <v>0</v>
      </c>
      <c r="CN25" s="2">
        <f t="shared" si="24"/>
        <v>102770.83333333334</v>
      </c>
      <c r="CO25" s="2">
        <f t="shared" si="48"/>
        <v>2000</v>
      </c>
      <c r="CP25" s="2">
        <f t="shared" si="25"/>
        <v>146.45833333333519</v>
      </c>
      <c r="CQ25" s="2">
        <f t="shared" si="26"/>
        <v>100624.37500000001</v>
      </c>
      <c r="CS25" s="5">
        <f t="shared" si="49"/>
        <v>1000</v>
      </c>
      <c r="CT25" s="2">
        <f t="shared" si="50"/>
        <v>100000</v>
      </c>
      <c r="CU25" s="2">
        <f t="shared" si="51"/>
        <v>100000</v>
      </c>
      <c r="CV25" s="2">
        <f t="shared" si="52"/>
        <v>100000</v>
      </c>
      <c r="CW25" s="8">
        <f t="shared" si="27"/>
        <v>5.3499999999999999E-2</v>
      </c>
      <c r="CX25" s="2">
        <f t="shared" si="28"/>
        <v>103120.83333333333</v>
      </c>
      <c r="CY25" s="2" t="str">
        <f t="shared" si="29"/>
        <v>nie</v>
      </c>
      <c r="CZ25" s="2">
        <f t="shared" si="53"/>
        <v>0</v>
      </c>
      <c r="DA25" s="2">
        <f t="shared" si="54"/>
        <v>0</v>
      </c>
      <c r="DB25" s="2">
        <f t="shared" si="55"/>
        <v>103120.83333333333</v>
      </c>
      <c r="DC25" s="2">
        <f t="shared" si="30"/>
        <v>0</v>
      </c>
      <c r="DD25" s="2">
        <f t="shared" si="56"/>
        <v>0</v>
      </c>
      <c r="DE25" s="2">
        <f t="shared" si="57"/>
        <v>103120.83333333333</v>
      </c>
      <c r="DF25" s="2">
        <f t="shared" si="32"/>
        <v>3000</v>
      </c>
      <c r="DG25" s="2">
        <f t="shared" si="33"/>
        <v>22.958333333332412</v>
      </c>
      <c r="DH25" s="2">
        <f t="shared" si="58"/>
        <v>100097.875</v>
      </c>
    </row>
    <row r="26" spans="2:112" ht="14.5" customHeight="1">
      <c r="C26" s="23">
        <v>5</v>
      </c>
      <c r="D26" s="2">
        <f t="shared" si="68"/>
        <v>122887.70488756799</v>
      </c>
      <c r="E26" s="2">
        <f t="shared" si="69"/>
        <v>117493.89816116799</v>
      </c>
      <c r="F26" s="2">
        <f t="shared" si="70"/>
        <v>125001.01789500003</v>
      </c>
      <c r="G26" s="2">
        <f t="shared" si="71"/>
        <v>118177.91289500002</v>
      </c>
      <c r="H26" s="2">
        <f t="shared" si="72"/>
        <v>127852.06167800543</v>
      </c>
      <c r="I26" s="2">
        <f t="shared" si="73"/>
        <v>119999.06192839361</v>
      </c>
      <c r="J26" s="52">
        <f t="shared" si="74"/>
        <v>115676.01686304263</v>
      </c>
      <c r="K26" s="44">
        <f t="shared" si="75"/>
        <v>116491.25562341507</v>
      </c>
      <c r="M26" s="23">
        <v>5</v>
      </c>
      <c r="N26" s="25">
        <f t="shared" si="60"/>
        <v>0.22887704887567994</v>
      </c>
      <c r="O26" s="25">
        <f t="shared" si="61"/>
        <v>0.17493898161167998</v>
      </c>
      <c r="P26" s="25">
        <f t="shared" si="62"/>
        <v>0.25001017895000022</v>
      </c>
      <c r="Q26" s="25">
        <f t="shared" si="63"/>
        <v>0.18177912895000015</v>
      </c>
      <c r="R26" s="25">
        <f t="shared" si="64"/>
        <v>0.27852061678005424</v>
      </c>
      <c r="S26" s="26">
        <f t="shared" si="65"/>
        <v>0.19999061928393602</v>
      </c>
      <c r="T26" s="53">
        <f t="shared" si="66"/>
        <v>0.1567601686304263</v>
      </c>
      <c r="U26" s="27">
        <f t="shared" si="67"/>
        <v>0.16491255623415069</v>
      </c>
      <c r="W26" s="1">
        <f t="shared" si="34"/>
        <v>8</v>
      </c>
      <c r="X26" s="2">
        <f t="shared" si="0"/>
        <v>102066.66666666666</v>
      </c>
      <c r="Y26" s="8">
        <f t="shared" si="76"/>
        <v>3.9100000000000003E-2</v>
      </c>
      <c r="Z26" s="5">
        <f t="shared" si="35"/>
        <v>1000</v>
      </c>
      <c r="AA26" s="2">
        <f t="shared" si="36"/>
        <v>100000</v>
      </c>
      <c r="AB26" s="2">
        <f t="shared" si="37"/>
        <v>100000</v>
      </c>
      <c r="AC26" s="2">
        <f t="shared" si="38"/>
        <v>100000</v>
      </c>
      <c r="AD26" s="8">
        <f t="shared" si="1"/>
        <v>4.3999999999999997E-2</v>
      </c>
      <c r="AE26" s="2">
        <f t="shared" si="2"/>
        <v>102933.33333333334</v>
      </c>
      <c r="AF26" s="2" t="str">
        <f t="shared" si="3"/>
        <v>nie</v>
      </c>
      <c r="AG26" s="2">
        <f t="shared" si="4"/>
        <v>1000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2">
        <f t="shared" si="39"/>
        <v>0</v>
      </c>
      <c r="AU26" s="6"/>
      <c r="AV26" s="2">
        <f t="shared" si="5"/>
        <v>0</v>
      </c>
      <c r="AW26" s="6"/>
      <c r="AX26" s="2">
        <f t="shared" si="6"/>
        <v>0</v>
      </c>
      <c r="AY26" s="1">
        <f t="shared" si="7"/>
        <v>0</v>
      </c>
      <c r="AZ26" s="2">
        <f t="shared" si="40"/>
        <v>0</v>
      </c>
      <c r="BA26" s="2">
        <f t="shared" si="8"/>
        <v>102933.33333333334</v>
      </c>
      <c r="BB26" s="2">
        <f t="shared" si="9"/>
        <v>0</v>
      </c>
      <c r="BC26" s="2">
        <f t="shared" si="41"/>
        <v>0</v>
      </c>
      <c r="BD26" s="2">
        <f t="shared" si="10"/>
        <v>102933.33333333334</v>
      </c>
      <c r="BE26" s="2">
        <f t="shared" si="42"/>
        <v>1000</v>
      </c>
      <c r="BF26" s="2">
        <f t="shared" si="11"/>
        <v>367.33333333333519</v>
      </c>
      <c r="BG26" s="2">
        <f t="shared" si="12"/>
        <v>101566.00000000001</v>
      </c>
      <c r="BI26" s="7"/>
      <c r="BJ26" s="5">
        <f t="shared" si="43"/>
        <v>1000</v>
      </c>
      <c r="BK26" s="2">
        <f t="shared" si="44"/>
        <v>100000</v>
      </c>
      <c r="BL26" s="2">
        <f t="shared" si="45"/>
        <v>100000</v>
      </c>
      <c r="BM26" s="2">
        <f t="shared" si="13"/>
        <v>100000</v>
      </c>
      <c r="BN26" s="8">
        <f t="shared" si="14"/>
        <v>4.7500000000000001E-2</v>
      </c>
      <c r="BO26" s="2">
        <f t="shared" si="15"/>
        <v>103166.66666666667</v>
      </c>
      <c r="BP26" s="2" t="str">
        <f t="shared" si="16"/>
        <v>nie</v>
      </c>
      <c r="BQ26" s="2">
        <f t="shared" si="17"/>
        <v>2000</v>
      </c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2">
        <f t="shared" si="18"/>
        <v>0</v>
      </c>
      <c r="CE26" s="6"/>
      <c r="CF26" s="2">
        <f t="shared" si="19"/>
        <v>0</v>
      </c>
      <c r="CG26" s="6"/>
      <c r="CH26" s="2">
        <f t="shared" si="20"/>
        <v>0</v>
      </c>
      <c r="CI26" s="1">
        <f t="shared" si="21"/>
        <v>0</v>
      </c>
      <c r="CJ26" s="2">
        <f t="shared" si="46"/>
        <v>0</v>
      </c>
      <c r="CK26" s="2">
        <f t="shared" si="22"/>
        <v>103166.66666666667</v>
      </c>
      <c r="CL26" s="2">
        <f t="shared" si="23"/>
        <v>0</v>
      </c>
      <c r="CM26" s="2">
        <f t="shared" si="47"/>
        <v>0</v>
      </c>
      <c r="CN26" s="2">
        <f t="shared" si="24"/>
        <v>103166.66666666667</v>
      </c>
      <c r="CO26" s="2">
        <f t="shared" si="48"/>
        <v>2000</v>
      </c>
      <c r="CP26" s="2">
        <f t="shared" si="25"/>
        <v>221.6666666666676</v>
      </c>
      <c r="CQ26" s="2">
        <f t="shared" si="26"/>
        <v>100945</v>
      </c>
      <c r="CS26" s="5">
        <f t="shared" si="49"/>
        <v>1000</v>
      </c>
      <c r="CT26" s="2">
        <f t="shared" si="50"/>
        <v>100000</v>
      </c>
      <c r="CU26" s="2">
        <f t="shared" si="51"/>
        <v>100000</v>
      </c>
      <c r="CV26" s="2">
        <f t="shared" si="52"/>
        <v>100000</v>
      </c>
      <c r="CW26" s="8">
        <f t="shared" si="27"/>
        <v>5.3499999999999999E-2</v>
      </c>
      <c r="CX26" s="2">
        <f t="shared" si="28"/>
        <v>103566.66666666667</v>
      </c>
      <c r="CY26" s="2" t="str">
        <f t="shared" si="29"/>
        <v>nie</v>
      </c>
      <c r="CZ26" s="2">
        <f t="shared" si="53"/>
        <v>0</v>
      </c>
      <c r="DA26" s="2">
        <f t="shared" si="54"/>
        <v>0</v>
      </c>
      <c r="DB26" s="2">
        <f t="shared" si="55"/>
        <v>103566.66666666667</v>
      </c>
      <c r="DC26" s="2">
        <f t="shared" si="30"/>
        <v>0</v>
      </c>
      <c r="DD26" s="2">
        <f t="shared" si="56"/>
        <v>0</v>
      </c>
      <c r="DE26" s="2">
        <f t="shared" si="57"/>
        <v>103566.66666666667</v>
      </c>
      <c r="DF26" s="2">
        <f t="shared" si="32"/>
        <v>3000</v>
      </c>
      <c r="DG26" s="2">
        <f t="shared" si="33"/>
        <v>107.6666666666676</v>
      </c>
      <c r="DH26" s="2">
        <f t="shared" si="58"/>
        <v>100459</v>
      </c>
    </row>
    <row r="27" spans="2:112" ht="15" customHeight="1">
      <c r="C27" s="23">
        <v>6</v>
      </c>
      <c r="D27" s="2">
        <f t="shared" si="68"/>
        <v>127562.08996836228</v>
      </c>
      <c r="E27" s="2">
        <f t="shared" si="69"/>
        <v>122168.60789812708</v>
      </c>
      <c r="F27" s="2">
        <f t="shared" si="70"/>
        <v>130640.99519500002</v>
      </c>
      <c r="G27" s="2">
        <f t="shared" si="71"/>
        <v>122625.59769500002</v>
      </c>
      <c r="H27" s="2">
        <f t="shared" si="72"/>
        <v>134245.59167772115</v>
      </c>
      <c r="I27" s="2">
        <f t="shared" si="73"/>
        <v>125147.01894087915</v>
      </c>
      <c r="J27" s="52">
        <f t="shared" si="74"/>
        <v>119094.57833103331</v>
      </c>
      <c r="K27" s="44">
        <f t="shared" si="75"/>
        <v>120102.48454774093</v>
      </c>
      <c r="M27" s="23">
        <v>6</v>
      </c>
      <c r="N27" s="25">
        <f t="shared" si="60"/>
        <v>0.27562089968362291</v>
      </c>
      <c r="O27" s="25">
        <f t="shared" si="61"/>
        <v>0.22168607898127091</v>
      </c>
      <c r="P27" s="25">
        <f t="shared" si="62"/>
        <v>0.30640995195000031</v>
      </c>
      <c r="Q27" s="25">
        <f t="shared" si="63"/>
        <v>0.2262559769500001</v>
      </c>
      <c r="R27" s="25">
        <f t="shared" si="64"/>
        <v>0.34245591677721143</v>
      </c>
      <c r="S27" s="26">
        <f t="shared" si="65"/>
        <v>0.2514701894087914</v>
      </c>
      <c r="T27" s="53">
        <f t="shared" si="66"/>
        <v>0.19094578331033296</v>
      </c>
      <c r="U27" s="27">
        <f t="shared" si="67"/>
        <v>0.20102484547740929</v>
      </c>
      <c r="W27" s="1">
        <f t="shared" si="34"/>
        <v>9</v>
      </c>
      <c r="X27" s="2">
        <f t="shared" si="0"/>
        <v>102325</v>
      </c>
      <c r="Y27" s="8">
        <f t="shared" si="76"/>
        <v>3.9100000000000003E-2</v>
      </c>
      <c r="Z27" s="5">
        <f t="shared" si="35"/>
        <v>1000</v>
      </c>
      <c r="AA27" s="2">
        <f t="shared" si="36"/>
        <v>100000</v>
      </c>
      <c r="AB27" s="2">
        <f t="shared" si="37"/>
        <v>100000</v>
      </c>
      <c r="AC27" s="2">
        <f t="shared" si="38"/>
        <v>100000</v>
      </c>
      <c r="AD27" s="8">
        <f t="shared" si="1"/>
        <v>4.3999999999999997E-2</v>
      </c>
      <c r="AE27" s="2">
        <f t="shared" si="2"/>
        <v>103299.99999999999</v>
      </c>
      <c r="AF27" s="2" t="str">
        <f t="shared" si="3"/>
        <v>nie</v>
      </c>
      <c r="AG27" s="2">
        <f t="shared" si="4"/>
        <v>1000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2">
        <f t="shared" si="39"/>
        <v>0</v>
      </c>
      <c r="AU27" s="6"/>
      <c r="AV27" s="2">
        <f t="shared" si="5"/>
        <v>0</v>
      </c>
      <c r="AW27" s="6"/>
      <c r="AX27" s="2">
        <f t="shared" si="6"/>
        <v>0</v>
      </c>
      <c r="AY27" s="1">
        <f t="shared" si="7"/>
        <v>0</v>
      </c>
      <c r="AZ27" s="2">
        <f t="shared" si="40"/>
        <v>0</v>
      </c>
      <c r="BA27" s="2">
        <f t="shared" si="8"/>
        <v>103299.99999999999</v>
      </c>
      <c r="BB27" s="2">
        <f t="shared" si="9"/>
        <v>0</v>
      </c>
      <c r="BC27" s="2">
        <f t="shared" si="41"/>
        <v>0</v>
      </c>
      <c r="BD27" s="2">
        <f t="shared" si="10"/>
        <v>103299.99999999999</v>
      </c>
      <c r="BE27" s="2">
        <f t="shared" si="42"/>
        <v>1000</v>
      </c>
      <c r="BF27" s="2">
        <f t="shared" si="11"/>
        <v>436.99999999999721</v>
      </c>
      <c r="BG27" s="2">
        <f t="shared" si="12"/>
        <v>101862.99999999999</v>
      </c>
      <c r="BI27" s="7"/>
      <c r="BJ27" s="5">
        <f t="shared" si="43"/>
        <v>1000</v>
      </c>
      <c r="BK27" s="2">
        <f t="shared" si="44"/>
        <v>100000</v>
      </c>
      <c r="BL27" s="2">
        <f t="shared" si="45"/>
        <v>100000</v>
      </c>
      <c r="BM27" s="2">
        <f t="shared" si="13"/>
        <v>100000</v>
      </c>
      <c r="BN27" s="8">
        <f t="shared" si="14"/>
        <v>4.7500000000000001E-2</v>
      </c>
      <c r="BO27" s="2">
        <f t="shared" si="15"/>
        <v>103562.5</v>
      </c>
      <c r="BP27" s="2" t="str">
        <f t="shared" si="16"/>
        <v>nie</v>
      </c>
      <c r="BQ27" s="2">
        <f t="shared" si="17"/>
        <v>2000</v>
      </c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2">
        <f t="shared" si="18"/>
        <v>0</v>
      </c>
      <c r="CE27" s="6"/>
      <c r="CF27" s="2">
        <f t="shared" si="19"/>
        <v>0</v>
      </c>
      <c r="CG27" s="6"/>
      <c r="CH27" s="2">
        <f t="shared" si="20"/>
        <v>0</v>
      </c>
      <c r="CI27" s="1">
        <f t="shared" si="21"/>
        <v>0</v>
      </c>
      <c r="CJ27" s="2">
        <f t="shared" si="46"/>
        <v>0</v>
      </c>
      <c r="CK27" s="2">
        <f t="shared" si="22"/>
        <v>103562.5</v>
      </c>
      <c r="CL27" s="2">
        <f t="shared" si="23"/>
        <v>0</v>
      </c>
      <c r="CM27" s="2">
        <f t="shared" si="47"/>
        <v>0</v>
      </c>
      <c r="CN27" s="2">
        <f t="shared" si="24"/>
        <v>103562.5</v>
      </c>
      <c r="CO27" s="2">
        <f t="shared" si="48"/>
        <v>2000</v>
      </c>
      <c r="CP27" s="2">
        <f t="shared" si="25"/>
        <v>296.875</v>
      </c>
      <c r="CQ27" s="2">
        <f t="shared" si="26"/>
        <v>101265.625</v>
      </c>
      <c r="CS27" s="5">
        <f t="shared" si="49"/>
        <v>1000</v>
      </c>
      <c r="CT27" s="2">
        <f t="shared" si="50"/>
        <v>100000</v>
      </c>
      <c r="CU27" s="2">
        <f t="shared" si="51"/>
        <v>100000</v>
      </c>
      <c r="CV27" s="2">
        <f t="shared" si="52"/>
        <v>100000</v>
      </c>
      <c r="CW27" s="8">
        <f t="shared" si="27"/>
        <v>5.3499999999999999E-2</v>
      </c>
      <c r="CX27" s="2">
        <f t="shared" si="28"/>
        <v>104012.5</v>
      </c>
      <c r="CY27" s="2" t="str">
        <f t="shared" si="29"/>
        <v>nie</v>
      </c>
      <c r="CZ27" s="2">
        <f t="shared" si="53"/>
        <v>0</v>
      </c>
      <c r="DA27" s="2">
        <f t="shared" si="54"/>
        <v>0</v>
      </c>
      <c r="DB27" s="2">
        <f t="shared" si="55"/>
        <v>104012.5</v>
      </c>
      <c r="DC27" s="2">
        <f t="shared" si="30"/>
        <v>0</v>
      </c>
      <c r="DD27" s="2">
        <f t="shared" si="56"/>
        <v>0</v>
      </c>
      <c r="DE27" s="2">
        <f t="shared" si="57"/>
        <v>104012.5</v>
      </c>
      <c r="DF27" s="2">
        <f t="shared" si="32"/>
        <v>3000</v>
      </c>
      <c r="DG27" s="2">
        <f t="shared" si="33"/>
        <v>192.375</v>
      </c>
      <c r="DH27" s="2">
        <f t="shared" si="58"/>
        <v>100820.125</v>
      </c>
    </row>
    <row r="28" spans="2:112">
      <c r="C28" s="23">
        <v>7</v>
      </c>
      <c r="D28" s="2">
        <f t="shared" si="68"/>
        <v>133196.9039058504</v>
      </c>
      <c r="E28" s="2">
        <f t="shared" si="69"/>
        <v>125663.9158356152</v>
      </c>
      <c r="F28" s="2">
        <f t="shared" si="70"/>
        <v>136554.79861</v>
      </c>
      <c r="G28" s="2">
        <f t="shared" si="71"/>
        <v>127293.07210999999</v>
      </c>
      <c r="H28" s="2">
        <f t="shared" si="72"/>
        <v>140979.39048107842</v>
      </c>
      <c r="I28" s="2">
        <f t="shared" si="73"/>
        <v>130571.72053465746</v>
      </c>
      <c r="J28" s="52">
        <f t="shared" si="74"/>
        <v>122614.16819563853</v>
      </c>
      <c r="K28" s="44">
        <f t="shared" si="75"/>
        <v>123825.66156872088</v>
      </c>
      <c r="M28" s="23">
        <v>7</v>
      </c>
      <c r="N28" s="25">
        <f t="shared" si="60"/>
        <v>0.33196903905850395</v>
      </c>
      <c r="O28" s="25">
        <f t="shared" si="61"/>
        <v>0.25663915835615203</v>
      </c>
      <c r="P28" s="25">
        <f t="shared" si="62"/>
        <v>0.36554798609999994</v>
      </c>
      <c r="Q28" s="25">
        <f t="shared" si="63"/>
        <v>0.27293072109999983</v>
      </c>
      <c r="R28" s="25">
        <f t="shared" si="64"/>
        <v>0.40979390481078415</v>
      </c>
      <c r="S28" s="26">
        <f t="shared" si="65"/>
        <v>0.30571720534657465</v>
      </c>
      <c r="T28" s="53">
        <f t="shared" si="66"/>
        <v>0.22614168195638529</v>
      </c>
      <c r="U28" s="27">
        <f t="shared" si="67"/>
        <v>0.23825661568720879</v>
      </c>
      <c r="W28" s="1">
        <f t="shared" si="34"/>
        <v>10</v>
      </c>
      <c r="X28" s="2">
        <f t="shared" si="0"/>
        <v>102583.33333333334</v>
      </c>
      <c r="Y28" s="8">
        <f t="shared" si="76"/>
        <v>3.9100000000000003E-2</v>
      </c>
      <c r="Z28" s="5">
        <f t="shared" si="35"/>
        <v>1000</v>
      </c>
      <c r="AA28" s="2">
        <f t="shared" si="36"/>
        <v>100000</v>
      </c>
      <c r="AB28" s="2">
        <f t="shared" si="37"/>
        <v>100000</v>
      </c>
      <c r="AC28" s="2">
        <f t="shared" si="38"/>
        <v>100000</v>
      </c>
      <c r="AD28" s="8">
        <f t="shared" si="1"/>
        <v>4.3999999999999997E-2</v>
      </c>
      <c r="AE28" s="2">
        <f t="shared" si="2"/>
        <v>103666.66666666666</v>
      </c>
      <c r="AF28" s="2" t="str">
        <f t="shared" si="3"/>
        <v>nie</v>
      </c>
      <c r="AG28" s="2">
        <f t="shared" si="4"/>
        <v>1000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2">
        <f t="shared" si="39"/>
        <v>0</v>
      </c>
      <c r="AU28" s="6"/>
      <c r="AV28" s="2">
        <f t="shared" si="5"/>
        <v>0</v>
      </c>
      <c r="AW28" s="6"/>
      <c r="AX28" s="2">
        <f t="shared" si="6"/>
        <v>0</v>
      </c>
      <c r="AY28" s="1">
        <f t="shared" si="7"/>
        <v>0</v>
      </c>
      <c r="AZ28" s="2">
        <f t="shared" si="40"/>
        <v>0</v>
      </c>
      <c r="BA28" s="2">
        <f t="shared" si="8"/>
        <v>103666.66666666666</v>
      </c>
      <c r="BB28" s="2">
        <f t="shared" si="9"/>
        <v>0</v>
      </c>
      <c r="BC28" s="2">
        <f t="shared" si="41"/>
        <v>0</v>
      </c>
      <c r="BD28" s="2">
        <f t="shared" si="10"/>
        <v>103666.66666666666</v>
      </c>
      <c r="BE28" s="2">
        <f t="shared" si="42"/>
        <v>1000</v>
      </c>
      <c r="BF28" s="2">
        <f t="shared" si="11"/>
        <v>506.66666666666481</v>
      </c>
      <c r="BG28" s="2">
        <f t="shared" si="12"/>
        <v>102159.99999999999</v>
      </c>
      <c r="BI28" s="7"/>
      <c r="BJ28" s="5">
        <f t="shared" si="43"/>
        <v>1000</v>
      </c>
      <c r="BK28" s="2">
        <f t="shared" si="44"/>
        <v>100000</v>
      </c>
      <c r="BL28" s="2">
        <f t="shared" si="45"/>
        <v>100000</v>
      </c>
      <c r="BM28" s="2">
        <f t="shared" si="13"/>
        <v>100000</v>
      </c>
      <c r="BN28" s="8">
        <f t="shared" si="14"/>
        <v>4.7500000000000001E-2</v>
      </c>
      <c r="BO28" s="2">
        <f t="shared" si="15"/>
        <v>103958.33333333333</v>
      </c>
      <c r="BP28" s="2" t="str">
        <f t="shared" si="16"/>
        <v>nie</v>
      </c>
      <c r="BQ28" s="2">
        <f t="shared" si="17"/>
        <v>2000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2">
        <f t="shared" si="18"/>
        <v>0</v>
      </c>
      <c r="CE28" s="6"/>
      <c r="CF28" s="2">
        <f t="shared" si="19"/>
        <v>0</v>
      </c>
      <c r="CG28" s="6"/>
      <c r="CH28" s="2">
        <f t="shared" si="20"/>
        <v>0</v>
      </c>
      <c r="CI28" s="1">
        <f t="shared" si="21"/>
        <v>0</v>
      </c>
      <c r="CJ28" s="2">
        <f t="shared" si="46"/>
        <v>0</v>
      </c>
      <c r="CK28" s="2">
        <f t="shared" si="22"/>
        <v>103958.33333333333</v>
      </c>
      <c r="CL28" s="2">
        <f t="shared" si="23"/>
        <v>0</v>
      </c>
      <c r="CM28" s="2">
        <f t="shared" si="47"/>
        <v>0</v>
      </c>
      <c r="CN28" s="2">
        <f t="shared" si="24"/>
        <v>103958.33333333333</v>
      </c>
      <c r="CO28" s="2">
        <f t="shared" si="48"/>
        <v>2000</v>
      </c>
      <c r="CP28" s="2">
        <f t="shared" si="25"/>
        <v>372.0833333333324</v>
      </c>
      <c r="CQ28" s="2">
        <f t="shared" si="26"/>
        <v>101586.25</v>
      </c>
      <c r="CS28" s="5">
        <f t="shared" si="49"/>
        <v>1000</v>
      </c>
      <c r="CT28" s="2">
        <f t="shared" si="50"/>
        <v>100000</v>
      </c>
      <c r="CU28" s="2">
        <f t="shared" si="51"/>
        <v>100000</v>
      </c>
      <c r="CV28" s="2">
        <f t="shared" si="52"/>
        <v>100000</v>
      </c>
      <c r="CW28" s="8">
        <f t="shared" si="27"/>
        <v>5.3499999999999999E-2</v>
      </c>
      <c r="CX28" s="2">
        <f t="shared" si="28"/>
        <v>104458.33333333334</v>
      </c>
      <c r="CY28" s="2" t="str">
        <f t="shared" si="29"/>
        <v>nie</v>
      </c>
      <c r="CZ28" s="2">
        <f t="shared" si="53"/>
        <v>0</v>
      </c>
      <c r="DA28" s="2">
        <f t="shared" si="54"/>
        <v>0</v>
      </c>
      <c r="DB28" s="2">
        <f t="shared" si="55"/>
        <v>104458.33333333334</v>
      </c>
      <c r="DC28" s="2">
        <f t="shared" si="30"/>
        <v>0</v>
      </c>
      <c r="DD28" s="2">
        <f t="shared" si="56"/>
        <v>0</v>
      </c>
      <c r="DE28" s="2">
        <f t="shared" si="57"/>
        <v>104458.33333333334</v>
      </c>
      <c r="DF28" s="2">
        <f t="shared" si="32"/>
        <v>3000</v>
      </c>
      <c r="DG28" s="2">
        <f t="shared" si="33"/>
        <v>277.08333333333519</v>
      </c>
      <c r="DH28" s="2">
        <f t="shared" si="58"/>
        <v>101181.25000000001</v>
      </c>
    </row>
    <row r="29" spans="2:112">
      <c r="C29" s="23">
        <v>8</v>
      </c>
      <c r="D29" s="2">
        <f t="shared" si="68"/>
        <v>139063.22066571232</v>
      </c>
      <c r="E29" s="2">
        <f t="shared" si="69"/>
        <v>130388.18903947712</v>
      </c>
      <c r="F29" s="2">
        <f t="shared" si="70"/>
        <v>142757.80936000004</v>
      </c>
      <c r="G29" s="2">
        <f t="shared" si="71"/>
        <v>133887.49186000004</v>
      </c>
      <c r="H29" s="2">
        <f t="shared" si="72"/>
        <v>148071.53593451934</v>
      </c>
      <c r="I29" s="2">
        <f t="shared" si="73"/>
        <v>136288.00482083092</v>
      </c>
      <c r="J29" s="52">
        <f t="shared" si="74"/>
        <v>126237.77213870666</v>
      </c>
      <c r="K29" s="44">
        <f t="shared" si="75"/>
        <v>127664.25707735121</v>
      </c>
      <c r="M29" s="23">
        <v>8</v>
      </c>
      <c r="N29" s="25">
        <f t="shared" si="60"/>
        <v>0.39063220665712306</v>
      </c>
      <c r="O29" s="25">
        <f t="shared" si="61"/>
        <v>0.30388189039477109</v>
      </c>
      <c r="P29" s="25">
        <f t="shared" si="62"/>
        <v>0.42757809360000043</v>
      </c>
      <c r="Q29" s="25">
        <f t="shared" si="63"/>
        <v>0.33887491860000041</v>
      </c>
      <c r="R29" s="25">
        <f t="shared" si="64"/>
        <v>0.48071535934519338</v>
      </c>
      <c r="S29" s="26">
        <f t="shared" si="65"/>
        <v>0.36288004820830921</v>
      </c>
      <c r="T29" s="53">
        <f t="shared" si="66"/>
        <v>0.26237772138706661</v>
      </c>
      <c r="U29" s="27">
        <f t="shared" si="67"/>
        <v>0.27664257077351206</v>
      </c>
      <c r="W29" s="1">
        <f t="shared" si="34"/>
        <v>11</v>
      </c>
      <c r="X29" s="2">
        <f t="shared" si="0"/>
        <v>102841.66666666667</v>
      </c>
      <c r="Y29" s="8">
        <f t="shared" si="76"/>
        <v>3.9100000000000003E-2</v>
      </c>
      <c r="Z29" s="5">
        <f t="shared" si="35"/>
        <v>1000</v>
      </c>
      <c r="AA29" s="2">
        <f t="shared" si="36"/>
        <v>100000</v>
      </c>
      <c r="AB29" s="2">
        <f t="shared" si="37"/>
        <v>100000</v>
      </c>
      <c r="AC29" s="2">
        <f t="shared" si="38"/>
        <v>100000</v>
      </c>
      <c r="AD29" s="8">
        <f t="shared" si="1"/>
        <v>4.3999999999999997E-2</v>
      </c>
      <c r="AE29" s="2">
        <f t="shared" si="2"/>
        <v>104033.33333333333</v>
      </c>
      <c r="AF29" s="2" t="str">
        <f t="shared" si="3"/>
        <v>nie</v>
      </c>
      <c r="AG29" s="2">
        <f t="shared" si="4"/>
        <v>1000</v>
      </c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2">
        <f t="shared" si="39"/>
        <v>0</v>
      </c>
      <c r="AU29" s="6"/>
      <c r="AV29" s="2">
        <f t="shared" si="5"/>
        <v>0</v>
      </c>
      <c r="AW29" s="6"/>
      <c r="AX29" s="2">
        <f t="shared" si="6"/>
        <v>0</v>
      </c>
      <c r="AY29" s="1">
        <f t="shared" si="7"/>
        <v>0</v>
      </c>
      <c r="AZ29" s="2">
        <f t="shared" si="40"/>
        <v>0</v>
      </c>
      <c r="BA29" s="2">
        <f t="shared" si="8"/>
        <v>104033.33333333333</v>
      </c>
      <c r="BB29" s="2">
        <f t="shared" si="9"/>
        <v>0</v>
      </c>
      <c r="BC29" s="2">
        <f t="shared" si="41"/>
        <v>0</v>
      </c>
      <c r="BD29" s="2">
        <f t="shared" si="10"/>
        <v>104033.33333333333</v>
      </c>
      <c r="BE29" s="2">
        <f t="shared" si="42"/>
        <v>1000</v>
      </c>
      <c r="BF29" s="2">
        <f t="shared" si="11"/>
        <v>576.33333333333246</v>
      </c>
      <c r="BG29" s="2">
        <f t="shared" si="12"/>
        <v>102457</v>
      </c>
      <c r="BI29" s="7"/>
      <c r="BJ29" s="5">
        <f t="shared" si="43"/>
        <v>1000</v>
      </c>
      <c r="BK29" s="2">
        <f t="shared" si="44"/>
        <v>100000</v>
      </c>
      <c r="BL29" s="2">
        <f t="shared" si="45"/>
        <v>100000</v>
      </c>
      <c r="BM29" s="2">
        <f t="shared" si="13"/>
        <v>100000</v>
      </c>
      <c r="BN29" s="8">
        <f t="shared" si="14"/>
        <v>4.7500000000000001E-2</v>
      </c>
      <c r="BO29" s="2">
        <f t="shared" si="15"/>
        <v>104354.16666666666</v>
      </c>
      <c r="BP29" s="2" t="str">
        <f t="shared" si="16"/>
        <v>nie</v>
      </c>
      <c r="BQ29" s="2">
        <f t="shared" si="17"/>
        <v>2000</v>
      </c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2">
        <f t="shared" si="18"/>
        <v>0</v>
      </c>
      <c r="CE29" s="6"/>
      <c r="CF29" s="2">
        <f t="shared" si="19"/>
        <v>0</v>
      </c>
      <c r="CG29" s="6"/>
      <c r="CH29" s="2">
        <f t="shared" si="20"/>
        <v>0</v>
      </c>
      <c r="CI29" s="1">
        <f t="shared" si="21"/>
        <v>0</v>
      </c>
      <c r="CJ29" s="2">
        <f t="shared" si="46"/>
        <v>0</v>
      </c>
      <c r="CK29" s="2">
        <f t="shared" si="22"/>
        <v>104354.16666666666</v>
      </c>
      <c r="CL29" s="2">
        <f t="shared" si="23"/>
        <v>0</v>
      </c>
      <c r="CM29" s="2">
        <f t="shared" si="47"/>
        <v>0</v>
      </c>
      <c r="CN29" s="2">
        <f t="shared" si="24"/>
        <v>104354.16666666666</v>
      </c>
      <c r="CO29" s="2">
        <f t="shared" si="48"/>
        <v>2000</v>
      </c>
      <c r="CP29" s="2">
        <f t="shared" si="25"/>
        <v>447.29166666666481</v>
      </c>
      <c r="CQ29" s="2">
        <f t="shared" si="26"/>
        <v>101906.87499999999</v>
      </c>
      <c r="CS29" s="5">
        <f t="shared" si="49"/>
        <v>1000</v>
      </c>
      <c r="CT29" s="2">
        <f t="shared" si="50"/>
        <v>100000</v>
      </c>
      <c r="CU29" s="2">
        <f t="shared" si="51"/>
        <v>100000</v>
      </c>
      <c r="CV29" s="2">
        <f t="shared" si="52"/>
        <v>100000</v>
      </c>
      <c r="CW29" s="8">
        <f t="shared" si="27"/>
        <v>5.3499999999999999E-2</v>
      </c>
      <c r="CX29" s="2">
        <f t="shared" si="28"/>
        <v>104904.16666666667</v>
      </c>
      <c r="CY29" s="2" t="str">
        <f t="shared" si="29"/>
        <v>nie</v>
      </c>
      <c r="CZ29" s="2">
        <f t="shared" si="53"/>
        <v>0</v>
      </c>
      <c r="DA29" s="2">
        <f t="shared" si="54"/>
        <v>0</v>
      </c>
      <c r="DB29" s="2">
        <f t="shared" si="55"/>
        <v>104904.16666666667</v>
      </c>
      <c r="DC29" s="2">
        <f t="shared" si="30"/>
        <v>0</v>
      </c>
      <c r="DD29" s="2">
        <f t="shared" si="56"/>
        <v>0</v>
      </c>
      <c r="DE29" s="2">
        <f t="shared" si="57"/>
        <v>104904.16666666667</v>
      </c>
      <c r="DF29" s="2">
        <f t="shared" si="32"/>
        <v>3000</v>
      </c>
      <c r="DG29" s="2">
        <f t="shared" si="33"/>
        <v>361.7916666666676</v>
      </c>
      <c r="DH29" s="2">
        <f t="shared" si="58"/>
        <v>101542.375</v>
      </c>
    </row>
    <row r="30" spans="2:112">
      <c r="C30" s="23">
        <v>9</v>
      </c>
      <c r="D30" s="2">
        <f t="shared" si="68"/>
        <v>144501.63913912239</v>
      </c>
      <c r="E30" s="2">
        <f t="shared" si="69"/>
        <v>135804.84363743759</v>
      </c>
      <c r="F30" s="2">
        <f t="shared" si="70"/>
        <v>149504.42271000001</v>
      </c>
      <c r="G30" s="2">
        <f t="shared" si="71"/>
        <v>137523.77921000001</v>
      </c>
      <c r="H30" s="2">
        <f t="shared" si="72"/>
        <v>155525.38080608577</v>
      </c>
      <c r="I30" s="2">
        <f t="shared" si="73"/>
        <v>142295.81960559924</v>
      </c>
      <c r="J30" s="52">
        <f t="shared" si="74"/>
        <v>129968.46407763565</v>
      </c>
      <c r="K30" s="44">
        <f t="shared" si="75"/>
        <v>131621.84904674906</v>
      </c>
      <c r="M30" s="23">
        <v>9</v>
      </c>
      <c r="N30" s="25">
        <f t="shared" si="60"/>
        <v>0.44501639139122395</v>
      </c>
      <c r="O30" s="25">
        <f t="shared" si="61"/>
        <v>0.35804843637437589</v>
      </c>
      <c r="P30" s="25">
        <f t="shared" si="62"/>
        <v>0.49504422710000018</v>
      </c>
      <c r="Q30" s="25">
        <f t="shared" si="63"/>
        <v>0.37523779210000008</v>
      </c>
      <c r="R30" s="25">
        <f t="shared" si="64"/>
        <v>0.55525380806085778</v>
      </c>
      <c r="S30" s="26">
        <f t="shared" si="65"/>
        <v>0.4229581960559925</v>
      </c>
      <c r="T30" s="53">
        <f t="shared" si="66"/>
        <v>0.29968464077635648</v>
      </c>
      <c r="U30" s="27">
        <f t="shared" si="67"/>
        <v>0.31621849046749073</v>
      </c>
      <c r="W30" s="1">
        <f t="shared" si="34"/>
        <v>12</v>
      </c>
      <c r="X30" s="2">
        <f t="shared" si="0"/>
        <v>103099.99999999999</v>
      </c>
      <c r="Y30" s="8">
        <f t="shared" si="76"/>
        <v>3.9100000000000003E-2</v>
      </c>
      <c r="Z30" s="5">
        <f t="shared" si="35"/>
        <v>1000</v>
      </c>
      <c r="AA30" s="2">
        <f t="shared" si="36"/>
        <v>100000</v>
      </c>
      <c r="AB30" s="2">
        <f t="shared" si="37"/>
        <v>100000</v>
      </c>
      <c r="AC30" s="2">
        <f t="shared" si="38"/>
        <v>100000</v>
      </c>
      <c r="AD30" s="8">
        <f t="shared" si="1"/>
        <v>4.3999999999999997E-2</v>
      </c>
      <c r="AE30" s="2">
        <f t="shared" si="2"/>
        <v>104400</v>
      </c>
      <c r="AF30" s="2" t="str">
        <f t="shared" si="3"/>
        <v>nie</v>
      </c>
      <c r="AG30" s="2">
        <f t="shared" si="4"/>
        <v>1000</v>
      </c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2">
        <f t="shared" si="39"/>
        <v>0</v>
      </c>
      <c r="AU30" s="6"/>
      <c r="AV30" s="2">
        <f>AZ29+AT30+AU30</f>
        <v>0</v>
      </c>
      <c r="AW30" s="1">
        <f t="shared" ref="AW30:AW61" si="77">IF(AT30&lt;&gt;0,MIN(IF(AK30&lt;&gt;"",AK30,0),ROUNDDOWN(AV30/zamiana_TOS,0)),0)</f>
        <v>0</v>
      </c>
      <c r="AX30" s="2">
        <f t="shared" si="6"/>
        <v>0</v>
      </c>
      <c r="AY30" s="1">
        <f>ROUNDDOWN(AX30/100,0)</f>
        <v>0</v>
      </c>
      <c r="AZ30" s="2">
        <f t="shared" si="40"/>
        <v>0</v>
      </c>
      <c r="BA30" s="2">
        <f t="shared" si="8"/>
        <v>104400</v>
      </c>
      <c r="BB30" s="2">
        <f t="shared" si="9"/>
        <v>0</v>
      </c>
      <c r="BC30" s="2">
        <f t="shared" si="41"/>
        <v>0</v>
      </c>
      <c r="BD30" s="2">
        <f t="shared" si="10"/>
        <v>104400</v>
      </c>
      <c r="BE30" s="2">
        <f t="shared" si="42"/>
        <v>1000</v>
      </c>
      <c r="BF30" s="2">
        <f t="shared" si="11"/>
        <v>646</v>
      </c>
      <c r="BG30" s="2">
        <f t="shared" si="12"/>
        <v>102754</v>
      </c>
      <c r="BI30" s="7"/>
      <c r="BJ30" s="5">
        <f t="shared" si="43"/>
        <v>1000</v>
      </c>
      <c r="BK30" s="2">
        <f t="shared" si="44"/>
        <v>100000</v>
      </c>
      <c r="BL30" s="2">
        <f t="shared" si="45"/>
        <v>100000</v>
      </c>
      <c r="BM30" s="2">
        <f t="shared" si="13"/>
        <v>100000</v>
      </c>
      <c r="BN30" s="8">
        <f t="shared" si="14"/>
        <v>4.7500000000000001E-2</v>
      </c>
      <c r="BO30" s="2">
        <f t="shared" si="15"/>
        <v>104750.00000000001</v>
      </c>
      <c r="BP30" s="2" t="str">
        <f t="shared" si="16"/>
        <v>nie</v>
      </c>
      <c r="BQ30" s="2">
        <f t="shared" si="17"/>
        <v>2000</v>
      </c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2">
        <f t="shared" si="18"/>
        <v>4750.0000000000146</v>
      </c>
      <c r="CE30" s="6"/>
      <c r="CF30" s="2">
        <f>CJ29+CD30+CE30</f>
        <v>4750.0000000000146</v>
      </c>
      <c r="CG30" s="1">
        <f t="shared" ref="CG30:CG61" si="78">IF(CD30&lt;&gt;0,MIN(IF(BU30&lt;&gt;"",BU30,0),ROUNDDOWN(CF30/zamiana_COI,0)),0)</f>
        <v>0</v>
      </c>
      <c r="CH30" s="2">
        <f t="shared" si="20"/>
        <v>4750.0000000000146</v>
      </c>
      <c r="CI30" s="1">
        <f>ROUNDDOWN(CH30/100,0)</f>
        <v>47</v>
      </c>
      <c r="CJ30" s="2">
        <f t="shared" si="46"/>
        <v>50.000000000014552</v>
      </c>
      <c r="CK30" s="2">
        <f t="shared" si="22"/>
        <v>104750.00000000001</v>
      </c>
      <c r="CL30" s="2">
        <f t="shared" si="23"/>
        <v>0</v>
      </c>
      <c r="CM30" s="2">
        <f t="shared" si="47"/>
        <v>0</v>
      </c>
      <c r="CN30" s="2">
        <f t="shared" si="24"/>
        <v>104750.00000000001</v>
      </c>
      <c r="CO30" s="2">
        <f t="shared" si="48"/>
        <v>2000</v>
      </c>
      <c r="CP30" s="2">
        <f t="shared" si="25"/>
        <v>522.50000000000273</v>
      </c>
      <c r="CQ30" s="2">
        <f t="shared" si="26"/>
        <v>102227.50000000001</v>
      </c>
      <c r="CS30" s="5">
        <f t="shared" si="49"/>
        <v>1000</v>
      </c>
      <c r="CT30" s="2">
        <f t="shared" si="50"/>
        <v>100000</v>
      </c>
      <c r="CU30" s="2">
        <f t="shared" si="51"/>
        <v>100000</v>
      </c>
      <c r="CV30" s="2">
        <f t="shared" si="52"/>
        <v>100000</v>
      </c>
      <c r="CW30" s="8">
        <f t="shared" si="27"/>
        <v>5.3499999999999999E-2</v>
      </c>
      <c r="CX30" s="2">
        <f t="shared" si="28"/>
        <v>105350.00000000001</v>
      </c>
      <c r="CY30" s="2" t="str">
        <f t="shared" si="29"/>
        <v>nie</v>
      </c>
      <c r="CZ30" s="2">
        <f t="shared" si="53"/>
        <v>0</v>
      </c>
      <c r="DA30" s="2">
        <f t="shared" si="54"/>
        <v>0</v>
      </c>
      <c r="DB30" s="2">
        <f t="shared" si="55"/>
        <v>105350.00000000001</v>
      </c>
      <c r="DC30" s="2">
        <f t="shared" si="30"/>
        <v>0</v>
      </c>
      <c r="DD30" s="2">
        <f t="shared" si="56"/>
        <v>0</v>
      </c>
      <c r="DE30" s="2">
        <f t="shared" si="57"/>
        <v>105350.00000000001</v>
      </c>
      <c r="DF30" s="2">
        <f t="shared" si="32"/>
        <v>3000</v>
      </c>
      <c r="DG30" s="2">
        <f t="shared" si="33"/>
        <v>446.50000000000279</v>
      </c>
      <c r="DH30" s="2">
        <f t="shared" si="58"/>
        <v>101903.50000000001</v>
      </c>
    </row>
    <row r="31" spans="2:112">
      <c r="C31" s="23">
        <v>10</v>
      </c>
      <c r="D31" s="2">
        <f t="shared" si="68"/>
        <v>150809.13960069246</v>
      </c>
      <c r="E31" s="2">
        <f t="shared" si="69"/>
        <v>139706.44729900768</v>
      </c>
      <c r="F31" s="2">
        <f t="shared" si="70"/>
        <v>156314.81791000004</v>
      </c>
      <c r="G31" s="2">
        <f t="shared" si="71"/>
        <v>142900.06591000003</v>
      </c>
      <c r="H31" s="2">
        <f t="shared" si="72"/>
        <v>163359.37176610209</v>
      </c>
      <c r="I31" s="2">
        <f t="shared" si="73"/>
        <v>151040.03294439075</v>
      </c>
      <c r="J31" s="52">
        <f t="shared" si="74"/>
        <v>133809.40877298923</v>
      </c>
      <c r="K31" s="44">
        <f t="shared" si="75"/>
        <v>135702.12636719827</v>
      </c>
      <c r="M31" s="23">
        <v>10</v>
      </c>
      <c r="N31" s="25">
        <f t="shared" si="60"/>
        <v>0.50809139600692466</v>
      </c>
      <c r="O31" s="25">
        <f t="shared" si="61"/>
        <v>0.39706447299007674</v>
      </c>
      <c r="P31" s="25">
        <f t="shared" si="62"/>
        <v>0.56314817910000037</v>
      </c>
      <c r="Q31" s="25">
        <f t="shared" si="63"/>
        <v>0.4290006591000004</v>
      </c>
      <c r="R31" s="25">
        <f t="shared" si="64"/>
        <v>0.63359371766102091</v>
      </c>
      <c r="S31" s="26">
        <f t="shared" si="65"/>
        <v>0.51040032944390745</v>
      </c>
      <c r="T31" s="53">
        <f t="shared" si="66"/>
        <v>0.33809408772989236</v>
      </c>
      <c r="U31" s="27">
        <f t="shared" si="67"/>
        <v>0.35702126367198272</v>
      </c>
      <c r="W31" s="1">
        <f t="shared" si="34"/>
        <v>13</v>
      </c>
      <c r="X31" s="2">
        <f t="shared" si="0"/>
        <v>103366.34166666666</v>
      </c>
      <c r="Y31" s="8">
        <f t="shared" si="76"/>
        <v>3.9100000000000003E-2</v>
      </c>
      <c r="Z31" s="5">
        <f t="shared" si="35"/>
        <v>1000</v>
      </c>
      <c r="AA31" s="2">
        <f t="shared" si="36"/>
        <v>100000</v>
      </c>
      <c r="AB31" s="2">
        <f t="shared" si="37"/>
        <v>100000</v>
      </c>
      <c r="AC31" s="2">
        <f t="shared" si="38"/>
        <v>104400</v>
      </c>
      <c r="AD31" s="8">
        <f t="shared" si="1"/>
        <v>4.3999999999999997E-2</v>
      </c>
      <c r="AE31" s="2">
        <f t="shared" si="2"/>
        <v>104782.8</v>
      </c>
      <c r="AF31" s="2" t="str">
        <f t="shared" si="3"/>
        <v>nie</v>
      </c>
      <c r="AG31" s="2">
        <f t="shared" si="4"/>
        <v>1000</v>
      </c>
      <c r="AH31" s="1">
        <f t="shared" ref="AH31:AH94" si="79">IF(AT30&lt;&gt;0,AW30+AY30,AH30)</f>
        <v>0</v>
      </c>
      <c r="AI31" s="6"/>
      <c r="AJ31" s="6"/>
      <c r="AK31" s="6"/>
      <c r="AL31" s="2">
        <f>AH31*100</f>
        <v>0</v>
      </c>
      <c r="AM31" s="8">
        <f t="shared" ref="AM31:AM62" si="80">proc_I_okres_TOS</f>
        <v>4.3999999999999997E-2</v>
      </c>
      <c r="AN31" s="2">
        <f>AL31*(1+AM31*IF(MOD($W31,12)&lt;&gt;0,MOD($W31,12),12)/12)</f>
        <v>0</v>
      </c>
      <c r="AO31" s="2">
        <f t="shared" ref="AO31:AO62" si="81">MIN(AH31*koszt_wczesniejszy_wykup_TOS,AN31-AL31)</f>
        <v>0</v>
      </c>
      <c r="AP31" s="6"/>
      <c r="AQ31" s="6"/>
      <c r="AR31" s="6"/>
      <c r="AS31" s="6"/>
      <c r="AT31" s="2">
        <f t="shared" si="39"/>
        <v>0</v>
      </c>
      <c r="AU31" s="2">
        <f>IF(MOD($W31,12)=0,AN31-AL31+AR31-AP31+AK31*100,0)</f>
        <v>0</v>
      </c>
      <c r="AV31" s="2">
        <f t="shared" ref="AV31:AV94" si="82">AZ30+AT31+AU31</f>
        <v>0</v>
      </c>
      <c r="AW31" s="1">
        <f t="shared" si="77"/>
        <v>0</v>
      </c>
      <c r="AX31" s="2">
        <f t="shared" si="6"/>
        <v>0</v>
      </c>
      <c r="AY31" s="1">
        <f t="shared" ref="AY31:AY94" si="83">ROUNDDOWN(AX31/100,0)</f>
        <v>0</v>
      </c>
      <c r="AZ31" s="2">
        <f t="shared" si="40"/>
        <v>0</v>
      </c>
      <c r="BA31" s="2">
        <f>AE31+AN31+AR31+AZ30</f>
        <v>104782.8</v>
      </c>
      <c r="BB31" s="2">
        <f t="shared" si="9"/>
        <v>0</v>
      </c>
      <c r="BC31" s="2">
        <f t="shared" si="41"/>
        <v>0</v>
      </c>
      <c r="BD31" s="2">
        <f t="shared" si="10"/>
        <v>104782.8</v>
      </c>
      <c r="BE31" s="2">
        <f t="shared" si="42"/>
        <v>1000</v>
      </c>
      <c r="BF31" s="2">
        <f t="shared" si="11"/>
        <v>718.73200000000054</v>
      </c>
      <c r="BG31" s="2">
        <f t="shared" si="12"/>
        <v>103064.068</v>
      </c>
      <c r="BI31" s="8">
        <f t="shared" ref="BI31:BI62" si="84">MAX(INDEX(scenariusz_I_inflacja,MATCH(ROUNDUP(W31/12,0)-1,scenariusz_I_rok,0)),0)</f>
        <v>3.1E-2</v>
      </c>
      <c r="BJ31" s="5">
        <f t="shared" si="43"/>
        <v>1000</v>
      </c>
      <c r="BK31" s="2">
        <f t="shared" si="44"/>
        <v>100000</v>
      </c>
      <c r="BL31" s="2">
        <f t="shared" si="45"/>
        <v>100000</v>
      </c>
      <c r="BM31" s="2">
        <f t="shared" si="13"/>
        <v>100000</v>
      </c>
      <c r="BN31" s="8">
        <f t="shared" si="14"/>
        <v>4.5999999999999999E-2</v>
      </c>
      <c r="BO31" s="2">
        <f t="shared" si="15"/>
        <v>100383.33333333333</v>
      </c>
      <c r="BP31" s="2" t="str">
        <f t="shared" si="16"/>
        <v>nie</v>
      </c>
      <c r="BQ31" s="2">
        <f t="shared" si="17"/>
        <v>2000</v>
      </c>
      <c r="BR31" s="1">
        <f t="shared" ref="BR31:BR62" si="85">IF(CD30&lt;&gt;0,CG30+CI30,BR30)</f>
        <v>47</v>
      </c>
      <c r="BS31" s="6"/>
      <c r="BT31" s="6"/>
      <c r="BU31" s="6"/>
      <c r="BV31" s="2">
        <f>BR31*100</f>
        <v>4700</v>
      </c>
      <c r="BW31" s="8">
        <f t="shared" ref="BW31:BW62" si="86">proc_I_okres_COI</f>
        <v>4.7500000000000001E-2</v>
      </c>
      <c r="BX31" s="2">
        <f>BV31*(1+BW31*IF(MOD($W31,12)&lt;&gt;0,MOD($W31,12),12)/12)</f>
        <v>4718.6041666666661</v>
      </c>
      <c r="BY31" s="2">
        <f t="shared" ref="BY31:BY62" si="87">MIN(BR31*koszt_wczesniejszy_wykup_COI,BX31-BV31)</f>
        <v>18.60416666666606</v>
      </c>
      <c r="BZ31" s="6"/>
      <c r="CA31" s="6"/>
      <c r="CB31" s="6"/>
      <c r="CC31" s="6"/>
      <c r="CD31" s="2">
        <f t="shared" si="18"/>
        <v>0</v>
      </c>
      <c r="CE31" s="2">
        <f>IF(MOD($W31,12)=0,BX31-BV31+CB31-BZ31+BU31*100,0)</f>
        <v>0</v>
      </c>
      <c r="CF31" s="2">
        <f t="shared" ref="CF31" si="88">CJ30+CD31+CE31</f>
        <v>50.000000000014552</v>
      </c>
      <c r="CG31" s="1">
        <f t="shared" si="78"/>
        <v>0</v>
      </c>
      <c r="CH31" s="2">
        <f t="shared" si="20"/>
        <v>50.000000000014552</v>
      </c>
      <c r="CI31" s="1">
        <f t="shared" ref="CI31:CI94" si="89">ROUNDDOWN(CH31/100,0)</f>
        <v>0</v>
      </c>
      <c r="CJ31" s="2">
        <f t="shared" si="46"/>
        <v>50.000000000014552</v>
      </c>
      <c r="CK31" s="2">
        <f>BO31+BX31+CB31+CJ30</f>
        <v>105151.93750000001</v>
      </c>
      <c r="CL31" s="2">
        <f t="shared" si="23"/>
        <v>0</v>
      </c>
      <c r="CM31" s="2">
        <f t="shared" si="47"/>
        <v>0</v>
      </c>
      <c r="CN31" s="2">
        <f t="shared" si="24"/>
        <v>105151.93750000001</v>
      </c>
      <c r="CO31" s="2">
        <f t="shared" si="48"/>
        <v>2018.6041666666661</v>
      </c>
      <c r="CP31" s="2">
        <f t="shared" si="25"/>
        <v>595.33333333333519</v>
      </c>
      <c r="CQ31" s="2">
        <f t="shared" si="26"/>
        <v>102538.00000000001</v>
      </c>
      <c r="CS31" s="5">
        <f t="shared" si="49"/>
        <v>1000</v>
      </c>
      <c r="CT31" s="2">
        <f t="shared" si="50"/>
        <v>100000</v>
      </c>
      <c r="CU31" s="2">
        <f t="shared" si="51"/>
        <v>100000</v>
      </c>
      <c r="CV31" s="2">
        <f t="shared" si="52"/>
        <v>105350.00000000001</v>
      </c>
      <c r="CW31" s="8">
        <f t="shared" si="27"/>
        <v>5.1000000000000004E-2</v>
      </c>
      <c r="CX31" s="2">
        <f t="shared" si="28"/>
        <v>105797.73750000002</v>
      </c>
      <c r="CY31" s="2" t="str">
        <f t="shared" si="29"/>
        <v>nie</v>
      </c>
      <c r="CZ31" s="2">
        <f t="shared" si="53"/>
        <v>0</v>
      </c>
      <c r="DA31" s="2">
        <f t="shared" si="54"/>
        <v>0</v>
      </c>
      <c r="DB31" s="2">
        <f t="shared" si="55"/>
        <v>105797.73750000002</v>
      </c>
      <c r="DC31" s="2">
        <f t="shared" si="30"/>
        <v>0</v>
      </c>
      <c r="DD31" s="2">
        <f t="shared" si="56"/>
        <v>0</v>
      </c>
      <c r="DE31" s="2">
        <f t="shared" si="57"/>
        <v>105797.73750000002</v>
      </c>
      <c r="DF31" s="2">
        <f t="shared" si="32"/>
        <v>3000</v>
      </c>
      <c r="DG31" s="2">
        <f t="shared" si="33"/>
        <v>531.57012500000337</v>
      </c>
      <c r="DH31" s="2">
        <f t="shared" si="58"/>
        <v>102266.16737500002</v>
      </c>
    </row>
    <row r="32" spans="2:112" ht="15.75" customHeight="1">
      <c r="C32" s="23">
        <v>11</v>
      </c>
      <c r="D32" s="2">
        <f t="shared" si="68"/>
        <v>157346.13215426254</v>
      </c>
      <c r="E32" s="2">
        <f t="shared" si="69"/>
        <v>144971.21733257774</v>
      </c>
      <c r="F32" s="2">
        <f t="shared" si="70"/>
        <v>163440.97191000005</v>
      </c>
      <c r="G32" s="2">
        <f t="shared" si="71"/>
        <v>148527.49191000004</v>
      </c>
      <c r="H32" s="2">
        <f t="shared" si="72"/>
        <v>172178.04064072468</v>
      </c>
      <c r="I32" s="2">
        <f t="shared" si="73"/>
        <v>154141.31564072467</v>
      </c>
      <c r="J32" s="52">
        <f t="shared" si="74"/>
        <v>137763.86451317559</v>
      </c>
      <c r="K32" s="44">
        <f t="shared" si="75"/>
        <v>139908.89228458141</v>
      </c>
      <c r="M32" s="23">
        <v>11</v>
      </c>
      <c r="N32" s="25">
        <f t="shared" si="60"/>
        <v>0.57346132154262541</v>
      </c>
      <c r="O32" s="25">
        <f t="shared" si="61"/>
        <v>0.4497121733257774</v>
      </c>
      <c r="P32" s="25">
        <f t="shared" si="62"/>
        <v>0.63440971910000044</v>
      </c>
      <c r="Q32" s="25">
        <f t="shared" si="63"/>
        <v>0.48527491910000031</v>
      </c>
      <c r="R32" s="25">
        <f t="shared" si="64"/>
        <v>0.72178040640724683</v>
      </c>
      <c r="S32" s="26">
        <f t="shared" si="65"/>
        <v>0.54141315640724663</v>
      </c>
      <c r="T32" s="53">
        <f t="shared" si="66"/>
        <v>0.37763864513175593</v>
      </c>
      <c r="U32" s="27">
        <f t="shared" si="67"/>
        <v>0.3990889228458141</v>
      </c>
      <c r="W32" s="1">
        <f t="shared" si="34"/>
        <v>14</v>
      </c>
      <c r="X32" s="2">
        <f t="shared" si="0"/>
        <v>103632.68333333333</v>
      </c>
      <c r="Y32" s="8">
        <f t="shared" si="76"/>
        <v>3.9100000000000003E-2</v>
      </c>
      <c r="Z32" s="5">
        <f t="shared" si="35"/>
        <v>1000</v>
      </c>
      <c r="AA32" s="2">
        <f t="shared" si="36"/>
        <v>100000</v>
      </c>
      <c r="AB32" s="2">
        <f t="shared" si="37"/>
        <v>100000</v>
      </c>
      <c r="AC32" s="2">
        <f t="shared" si="38"/>
        <v>104400</v>
      </c>
      <c r="AD32" s="8">
        <f t="shared" si="1"/>
        <v>4.3999999999999997E-2</v>
      </c>
      <c r="AE32" s="2">
        <f t="shared" si="2"/>
        <v>105165.6</v>
      </c>
      <c r="AF32" s="2" t="str">
        <f t="shared" si="3"/>
        <v>nie</v>
      </c>
      <c r="AG32" s="2">
        <f t="shared" si="4"/>
        <v>1000</v>
      </c>
      <c r="AH32" s="1">
        <f t="shared" si="79"/>
        <v>0</v>
      </c>
      <c r="AI32" s="6"/>
      <c r="AJ32" s="6"/>
      <c r="AK32" s="6"/>
      <c r="AL32" s="2">
        <f t="shared" ref="AL32:AL95" si="90">AH32*100</f>
        <v>0</v>
      </c>
      <c r="AM32" s="8">
        <f t="shared" si="80"/>
        <v>4.3999999999999997E-2</v>
      </c>
      <c r="AN32" s="2">
        <f t="shared" ref="AN32:AN95" si="91">AL32*(1+AM32*IF(MOD($W32,12)&lt;&gt;0,MOD($W32,12),12)/12)</f>
        <v>0</v>
      </c>
      <c r="AO32" s="2">
        <f t="shared" si="81"/>
        <v>0</v>
      </c>
      <c r="AP32" s="6"/>
      <c r="AQ32" s="6"/>
      <c r="AR32" s="6"/>
      <c r="AS32" s="6"/>
      <c r="AT32" s="2">
        <f t="shared" si="39"/>
        <v>0</v>
      </c>
      <c r="AU32" s="2">
        <f t="shared" ref="AU32:AU95" si="92">IF(MOD($W32,12)=0,AN32-AL32+AR32-AP32+AK32*100,0)</f>
        <v>0</v>
      </c>
      <c r="AV32" s="2">
        <f t="shared" si="82"/>
        <v>0</v>
      </c>
      <c r="AW32" s="1">
        <f t="shared" si="77"/>
        <v>0</v>
      </c>
      <c r="AX32" s="2">
        <f t="shared" si="6"/>
        <v>0</v>
      </c>
      <c r="AY32" s="1">
        <f t="shared" si="83"/>
        <v>0</v>
      </c>
      <c r="AZ32" s="2">
        <f t="shared" si="40"/>
        <v>0</v>
      </c>
      <c r="BA32" s="2">
        <f t="shared" ref="BA32:BA95" si="93">AE32+AN32+AR32+AZ31</f>
        <v>105165.6</v>
      </c>
      <c r="BB32" s="2">
        <f t="shared" si="9"/>
        <v>0</v>
      </c>
      <c r="BC32" s="2">
        <f t="shared" si="41"/>
        <v>0</v>
      </c>
      <c r="BD32" s="2">
        <f t="shared" si="10"/>
        <v>105165.6</v>
      </c>
      <c r="BE32" s="2">
        <f t="shared" si="42"/>
        <v>1000</v>
      </c>
      <c r="BF32" s="2">
        <f t="shared" si="11"/>
        <v>791.46400000000108</v>
      </c>
      <c r="BG32" s="2">
        <f t="shared" si="12"/>
        <v>103374.136</v>
      </c>
      <c r="BI32" s="8">
        <f t="shared" si="84"/>
        <v>3.1E-2</v>
      </c>
      <c r="BJ32" s="5">
        <f t="shared" si="43"/>
        <v>1000</v>
      </c>
      <c r="BK32" s="2">
        <f t="shared" si="44"/>
        <v>100000</v>
      </c>
      <c r="BL32" s="2">
        <f t="shared" si="45"/>
        <v>100000</v>
      </c>
      <c r="BM32" s="2">
        <f t="shared" si="13"/>
        <v>100000</v>
      </c>
      <c r="BN32" s="8">
        <f t="shared" si="14"/>
        <v>4.5999999999999999E-2</v>
      </c>
      <c r="BO32" s="2">
        <f t="shared" si="15"/>
        <v>100766.66666666667</v>
      </c>
      <c r="BP32" s="2" t="str">
        <f t="shared" si="16"/>
        <v>nie</v>
      </c>
      <c r="BQ32" s="2">
        <f t="shared" si="17"/>
        <v>2000</v>
      </c>
      <c r="BR32" s="1">
        <f t="shared" si="85"/>
        <v>47</v>
      </c>
      <c r="BS32" s="6"/>
      <c r="BT32" s="6"/>
      <c r="BU32" s="6"/>
      <c r="BV32" s="2">
        <f t="shared" ref="BV32:BV95" si="94">BR32*100</f>
        <v>4700</v>
      </c>
      <c r="BW32" s="8">
        <f t="shared" si="86"/>
        <v>4.7500000000000001E-2</v>
      </c>
      <c r="BX32" s="2">
        <f t="shared" ref="BX32:BX95" si="95">BV32*(1+BW32*IF(MOD($W32,12)&lt;&gt;0,MOD($W32,12),12)/12)</f>
        <v>4737.208333333333</v>
      </c>
      <c r="BY32" s="2">
        <f t="shared" si="87"/>
        <v>37.20833333333303</v>
      </c>
      <c r="BZ32" s="6"/>
      <c r="CA32" s="6"/>
      <c r="CB32" s="6"/>
      <c r="CC32" s="6"/>
      <c r="CD32" s="2">
        <f t="shared" si="18"/>
        <v>0</v>
      </c>
      <c r="CE32" s="2">
        <f t="shared" ref="CE32:CE95" si="96">IF(MOD($W32,12)=0,BX32-BV32+CB32-BZ32+BU32*100,0)</f>
        <v>0</v>
      </c>
      <c r="CF32" s="2">
        <f t="shared" ref="CF32:CF95" si="97">CJ31+CD32+CE32</f>
        <v>50.000000000014552</v>
      </c>
      <c r="CG32" s="1">
        <f t="shared" si="78"/>
        <v>0</v>
      </c>
      <c r="CH32" s="2">
        <f t="shared" si="20"/>
        <v>50.000000000014552</v>
      </c>
      <c r="CI32" s="1">
        <f t="shared" si="89"/>
        <v>0</v>
      </c>
      <c r="CJ32" s="2">
        <f t="shared" ref="CJ32:CJ95" si="98">CH32-CI32*100</f>
        <v>50.000000000014552</v>
      </c>
      <c r="CK32" s="2">
        <f t="shared" ref="CK32:CK95" si="99">BO32+BX32+CB32+CJ31</f>
        <v>105553.87500000001</v>
      </c>
      <c r="CL32" s="2">
        <f t="shared" si="23"/>
        <v>0</v>
      </c>
      <c r="CM32" s="2">
        <f t="shared" si="47"/>
        <v>0</v>
      </c>
      <c r="CN32" s="2">
        <f t="shared" si="24"/>
        <v>105553.87500000001</v>
      </c>
      <c r="CO32" s="2">
        <f t="shared" si="48"/>
        <v>2037.208333333333</v>
      </c>
      <c r="CP32" s="2">
        <f t="shared" si="25"/>
        <v>668.16666666667038</v>
      </c>
      <c r="CQ32" s="2">
        <f t="shared" si="26"/>
        <v>102848.50000000001</v>
      </c>
      <c r="CS32" s="5">
        <f t="shared" si="49"/>
        <v>1000</v>
      </c>
      <c r="CT32" s="2">
        <f t="shared" si="50"/>
        <v>100000</v>
      </c>
      <c r="CU32" s="2">
        <f t="shared" si="51"/>
        <v>100000</v>
      </c>
      <c r="CV32" s="2">
        <f t="shared" si="52"/>
        <v>105350.00000000001</v>
      </c>
      <c r="CW32" s="8">
        <f t="shared" si="27"/>
        <v>5.1000000000000004E-2</v>
      </c>
      <c r="CX32" s="2">
        <f t="shared" si="28"/>
        <v>106245.47500000001</v>
      </c>
      <c r="CY32" s="2" t="str">
        <f t="shared" si="29"/>
        <v>nie</v>
      </c>
      <c r="CZ32" s="2">
        <f t="shared" si="53"/>
        <v>0</v>
      </c>
      <c r="DA32" s="2">
        <f t="shared" si="54"/>
        <v>0</v>
      </c>
      <c r="DB32" s="2">
        <f t="shared" si="55"/>
        <v>106245.47500000001</v>
      </c>
      <c r="DC32" s="2">
        <f t="shared" si="30"/>
        <v>0</v>
      </c>
      <c r="DD32" s="2">
        <f t="shared" si="56"/>
        <v>0</v>
      </c>
      <c r="DE32" s="2">
        <f t="shared" si="57"/>
        <v>106245.47500000001</v>
      </c>
      <c r="DF32" s="2">
        <f t="shared" si="32"/>
        <v>3000</v>
      </c>
      <c r="DG32" s="2">
        <f t="shared" si="33"/>
        <v>616.64025000000106</v>
      </c>
      <c r="DH32" s="2">
        <f t="shared" si="58"/>
        <v>102628.83475000001</v>
      </c>
    </row>
    <row r="33" spans="2:112" ht="15" customHeight="1" thickBot="1">
      <c r="C33" s="57">
        <v>12</v>
      </c>
      <c r="D33" s="66">
        <f t="shared" si="68"/>
        <v>163393.92418823182</v>
      </c>
      <c r="E33" s="66">
        <f t="shared" si="69"/>
        <v>151017.10449039502</v>
      </c>
      <c r="F33" s="66">
        <f t="shared" si="70"/>
        <v>170897.24696000005</v>
      </c>
      <c r="G33" s="66">
        <f t="shared" si="71"/>
        <v>156191.52646000005</v>
      </c>
      <c r="H33" s="66">
        <f t="shared" si="72"/>
        <v>180860.54681284726</v>
      </c>
      <c r="I33" s="66">
        <f t="shared" si="73"/>
        <v>161139.43333784727</v>
      </c>
      <c r="J33" s="58">
        <f t="shared" si="74"/>
        <v>141835.18587846626</v>
      </c>
      <c r="K33" s="67">
        <f t="shared" si="75"/>
        <v>144246.06794540343</v>
      </c>
      <c r="M33" s="28">
        <v>12</v>
      </c>
      <c r="N33" s="29">
        <f t="shared" si="60"/>
        <v>0.63393924188231821</v>
      </c>
      <c r="O33" s="29">
        <f t="shared" si="61"/>
        <v>0.51017104490395027</v>
      </c>
      <c r="P33" s="29">
        <f t="shared" si="62"/>
        <v>0.70897246960000038</v>
      </c>
      <c r="Q33" s="29">
        <f t="shared" si="63"/>
        <v>0.56191526460000052</v>
      </c>
      <c r="R33" s="29">
        <f t="shared" si="64"/>
        <v>0.80860546812847267</v>
      </c>
      <c r="S33" s="30">
        <f t="shared" si="65"/>
        <v>0.6113943333784726</v>
      </c>
      <c r="T33" s="54">
        <f t="shared" si="66"/>
        <v>0.41835185878466263</v>
      </c>
      <c r="U33" s="31">
        <f t="shared" si="67"/>
        <v>0.44246067945403422</v>
      </c>
      <c r="W33" s="1">
        <f t="shared" si="34"/>
        <v>15</v>
      </c>
      <c r="X33" s="2">
        <f t="shared" si="0"/>
        <v>103899.02499999998</v>
      </c>
      <c r="Y33" s="8">
        <f t="shared" si="76"/>
        <v>3.9100000000000003E-2</v>
      </c>
      <c r="Z33" s="5">
        <f t="shared" si="35"/>
        <v>1000</v>
      </c>
      <c r="AA33" s="2">
        <f t="shared" si="36"/>
        <v>100000</v>
      </c>
      <c r="AB33" s="2">
        <f t="shared" si="37"/>
        <v>100000</v>
      </c>
      <c r="AC33" s="2">
        <f t="shared" si="38"/>
        <v>104400</v>
      </c>
      <c r="AD33" s="8">
        <f t="shared" si="1"/>
        <v>4.3999999999999997E-2</v>
      </c>
      <c r="AE33" s="2">
        <f t="shared" si="2"/>
        <v>105548.4</v>
      </c>
      <c r="AF33" s="2" t="str">
        <f t="shared" si="3"/>
        <v>nie</v>
      </c>
      <c r="AG33" s="2">
        <f t="shared" si="4"/>
        <v>1000</v>
      </c>
      <c r="AH33" s="1">
        <f t="shared" si="79"/>
        <v>0</v>
      </c>
      <c r="AI33" s="6"/>
      <c r="AJ33" s="6"/>
      <c r="AK33" s="6"/>
      <c r="AL33" s="2">
        <f t="shared" si="90"/>
        <v>0</v>
      </c>
      <c r="AM33" s="8">
        <f t="shared" si="80"/>
        <v>4.3999999999999997E-2</v>
      </c>
      <c r="AN33" s="2">
        <f t="shared" si="91"/>
        <v>0</v>
      </c>
      <c r="AO33" s="2">
        <f t="shared" si="81"/>
        <v>0</v>
      </c>
      <c r="AP33" s="6"/>
      <c r="AQ33" s="6"/>
      <c r="AR33" s="6"/>
      <c r="AS33" s="6"/>
      <c r="AT33" s="2">
        <f t="shared" si="39"/>
        <v>0</v>
      </c>
      <c r="AU33" s="2">
        <f t="shared" si="92"/>
        <v>0</v>
      </c>
      <c r="AV33" s="2">
        <f t="shared" si="82"/>
        <v>0</v>
      </c>
      <c r="AW33" s="1">
        <f t="shared" si="77"/>
        <v>0</v>
      </c>
      <c r="AX33" s="2">
        <f t="shared" si="6"/>
        <v>0</v>
      </c>
      <c r="AY33" s="1">
        <f t="shared" si="83"/>
        <v>0</v>
      </c>
      <c r="AZ33" s="2">
        <f t="shared" si="40"/>
        <v>0</v>
      </c>
      <c r="BA33" s="2">
        <f t="shared" si="93"/>
        <v>105548.4</v>
      </c>
      <c r="BB33" s="2">
        <f t="shared" si="9"/>
        <v>0</v>
      </c>
      <c r="BC33" s="2">
        <f t="shared" si="41"/>
        <v>0</v>
      </c>
      <c r="BD33" s="2">
        <f t="shared" si="10"/>
        <v>105548.4</v>
      </c>
      <c r="BE33" s="2">
        <f t="shared" si="42"/>
        <v>1000</v>
      </c>
      <c r="BF33" s="2">
        <f t="shared" si="11"/>
        <v>864.19599999999889</v>
      </c>
      <c r="BG33" s="2">
        <f t="shared" si="12"/>
        <v>103684.204</v>
      </c>
      <c r="BI33" s="8">
        <f t="shared" si="84"/>
        <v>3.1E-2</v>
      </c>
      <c r="BJ33" s="5">
        <f t="shared" si="43"/>
        <v>1000</v>
      </c>
      <c r="BK33" s="2">
        <f t="shared" si="44"/>
        <v>100000</v>
      </c>
      <c r="BL33" s="2">
        <f t="shared" si="45"/>
        <v>100000</v>
      </c>
      <c r="BM33" s="2">
        <f t="shared" si="13"/>
        <v>100000</v>
      </c>
      <c r="BN33" s="8">
        <f t="shared" si="14"/>
        <v>4.5999999999999999E-2</v>
      </c>
      <c r="BO33" s="2">
        <f t="shared" si="15"/>
        <v>101150</v>
      </c>
      <c r="BP33" s="2" t="str">
        <f t="shared" si="16"/>
        <v>nie</v>
      </c>
      <c r="BQ33" s="2">
        <f t="shared" si="17"/>
        <v>2000</v>
      </c>
      <c r="BR33" s="1">
        <f t="shared" si="85"/>
        <v>47</v>
      </c>
      <c r="BS33" s="6"/>
      <c r="BT33" s="6"/>
      <c r="BU33" s="6"/>
      <c r="BV33" s="2">
        <f t="shared" si="94"/>
        <v>4700</v>
      </c>
      <c r="BW33" s="8">
        <f t="shared" si="86"/>
        <v>4.7500000000000001E-2</v>
      </c>
      <c r="BX33" s="2">
        <f t="shared" si="95"/>
        <v>4755.8125</v>
      </c>
      <c r="BY33" s="2">
        <f t="shared" si="87"/>
        <v>55.8125</v>
      </c>
      <c r="BZ33" s="6"/>
      <c r="CA33" s="6"/>
      <c r="CB33" s="6"/>
      <c r="CC33" s="6"/>
      <c r="CD33" s="2">
        <f t="shared" si="18"/>
        <v>0</v>
      </c>
      <c r="CE33" s="2">
        <f t="shared" si="96"/>
        <v>0</v>
      </c>
      <c r="CF33" s="2">
        <f t="shared" si="97"/>
        <v>50.000000000014552</v>
      </c>
      <c r="CG33" s="1">
        <f t="shared" si="78"/>
        <v>0</v>
      </c>
      <c r="CH33" s="2">
        <f t="shared" si="20"/>
        <v>50.000000000014552</v>
      </c>
      <c r="CI33" s="1">
        <f t="shared" si="89"/>
        <v>0</v>
      </c>
      <c r="CJ33" s="2">
        <f t="shared" si="98"/>
        <v>50.000000000014552</v>
      </c>
      <c r="CK33" s="2">
        <f t="shared" si="99"/>
        <v>105955.81250000001</v>
      </c>
      <c r="CL33" s="2">
        <f t="shared" si="23"/>
        <v>0</v>
      </c>
      <c r="CM33" s="2">
        <f t="shared" si="47"/>
        <v>0</v>
      </c>
      <c r="CN33" s="2">
        <f t="shared" si="24"/>
        <v>105955.81250000001</v>
      </c>
      <c r="CO33" s="2">
        <f t="shared" si="48"/>
        <v>2055.8125</v>
      </c>
      <c r="CP33" s="2">
        <f t="shared" si="25"/>
        <v>741.00000000000273</v>
      </c>
      <c r="CQ33" s="2">
        <f t="shared" si="26"/>
        <v>103159.00000000001</v>
      </c>
      <c r="CS33" s="5">
        <f t="shared" si="49"/>
        <v>1000</v>
      </c>
      <c r="CT33" s="2">
        <f t="shared" si="50"/>
        <v>100000</v>
      </c>
      <c r="CU33" s="2">
        <f t="shared" si="51"/>
        <v>100000</v>
      </c>
      <c r="CV33" s="2">
        <f t="shared" si="52"/>
        <v>105350.00000000001</v>
      </c>
      <c r="CW33" s="8">
        <f t="shared" si="27"/>
        <v>5.1000000000000004E-2</v>
      </c>
      <c r="CX33" s="2">
        <f t="shared" si="28"/>
        <v>106693.21250000002</v>
      </c>
      <c r="CY33" s="2" t="str">
        <f t="shared" si="29"/>
        <v>nie</v>
      </c>
      <c r="CZ33" s="2">
        <f t="shared" si="53"/>
        <v>0</v>
      </c>
      <c r="DA33" s="2">
        <f t="shared" si="54"/>
        <v>0</v>
      </c>
      <c r="DB33" s="2">
        <f t="shared" si="55"/>
        <v>106693.21250000002</v>
      </c>
      <c r="DC33" s="2">
        <f t="shared" si="30"/>
        <v>0</v>
      </c>
      <c r="DD33" s="2">
        <f t="shared" si="56"/>
        <v>0</v>
      </c>
      <c r="DE33" s="2">
        <f t="shared" si="57"/>
        <v>106693.21250000002</v>
      </c>
      <c r="DF33" s="2">
        <f t="shared" si="32"/>
        <v>3000</v>
      </c>
      <c r="DG33" s="2">
        <f t="shared" si="33"/>
        <v>701.71037500000443</v>
      </c>
      <c r="DH33" s="2">
        <f t="shared" si="58"/>
        <v>102991.50212500001</v>
      </c>
    </row>
    <row r="34" spans="2:112" ht="23.5" customHeight="1" thickBot="1">
      <c r="M34" s="49">
        <f>zakup_domyslny_mc</f>
        <v>50</v>
      </c>
      <c r="N34" s="40">
        <f t="shared" ref="N34:U34" si="100">D17/zakup_domyslny_wartosc-1</f>
        <v>0.1871120667569599</v>
      </c>
      <c r="O34" s="40">
        <f t="shared" si="100"/>
        <v>0.14141453509296009</v>
      </c>
      <c r="P34" s="40">
        <f t="shared" si="100"/>
        <v>0.20432651245</v>
      </c>
      <c r="Q34" s="40">
        <f t="shared" si="100"/>
        <v>0.15540181245000007</v>
      </c>
      <c r="R34" s="40">
        <f t="shared" si="100"/>
        <v>0.2282122215273823</v>
      </c>
      <c r="S34" s="40">
        <f t="shared" si="100"/>
        <v>0.15955831812601673</v>
      </c>
      <c r="T34" s="40">
        <f t="shared" si="100"/>
        <v>0.12902295398418118</v>
      </c>
      <c r="U34" s="41">
        <f t="shared" si="100"/>
        <v>0.13572383230652507</v>
      </c>
      <c r="W34" s="1">
        <f t="shared" si="34"/>
        <v>16</v>
      </c>
      <c r="X34" s="2">
        <f t="shared" si="0"/>
        <v>104165.36666666665</v>
      </c>
      <c r="Y34" s="8">
        <f t="shared" si="76"/>
        <v>3.9100000000000003E-2</v>
      </c>
      <c r="Z34" s="5">
        <f t="shared" si="35"/>
        <v>1000</v>
      </c>
      <c r="AA34" s="2">
        <f t="shared" si="36"/>
        <v>100000</v>
      </c>
      <c r="AB34" s="2">
        <f t="shared" si="37"/>
        <v>100000</v>
      </c>
      <c r="AC34" s="2">
        <f t="shared" si="38"/>
        <v>104400</v>
      </c>
      <c r="AD34" s="8">
        <f t="shared" si="1"/>
        <v>4.3999999999999997E-2</v>
      </c>
      <c r="AE34" s="2">
        <f t="shared" si="2"/>
        <v>105931.2</v>
      </c>
      <c r="AF34" s="2" t="str">
        <f t="shared" si="3"/>
        <v>nie</v>
      </c>
      <c r="AG34" s="2">
        <f t="shared" si="4"/>
        <v>1000</v>
      </c>
      <c r="AH34" s="1">
        <f t="shared" si="79"/>
        <v>0</v>
      </c>
      <c r="AI34" s="6"/>
      <c r="AJ34" s="6"/>
      <c r="AK34" s="6"/>
      <c r="AL34" s="2">
        <f t="shared" si="90"/>
        <v>0</v>
      </c>
      <c r="AM34" s="8">
        <f t="shared" si="80"/>
        <v>4.3999999999999997E-2</v>
      </c>
      <c r="AN34" s="2">
        <f t="shared" si="91"/>
        <v>0</v>
      </c>
      <c r="AO34" s="2">
        <f t="shared" si="81"/>
        <v>0</v>
      </c>
      <c r="AP34" s="6"/>
      <c r="AQ34" s="6"/>
      <c r="AR34" s="6"/>
      <c r="AS34" s="6"/>
      <c r="AT34" s="2">
        <f t="shared" si="39"/>
        <v>0</v>
      </c>
      <c r="AU34" s="2">
        <f t="shared" si="92"/>
        <v>0</v>
      </c>
      <c r="AV34" s="2">
        <f t="shared" si="82"/>
        <v>0</v>
      </c>
      <c r="AW34" s="1">
        <f t="shared" si="77"/>
        <v>0</v>
      </c>
      <c r="AX34" s="2">
        <f t="shared" si="6"/>
        <v>0</v>
      </c>
      <c r="AY34" s="1">
        <f t="shared" si="83"/>
        <v>0</v>
      </c>
      <c r="AZ34" s="2">
        <f t="shared" si="40"/>
        <v>0</v>
      </c>
      <c r="BA34" s="2">
        <f t="shared" si="93"/>
        <v>105931.2</v>
      </c>
      <c r="BB34" s="2">
        <f t="shared" si="9"/>
        <v>0</v>
      </c>
      <c r="BC34" s="2">
        <f t="shared" si="41"/>
        <v>0</v>
      </c>
      <c r="BD34" s="2">
        <f t="shared" si="10"/>
        <v>105931.2</v>
      </c>
      <c r="BE34" s="2">
        <f t="shared" si="42"/>
        <v>1000</v>
      </c>
      <c r="BF34" s="2">
        <f t="shared" si="11"/>
        <v>936.92799999999943</v>
      </c>
      <c r="BG34" s="2">
        <f t="shared" si="12"/>
        <v>103994.272</v>
      </c>
      <c r="BI34" s="8">
        <f t="shared" si="84"/>
        <v>3.1E-2</v>
      </c>
      <c r="BJ34" s="5">
        <f t="shared" si="43"/>
        <v>1000</v>
      </c>
      <c r="BK34" s="2">
        <f t="shared" si="44"/>
        <v>100000</v>
      </c>
      <c r="BL34" s="2">
        <f t="shared" si="45"/>
        <v>100000</v>
      </c>
      <c r="BM34" s="2">
        <f t="shared" si="13"/>
        <v>100000</v>
      </c>
      <c r="BN34" s="8">
        <f t="shared" si="14"/>
        <v>4.5999999999999999E-2</v>
      </c>
      <c r="BO34" s="2">
        <f t="shared" si="15"/>
        <v>101533.33333333334</v>
      </c>
      <c r="BP34" s="2" t="str">
        <f t="shared" si="16"/>
        <v>nie</v>
      </c>
      <c r="BQ34" s="2">
        <f t="shared" si="17"/>
        <v>2000</v>
      </c>
      <c r="BR34" s="1">
        <f t="shared" si="85"/>
        <v>47</v>
      </c>
      <c r="BS34" s="6"/>
      <c r="BT34" s="6"/>
      <c r="BU34" s="6"/>
      <c r="BV34" s="2">
        <f t="shared" si="94"/>
        <v>4700</v>
      </c>
      <c r="BW34" s="8">
        <f t="shared" si="86"/>
        <v>4.7500000000000001E-2</v>
      </c>
      <c r="BX34" s="2">
        <f t="shared" si="95"/>
        <v>4774.416666666667</v>
      </c>
      <c r="BY34" s="2">
        <f t="shared" si="87"/>
        <v>74.41666666666697</v>
      </c>
      <c r="BZ34" s="6"/>
      <c r="CA34" s="6"/>
      <c r="CB34" s="6"/>
      <c r="CC34" s="6"/>
      <c r="CD34" s="2">
        <f t="shared" si="18"/>
        <v>0</v>
      </c>
      <c r="CE34" s="2">
        <f t="shared" si="96"/>
        <v>0</v>
      </c>
      <c r="CF34" s="2">
        <f t="shared" si="97"/>
        <v>50.000000000014552</v>
      </c>
      <c r="CG34" s="1">
        <f t="shared" si="78"/>
        <v>0</v>
      </c>
      <c r="CH34" s="2">
        <f t="shared" si="20"/>
        <v>50.000000000014552</v>
      </c>
      <c r="CI34" s="1">
        <f t="shared" si="89"/>
        <v>0</v>
      </c>
      <c r="CJ34" s="2">
        <f t="shared" si="98"/>
        <v>50.000000000014552</v>
      </c>
      <c r="CK34" s="2">
        <f t="shared" si="99"/>
        <v>106357.75000000003</v>
      </c>
      <c r="CL34" s="2">
        <f t="shared" si="23"/>
        <v>0</v>
      </c>
      <c r="CM34" s="2">
        <f t="shared" si="47"/>
        <v>0</v>
      </c>
      <c r="CN34" s="2">
        <f t="shared" si="24"/>
        <v>106357.75000000003</v>
      </c>
      <c r="CO34" s="2">
        <f t="shared" si="48"/>
        <v>2074.416666666667</v>
      </c>
      <c r="CP34" s="2">
        <f t="shared" si="25"/>
        <v>813.83333333333792</v>
      </c>
      <c r="CQ34" s="2">
        <f t="shared" si="26"/>
        <v>103469.50000000001</v>
      </c>
      <c r="CS34" s="5">
        <f t="shared" si="49"/>
        <v>1000</v>
      </c>
      <c r="CT34" s="2">
        <f t="shared" si="50"/>
        <v>100000</v>
      </c>
      <c r="CU34" s="2">
        <f t="shared" si="51"/>
        <v>100000</v>
      </c>
      <c r="CV34" s="2">
        <f t="shared" si="52"/>
        <v>105350.00000000001</v>
      </c>
      <c r="CW34" s="8">
        <f t="shared" si="27"/>
        <v>5.1000000000000004E-2</v>
      </c>
      <c r="CX34" s="2">
        <f t="shared" si="28"/>
        <v>107140.95000000001</v>
      </c>
      <c r="CY34" s="2" t="str">
        <f t="shared" si="29"/>
        <v>nie</v>
      </c>
      <c r="CZ34" s="2">
        <f t="shared" si="53"/>
        <v>0</v>
      </c>
      <c r="DA34" s="2">
        <f t="shared" si="54"/>
        <v>0</v>
      </c>
      <c r="DB34" s="2">
        <f t="shared" si="55"/>
        <v>107140.95000000001</v>
      </c>
      <c r="DC34" s="2">
        <f t="shared" si="30"/>
        <v>0</v>
      </c>
      <c r="DD34" s="2">
        <f t="shared" si="56"/>
        <v>0</v>
      </c>
      <c r="DE34" s="2">
        <f t="shared" si="57"/>
        <v>107140.95000000001</v>
      </c>
      <c r="DF34" s="2">
        <f t="shared" si="32"/>
        <v>3000</v>
      </c>
      <c r="DG34" s="2">
        <f t="shared" si="33"/>
        <v>786.78050000000223</v>
      </c>
      <c r="DH34" s="2">
        <f t="shared" si="58"/>
        <v>103354.1695</v>
      </c>
    </row>
    <row r="35" spans="2:112">
      <c r="W35" s="1">
        <f t="shared" si="34"/>
        <v>17</v>
      </c>
      <c r="X35" s="2">
        <f t="shared" si="0"/>
        <v>104431.70833333331</v>
      </c>
      <c r="Y35" s="8">
        <f t="shared" si="76"/>
        <v>3.9100000000000003E-2</v>
      </c>
      <c r="Z35" s="5">
        <f t="shared" si="35"/>
        <v>1000</v>
      </c>
      <c r="AA35" s="2">
        <f t="shared" si="36"/>
        <v>100000</v>
      </c>
      <c r="AB35" s="2">
        <f t="shared" si="37"/>
        <v>100000</v>
      </c>
      <c r="AC35" s="2">
        <f t="shared" si="38"/>
        <v>104400</v>
      </c>
      <c r="AD35" s="8">
        <f t="shared" si="1"/>
        <v>4.3999999999999997E-2</v>
      </c>
      <c r="AE35" s="2">
        <f t="shared" si="2"/>
        <v>106314</v>
      </c>
      <c r="AF35" s="2" t="str">
        <f t="shared" si="3"/>
        <v>nie</v>
      </c>
      <c r="AG35" s="2">
        <f t="shared" si="4"/>
        <v>1000</v>
      </c>
      <c r="AH35" s="1">
        <f t="shared" si="79"/>
        <v>0</v>
      </c>
      <c r="AI35" s="6"/>
      <c r="AJ35" s="6"/>
      <c r="AK35" s="6"/>
      <c r="AL35" s="2">
        <f t="shared" si="90"/>
        <v>0</v>
      </c>
      <c r="AM35" s="8">
        <f t="shared" si="80"/>
        <v>4.3999999999999997E-2</v>
      </c>
      <c r="AN35" s="2">
        <f t="shared" si="91"/>
        <v>0</v>
      </c>
      <c r="AO35" s="2">
        <f t="shared" si="81"/>
        <v>0</v>
      </c>
      <c r="AP35" s="6"/>
      <c r="AQ35" s="6"/>
      <c r="AR35" s="6"/>
      <c r="AS35" s="6"/>
      <c r="AT35" s="2">
        <f t="shared" si="39"/>
        <v>0</v>
      </c>
      <c r="AU35" s="2">
        <f t="shared" si="92"/>
        <v>0</v>
      </c>
      <c r="AV35" s="2">
        <f t="shared" si="82"/>
        <v>0</v>
      </c>
      <c r="AW35" s="1">
        <f t="shared" si="77"/>
        <v>0</v>
      </c>
      <c r="AX35" s="2">
        <f t="shared" si="6"/>
        <v>0</v>
      </c>
      <c r="AY35" s="1">
        <f t="shared" si="83"/>
        <v>0</v>
      </c>
      <c r="AZ35" s="2">
        <f t="shared" si="40"/>
        <v>0</v>
      </c>
      <c r="BA35" s="2">
        <f t="shared" si="93"/>
        <v>106314</v>
      </c>
      <c r="BB35" s="2">
        <f t="shared" si="9"/>
        <v>0</v>
      </c>
      <c r="BC35" s="2">
        <f t="shared" si="41"/>
        <v>0</v>
      </c>
      <c r="BD35" s="2">
        <f t="shared" si="10"/>
        <v>106314</v>
      </c>
      <c r="BE35" s="2">
        <f t="shared" si="42"/>
        <v>1000</v>
      </c>
      <c r="BF35" s="2">
        <f t="shared" si="11"/>
        <v>1009.66</v>
      </c>
      <c r="BG35" s="2">
        <f t="shared" si="12"/>
        <v>104304.34</v>
      </c>
      <c r="BI35" s="8">
        <f t="shared" si="84"/>
        <v>3.1E-2</v>
      </c>
      <c r="BJ35" s="5">
        <f t="shared" si="43"/>
        <v>1000</v>
      </c>
      <c r="BK35" s="2">
        <f t="shared" si="44"/>
        <v>100000</v>
      </c>
      <c r="BL35" s="2">
        <f t="shared" si="45"/>
        <v>100000</v>
      </c>
      <c r="BM35" s="2">
        <f t="shared" si="13"/>
        <v>100000</v>
      </c>
      <c r="BN35" s="8">
        <f t="shared" si="14"/>
        <v>4.5999999999999999E-2</v>
      </c>
      <c r="BO35" s="2">
        <f t="shared" si="15"/>
        <v>101916.66666666666</v>
      </c>
      <c r="BP35" s="2" t="str">
        <f t="shared" si="16"/>
        <v>nie</v>
      </c>
      <c r="BQ35" s="2">
        <f t="shared" si="17"/>
        <v>2000</v>
      </c>
      <c r="BR35" s="1">
        <f t="shared" si="85"/>
        <v>47</v>
      </c>
      <c r="BS35" s="6"/>
      <c r="BT35" s="6"/>
      <c r="BU35" s="6"/>
      <c r="BV35" s="2">
        <f t="shared" si="94"/>
        <v>4700</v>
      </c>
      <c r="BW35" s="8">
        <f t="shared" si="86"/>
        <v>4.7500000000000001E-2</v>
      </c>
      <c r="BX35" s="2">
        <f t="shared" si="95"/>
        <v>4793.020833333333</v>
      </c>
      <c r="BY35" s="2">
        <f t="shared" si="87"/>
        <v>93.02083333333303</v>
      </c>
      <c r="BZ35" s="6"/>
      <c r="CA35" s="6"/>
      <c r="CB35" s="6"/>
      <c r="CC35" s="6"/>
      <c r="CD35" s="2">
        <f t="shared" si="18"/>
        <v>0</v>
      </c>
      <c r="CE35" s="2">
        <f t="shared" si="96"/>
        <v>0</v>
      </c>
      <c r="CF35" s="2">
        <f t="shared" si="97"/>
        <v>50.000000000014552</v>
      </c>
      <c r="CG35" s="1">
        <f t="shared" si="78"/>
        <v>0</v>
      </c>
      <c r="CH35" s="2">
        <f t="shared" si="20"/>
        <v>50.000000000014552</v>
      </c>
      <c r="CI35" s="1">
        <f t="shared" si="89"/>
        <v>0</v>
      </c>
      <c r="CJ35" s="2">
        <f t="shared" si="98"/>
        <v>50.000000000014552</v>
      </c>
      <c r="CK35" s="2">
        <f t="shared" si="99"/>
        <v>106759.6875</v>
      </c>
      <c r="CL35" s="2">
        <f t="shared" si="23"/>
        <v>0</v>
      </c>
      <c r="CM35" s="2">
        <f t="shared" si="47"/>
        <v>0</v>
      </c>
      <c r="CN35" s="2">
        <f t="shared" si="24"/>
        <v>106759.6875</v>
      </c>
      <c r="CO35" s="2">
        <f t="shared" si="48"/>
        <v>2093.020833333333</v>
      </c>
      <c r="CP35" s="2">
        <f t="shared" si="25"/>
        <v>886.66666666666765</v>
      </c>
      <c r="CQ35" s="2">
        <f t="shared" si="26"/>
        <v>103780</v>
      </c>
      <c r="CS35" s="5">
        <f t="shared" si="49"/>
        <v>1000</v>
      </c>
      <c r="CT35" s="2">
        <f t="shared" si="50"/>
        <v>100000</v>
      </c>
      <c r="CU35" s="2">
        <f t="shared" si="51"/>
        <v>100000</v>
      </c>
      <c r="CV35" s="2">
        <f t="shared" si="52"/>
        <v>105350.00000000001</v>
      </c>
      <c r="CW35" s="8">
        <f t="shared" si="27"/>
        <v>5.1000000000000004E-2</v>
      </c>
      <c r="CX35" s="2">
        <f t="shared" si="28"/>
        <v>107588.68750000001</v>
      </c>
      <c r="CY35" s="2" t="str">
        <f t="shared" si="29"/>
        <v>nie</v>
      </c>
      <c r="CZ35" s="2">
        <f t="shared" si="53"/>
        <v>0</v>
      </c>
      <c r="DA35" s="2">
        <f t="shared" si="54"/>
        <v>0</v>
      </c>
      <c r="DB35" s="2">
        <f t="shared" si="55"/>
        <v>107588.68750000001</v>
      </c>
      <c r="DC35" s="2">
        <f t="shared" si="30"/>
        <v>0</v>
      </c>
      <c r="DD35" s="2">
        <f t="shared" si="56"/>
        <v>0</v>
      </c>
      <c r="DE35" s="2">
        <f t="shared" si="57"/>
        <v>107588.68750000001</v>
      </c>
      <c r="DF35" s="2">
        <f t="shared" si="32"/>
        <v>3000</v>
      </c>
      <c r="DG35" s="2">
        <f t="shared" si="33"/>
        <v>871.85062500000276</v>
      </c>
      <c r="DH35" s="2">
        <f t="shared" si="58"/>
        <v>103716.83687500001</v>
      </c>
    </row>
    <row r="36" spans="2:112" ht="32">
      <c r="C36" s="9" t="s">
        <v>13</v>
      </c>
      <c r="D36" s="63" t="s">
        <v>106</v>
      </c>
      <c r="E36" s="64" t="s">
        <v>107</v>
      </c>
      <c r="F36" s="12" t="s">
        <v>50</v>
      </c>
      <c r="G36" s="11" t="s">
        <v>0</v>
      </c>
      <c r="H36" s="12" t="s">
        <v>51</v>
      </c>
      <c r="I36" s="11" t="s">
        <v>1</v>
      </c>
      <c r="J36" s="11" t="s">
        <v>65</v>
      </c>
      <c r="K36" s="12" t="s">
        <v>52</v>
      </c>
      <c r="W36" s="1">
        <f t="shared" si="34"/>
        <v>18</v>
      </c>
      <c r="X36" s="2">
        <f t="shared" si="0"/>
        <v>104698.04999999999</v>
      </c>
      <c r="Y36" s="8">
        <f t="shared" si="76"/>
        <v>3.9100000000000003E-2</v>
      </c>
      <c r="Z36" s="5">
        <f t="shared" si="35"/>
        <v>1000</v>
      </c>
      <c r="AA36" s="2">
        <f t="shared" si="36"/>
        <v>100000</v>
      </c>
      <c r="AB36" s="2">
        <f t="shared" si="37"/>
        <v>100000</v>
      </c>
      <c r="AC36" s="2">
        <f t="shared" si="38"/>
        <v>104400</v>
      </c>
      <c r="AD36" s="8">
        <f t="shared" si="1"/>
        <v>4.3999999999999997E-2</v>
      </c>
      <c r="AE36" s="2">
        <f t="shared" si="2"/>
        <v>106696.8</v>
      </c>
      <c r="AF36" s="2" t="str">
        <f t="shared" si="3"/>
        <v>nie</v>
      </c>
      <c r="AG36" s="2">
        <f t="shared" si="4"/>
        <v>1000</v>
      </c>
      <c r="AH36" s="1">
        <f t="shared" si="79"/>
        <v>0</v>
      </c>
      <c r="AI36" s="6"/>
      <c r="AJ36" s="6"/>
      <c r="AK36" s="6"/>
      <c r="AL36" s="2">
        <f t="shared" si="90"/>
        <v>0</v>
      </c>
      <c r="AM36" s="8">
        <f t="shared" si="80"/>
        <v>4.3999999999999997E-2</v>
      </c>
      <c r="AN36" s="2">
        <f t="shared" si="91"/>
        <v>0</v>
      </c>
      <c r="AO36" s="2">
        <f t="shared" si="81"/>
        <v>0</v>
      </c>
      <c r="AP36" s="6"/>
      <c r="AQ36" s="6"/>
      <c r="AR36" s="6"/>
      <c r="AS36" s="6"/>
      <c r="AT36" s="2">
        <f t="shared" si="39"/>
        <v>0</v>
      </c>
      <c r="AU36" s="2">
        <f t="shared" si="92"/>
        <v>0</v>
      </c>
      <c r="AV36" s="2">
        <f t="shared" si="82"/>
        <v>0</v>
      </c>
      <c r="AW36" s="1">
        <f t="shared" si="77"/>
        <v>0</v>
      </c>
      <c r="AX36" s="2">
        <f t="shared" si="6"/>
        <v>0</v>
      </c>
      <c r="AY36" s="1">
        <f t="shared" si="83"/>
        <v>0</v>
      </c>
      <c r="AZ36" s="2">
        <f t="shared" si="40"/>
        <v>0</v>
      </c>
      <c r="BA36" s="2">
        <f t="shared" si="93"/>
        <v>106696.8</v>
      </c>
      <c r="BB36" s="2">
        <f t="shared" si="9"/>
        <v>0</v>
      </c>
      <c r="BC36" s="2">
        <f t="shared" si="41"/>
        <v>0</v>
      </c>
      <c r="BD36" s="2">
        <f t="shared" si="10"/>
        <v>106696.8</v>
      </c>
      <c r="BE36" s="2">
        <f t="shared" si="42"/>
        <v>1000</v>
      </c>
      <c r="BF36" s="2">
        <f t="shared" si="11"/>
        <v>1082.3920000000005</v>
      </c>
      <c r="BG36" s="2">
        <f t="shared" si="12"/>
        <v>104614.408</v>
      </c>
      <c r="BI36" s="8">
        <f t="shared" si="84"/>
        <v>3.1E-2</v>
      </c>
      <c r="BJ36" s="5">
        <f t="shared" si="43"/>
        <v>1000</v>
      </c>
      <c r="BK36" s="2">
        <f t="shared" si="44"/>
        <v>100000</v>
      </c>
      <c r="BL36" s="2">
        <f t="shared" si="45"/>
        <v>100000</v>
      </c>
      <c r="BM36" s="2">
        <f t="shared" si="13"/>
        <v>100000</v>
      </c>
      <c r="BN36" s="8">
        <f t="shared" si="14"/>
        <v>4.5999999999999999E-2</v>
      </c>
      <c r="BO36" s="2">
        <f t="shared" si="15"/>
        <v>102299.99999999999</v>
      </c>
      <c r="BP36" s="2" t="str">
        <f t="shared" si="16"/>
        <v>nie</v>
      </c>
      <c r="BQ36" s="2">
        <f t="shared" si="17"/>
        <v>2000</v>
      </c>
      <c r="BR36" s="1">
        <f t="shared" si="85"/>
        <v>47</v>
      </c>
      <c r="BS36" s="6"/>
      <c r="BT36" s="6"/>
      <c r="BU36" s="6"/>
      <c r="BV36" s="2">
        <f t="shared" si="94"/>
        <v>4700</v>
      </c>
      <c r="BW36" s="8">
        <f t="shared" si="86"/>
        <v>4.7500000000000001E-2</v>
      </c>
      <c r="BX36" s="2">
        <f t="shared" si="95"/>
        <v>4811.625</v>
      </c>
      <c r="BY36" s="2">
        <f t="shared" si="87"/>
        <v>94</v>
      </c>
      <c r="BZ36" s="6"/>
      <c r="CA36" s="6"/>
      <c r="CB36" s="6"/>
      <c r="CC36" s="6"/>
      <c r="CD36" s="2">
        <f t="shared" si="18"/>
        <v>0</v>
      </c>
      <c r="CE36" s="2">
        <f t="shared" si="96"/>
        <v>0</v>
      </c>
      <c r="CF36" s="2">
        <f t="shared" si="97"/>
        <v>50.000000000014552</v>
      </c>
      <c r="CG36" s="1">
        <f t="shared" si="78"/>
        <v>0</v>
      </c>
      <c r="CH36" s="2">
        <f t="shared" si="20"/>
        <v>50.000000000014552</v>
      </c>
      <c r="CI36" s="1">
        <f t="shared" si="89"/>
        <v>0</v>
      </c>
      <c r="CJ36" s="2">
        <f t="shared" si="98"/>
        <v>50.000000000014552</v>
      </c>
      <c r="CK36" s="2">
        <f t="shared" si="99"/>
        <v>107161.625</v>
      </c>
      <c r="CL36" s="2">
        <f t="shared" si="23"/>
        <v>0</v>
      </c>
      <c r="CM36" s="2">
        <f t="shared" si="47"/>
        <v>0</v>
      </c>
      <c r="CN36" s="2">
        <f t="shared" si="24"/>
        <v>107161.625</v>
      </c>
      <c r="CO36" s="2">
        <f t="shared" si="48"/>
        <v>2094</v>
      </c>
      <c r="CP36" s="2">
        <f t="shared" si="25"/>
        <v>962.84875</v>
      </c>
      <c r="CQ36" s="2">
        <f t="shared" si="26"/>
        <v>104104.77625</v>
      </c>
      <c r="CS36" s="5">
        <f t="shared" si="49"/>
        <v>1000</v>
      </c>
      <c r="CT36" s="2">
        <f t="shared" si="50"/>
        <v>100000</v>
      </c>
      <c r="CU36" s="2">
        <f t="shared" si="51"/>
        <v>100000</v>
      </c>
      <c r="CV36" s="2">
        <f t="shared" si="52"/>
        <v>105350.00000000001</v>
      </c>
      <c r="CW36" s="8">
        <f t="shared" si="27"/>
        <v>5.1000000000000004E-2</v>
      </c>
      <c r="CX36" s="2">
        <f t="shared" si="28"/>
        <v>108036.42500000002</v>
      </c>
      <c r="CY36" s="2" t="str">
        <f t="shared" si="29"/>
        <v>nie</v>
      </c>
      <c r="CZ36" s="2">
        <f t="shared" si="53"/>
        <v>0</v>
      </c>
      <c r="DA36" s="2">
        <f t="shared" si="54"/>
        <v>0</v>
      </c>
      <c r="DB36" s="2">
        <f t="shared" si="55"/>
        <v>108036.42500000002</v>
      </c>
      <c r="DC36" s="2">
        <f t="shared" si="30"/>
        <v>0</v>
      </c>
      <c r="DD36" s="2">
        <f t="shared" si="56"/>
        <v>0</v>
      </c>
      <c r="DE36" s="2">
        <f t="shared" si="57"/>
        <v>108036.42500000002</v>
      </c>
      <c r="DF36" s="2">
        <f t="shared" si="32"/>
        <v>3000</v>
      </c>
      <c r="DG36" s="2">
        <f t="shared" si="33"/>
        <v>956.9207500000033</v>
      </c>
      <c r="DH36" s="2">
        <f t="shared" si="58"/>
        <v>104079.50425000001</v>
      </c>
    </row>
    <row r="37" spans="2:112">
      <c r="B37" s="231">
        <f>ROUNDUP(C38/12,0)</f>
        <v>1</v>
      </c>
      <c r="C37" s="1">
        <v>0</v>
      </c>
      <c r="D37" s="2">
        <f t="shared" ref="D37:K37" si="101">zakup_domyslny_wartosc</f>
        <v>100000</v>
      </c>
      <c r="E37" s="2">
        <f t="shared" si="101"/>
        <v>100000</v>
      </c>
      <c r="F37" s="2">
        <f t="shared" si="101"/>
        <v>100000</v>
      </c>
      <c r="G37" s="2">
        <f t="shared" si="101"/>
        <v>100000</v>
      </c>
      <c r="H37" s="2">
        <f t="shared" si="101"/>
        <v>100000</v>
      </c>
      <c r="I37" s="2">
        <f t="shared" si="101"/>
        <v>100000</v>
      </c>
      <c r="J37" s="24">
        <f t="shared" si="101"/>
        <v>100000</v>
      </c>
      <c r="K37" s="2">
        <f t="shared" si="101"/>
        <v>100000</v>
      </c>
      <c r="W37" s="1">
        <f t="shared" si="34"/>
        <v>19</v>
      </c>
      <c r="X37" s="2">
        <f t="shared" si="0"/>
        <v>104964.39166666665</v>
      </c>
      <c r="Y37" s="8">
        <f t="shared" si="76"/>
        <v>3.9100000000000003E-2</v>
      </c>
      <c r="Z37" s="5">
        <f t="shared" si="35"/>
        <v>1000</v>
      </c>
      <c r="AA37" s="2">
        <f t="shared" si="36"/>
        <v>100000</v>
      </c>
      <c r="AB37" s="2">
        <f t="shared" si="37"/>
        <v>100000</v>
      </c>
      <c r="AC37" s="2">
        <f t="shared" si="38"/>
        <v>104400</v>
      </c>
      <c r="AD37" s="8">
        <f t="shared" si="1"/>
        <v>4.3999999999999997E-2</v>
      </c>
      <c r="AE37" s="2">
        <f t="shared" si="2"/>
        <v>107079.6</v>
      </c>
      <c r="AF37" s="2" t="str">
        <f t="shared" si="3"/>
        <v>nie</v>
      </c>
      <c r="AG37" s="2">
        <f t="shared" si="4"/>
        <v>1000</v>
      </c>
      <c r="AH37" s="1">
        <f t="shared" si="79"/>
        <v>0</v>
      </c>
      <c r="AI37" s="6"/>
      <c r="AJ37" s="6"/>
      <c r="AK37" s="6"/>
      <c r="AL37" s="2">
        <f t="shared" si="90"/>
        <v>0</v>
      </c>
      <c r="AM37" s="8">
        <f t="shared" si="80"/>
        <v>4.3999999999999997E-2</v>
      </c>
      <c r="AN37" s="2">
        <f t="shared" si="91"/>
        <v>0</v>
      </c>
      <c r="AO37" s="2">
        <f t="shared" si="81"/>
        <v>0</v>
      </c>
      <c r="AP37" s="6"/>
      <c r="AQ37" s="6"/>
      <c r="AR37" s="6"/>
      <c r="AS37" s="6"/>
      <c r="AT37" s="2">
        <f t="shared" si="39"/>
        <v>0</v>
      </c>
      <c r="AU37" s="2">
        <f t="shared" si="92"/>
        <v>0</v>
      </c>
      <c r="AV37" s="2">
        <f t="shared" si="82"/>
        <v>0</v>
      </c>
      <c r="AW37" s="1">
        <f t="shared" si="77"/>
        <v>0</v>
      </c>
      <c r="AX37" s="2">
        <f t="shared" si="6"/>
        <v>0</v>
      </c>
      <c r="AY37" s="1">
        <f t="shared" si="83"/>
        <v>0</v>
      </c>
      <c r="AZ37" s="2">
        <f t="shared" si="40"/>
        <v>0</v>
      </c>
      <c r="BA37" s="2">
        <f t="shared" si="93"/>
        <v>107079.6</v>
      </c>
      <c r="BB37" s="2">
        <f t="shared" si="9"/>
        <v>0</v>
      </c>
      <c r="BC37" s="2">
        <f t="shared" si="41"/>
        <v>0</v>
      </c>
      <c r="BD37" s="2">
        <f t="shared" si="10"/>
        <v>107079.6</v>
      </c>
      <c r="BE37" s="2">
        <f t="shared" si="42"/>
        <v>1000</v>
      </c>
      <c r="BF37" s="2">
        <f t="shared" si="11"/>
        <v>1155.1240000000012</v>
      </c>
      <c r="BG37" s="2">
        <f t="shared" si="12"/>
        <v>104924.47600000001</v>
      </c>
      <c r="BI37" s="8">
        <f t="shared" si="84"/>
        <v>3.1E-2</v>
      </c>
      <c r="BJ37" s="5">
        <f t="shared" si="43"/>
        <v>1000</v>
      </c>
      <c r="BK37" s="2">
        <f t="shared" si="44"/>
        <v>100000</v>
      </c>
      <c r="BL37" s="2">
        <f t="shared" si="45"/>
        <v>100000</v>
      </c>
      <c r="BM37" s="2">
        <f t="shared" si="13"/>
        <v>100000</v>
      </c>
      <c r="BN37" s="8">
        <f t="shared" si="14"/>
        <v>4.5999999999999999E-2</v>
      </c>
      <c r="BO37" s="2">
        <f t="shared" si="15"/>
        <v>102683.33333333333</v>
      </c>
      <c r="BP37" s="2" t="str">
        <f t="shared" si="16"/>
        <v>nie</v>
      </c>
      <c r="BQ37" s="2">
        <f t="shared" si="17"/>
        <v>2000</v>
      </c>
      <c r="BR37" s="1">
        <f t="shared" si="85"/>
        <v>47</v>
      </c>
      <c r="BS37" s="6"/>
      <c r="BT37" s="6"/>
      <c r="BU37" s="6"/>
      <c r="BV37" s="2">
        <f t="shared" si="94"/>
        <v>4700</v>
      </c>
      <c r="BW37" s="8">
        <f t="shared" si="86"/>
        <v>4.7500000000000001E-2</v>
      </c>
      <c r="BX37" s="2">
        <f t="shared" si="95"/>
        <v>4830.229166666667</v>
      </c>
      <c r="BY37" s="2">
        <f t="shared" si="87"/>
        <v>94</v>
      </c>
      <c r="BZ37" s="6"/>
      <c r="CA37" s="6"/>
      <c r="CB37" s="6"/>
      <c r="CC37" s="6"/>
      <c r="CD37" s="2">
        <f t="shared" si="18"/>
        <v>0</v>
      </c>
      <c r="CE37" s="2">
        <f t="shared" si="96"/>
        <v>0</v>
      </c>
      <c r="CF37" s="2">
        <f t="shared" si="97"/>
        <v>50.000000000014552</v>
      </c>
      <c r="CG37" s="1">
        <f t="shared" si="78"/>
        <v>0</v>
      </c>
      <c r="CH37" s="2">
        <f t="shared" si="20"/>
        <v>50.000000000014552</v>
      </c>
      <c r="CI37" s="1">
        <f t="shared" si="89"/>
        <v>0</v>
      </c>
      <c r="CJ37" s="2">
        <f t="shared" si="98"/>
        <v>50.000000000014552</v>
      </c>
      <c r="CK37" s="2">
        <f t="shared" si="99"/>
        <v>107563.56250000001</v>
      </c>
      <c r="CL37" s="2">
        <f t="shared" si="23"/>
        <v>0</v>
      </c>
      <c r="CM37" s="2">
        <f t="shared" si="47"/>
        <v>0</v>
      </c>
      <c r="CN37" s="2">
        <f t="shared" si="24"/>
        <v>107563.56250000001</v>
      </c>
      <c r="CO37" s="2">
        <f t="shared" si="48"/>
        <v>2094</v>
      </c>
      <c r="CP37" s="2">
        <f t="shared" si="25"/>
        <v>1039.2168750000028</v>
      </c>
      <c r="CQ37" s="2">
        <f t="shared" si="26"/>
        <v>104430.34562500002</v>
      </c>
      <c r="CS37" s="5">
        <f t="shared" si="49"/>
        <v>1000</v>
      </c>
      <c r="CT37" s="2">
        <f t="shared" si="50"/>
        <v>100000</v>
      </c>
      <c r="CU37" s="2">
        <f t="shared" si="51"/>
        <v>100000</v>
      </c>
      <c r="CV37" s="2">
        <f t="shared" si="52"/>
        <v>105350.00000000001</v>
      </c>
      <c r="CW37" s="8">
        <f t="shared" si="27"/>
        <v>5.1000000000000004E-2</v>
      </c>
      <c r="CX37" s="2">
        <f t="shared" si="28"/>
        <v>108484.16250000001</v>
      </c>
      <c r="CY37" s="2" t="str">
        <f t="shared" si="29"/>
        <v>nie</v>
      </c>
      <c r="CZ37" s="2">
        <f t="shared" si="53"/>
        <v>0</v>
      </c>
      <c r="DA37" s="2">
        <f t="shared" si="54"/>
        <v>0</v>
      </c>
      <c r="DB37" s="2">
        <f t="shared" si="55"/>
        <v>108484.16250000001</v>
      </c>
      <c r="DC37" s="2">
        <f t="shared" si="30"/>
        <v>0</v>
      </c>
      <c r="DD37" s="2">
        <f t="shared" si="56"/>
        <v>0</v>
      </c>
      <c r="DE37" s="2">
        <f t="shared" si="57"/>
        <v>108484.16250000001</v>
      </c>
      <c r="DF37" s="2">
        <f t="shared" si="32"/>
        <v>3000</v>
      </c>
      <c r="DG37" s="2">
        <f t="shared" si="33"/>
        <v>1041.9908750000011</v>
      </c>
      <c r="DH37" s="2">
        <f t="shared" si="58"/>
        <v>104442.171625</v>
      </c>
    </row>
    <row r="38" spans="2:112">
      <c r="B38" s="232"/>
      <c r="C38" s="1">
        <f t="shared" ref="C38:C69" si="102">W19</f>
        <v>1</v>
      </c>
      <c r="D38" s="2">
        <f>BD19</f>
        <v>100366.66666666667</v>
      </c>
      <c r="E38" s="2">
        <f>BG19</f>
        <v>100000</v>
      </c>
      <c r="F38" s="2">
        <f>CN19</f>
        <v>100395.83333333333</v>
      </c>
      <c r="G38" s="2">
        <f>CQ19</f>
        <v>100000</v>
      </c>
      <c r="H38" s="2">
        <f>DE19</f>
        <v>100445.83333333333</v>
      </c>
      <c r="I38" s="2">
        <f>DH19</f>
        <v>100000</v>
      </c>
      <c r="J38" s="24">
        <f t="shared" ref="J38:J69" si="103">FV(INDEX(scenariusz_I_konto,MATCH(ROUNDUP(C38/12,0),scenariusz_I_rok,0))/12*(1-podatek_Belki),1,0,-J37,1)</f>
        <v>100243</v>
      </c>
      <c r="K38" s="2">
        <f t="shared" ref="K38:K69" si="104">X19</f>
        <v>100258.33333333334</v>
      </c>
      <c r="W38" s="1">
        <f t="shared" si="34"/>
        <v>20</v>
      </c>
      <c r="X38" s="2">
        <f t="shared" si="0"/>
        <v>105230.73333333331</v>
      </c>
      <c r="Y38" s="8">
        <f t="shared" si="76"/>
        <v>3.9100000000000003E-2</v>
      </c>
      <c r="Z38" s="5">
        <f t="shared" si="35"/>
        <v>1000</v>
      </c>
      <c r="AA38" s="2">
        <f t="shared" si="36"/>
        <v>100000</v>
      </c>
      <c r="AB38" s="2">
        <f t="shared" si="37"/>
        <v>100000</v>
      </c>
      <c r="AC38" s="2">
        <f t="shared" si="38"/>
        <v>104400</v>
      </c>
      <c r="AD38" s="8">
        <f t="shared" si="1"/>
        <v>4.3999999999999997E-2</v>
      </c>
      <c r="AE38" s="2">
        <f t="shared" si="2"/>
        <v>107462.40000000001</v>
      </c>
      <c r="AF38" s="2" t="str">
        <f t="shared" si="3"/>
        <v>nie</v>
      </c>
      <c r="AG38" s="2">
        <f t="shared" si="4"/>
        <v>1000</v>
      </c>
      <c r="AH38" s="1">
        <f t="shared" si="79"/>
        <v>0</v>
      </c>
      <c r="AI38" s="6"/>
      <c r="AJ38" s="6"/>
      <c r="AK38" s="6"/>
      <c r="AL38" s="2">
        <f t="shared" si="90"/>
        <v>0</v>
      </c>
      <c r="AM38" s="8">
        <f t="shared" si="80"/>
        <v>4.3999999999999997E-2</v>
      </c>
      <c r="AN38" s="2">
        <f t="shared" si="91"/>
        <v>0</v>
      </c>
      <c r="AO38" s="2">
        <f t="shared" si="81"/>
        <v>0</v>
      </c>
      <c r="AP38" s="6"/>
      <c r="AQ38" s="6"/>
      <c r="AR38" s="6"/>
      <c r="AS38" s="6"/>
      <c r="AT38" s="2">
        <f t="shared" si="39"/>
        <v>0</v>
      </c>
      <c r="AU38" s="2">
        <f t="shared" si="92"/>
        <v>0</v>
      </c>
      <c r="AV38" s="2">
        <f t="shared" si="82"/>
        <v>0</v>
      </c>
      <c r="AW38" s="1">
        <f t="shared" si="77"/>
        <v>0</v>
      </c>
      <c r="AX38" s="2">
        <f t="shared" si="6"/>
        <v>0</v>
      </c>
      <c r="AY38" s="1">
        <f t="shared" si="83"/>
        <v>0</v>
      </c>
      <c r="AZ38" s="2">
        <f t="shared" si="40"/>
        <v>0</v>
      </c>
      <c r="BA38" s="2">
        <f t="shared" si="93"/>
        <v>107462.40000000001</v>
      </c>
      <c r="BB38" s="2">
        <f t="shared" si="9"/>
        <v>0</v>
      </c>
      <c r="BC38" s="2">
        <f t="shared" si="41"/>
        <v>0</v>
      </c>
      <c r="BD38" s="2">
        <f t="shared" si="10"/>
        <v>107462.40000000001</v>
      </c>
      <c r="BE38" s="2">
        <f t="shared" si="42"/>
        <v>1000</v>
      </c>
      <c r="BF38" s="2">
        <f t="shared" si="11"/>
        <v>1227.8560000000016</v>
      </c>
      <c r="BG38" s="2">
        <f t="shared" si="12"/>
        <v>105234.54400000001</v>
      </c>
      <c r="BI38" s="8">
        <f t="shared" si="84"/>
        <v>3.1E-2</v>
      </c>
      <c r="BJ38" s="5">
        <f t="shared" si="43"/>
        <v>1000</v>
      </c>
      <c r="BK38" s="2">
        <f t="shared" si="44"/>
        <v>100000</v>
      </c>
      <c r="BL38" s="2">
        <f t="shared" si="45"/>
        <v>100000</v>
      </c>
      <c r="BM38" s="2">
        <f t="shared" si="13"/>
        <v>100000</v>
      </c>
      <c r="BN38" s="8">
        <f t="shared" si="14"/>
        <v>4.5999999999999999E-2</v>
      </c>
      <c r="BO38" s="2">
        <f t="shared" si="15"/>
        <v>103066.66666666666</v>
      </c>
      <c r="BP38" s="2" t="str">
        <f t="shared" si="16"/>
        <v>nie</v>
      </c>
      <c r="BQ38" s="2">
        <f t="shared" si="17"/>
        <v>2000</v>
      </c>
      <c r="BR38" s="1">
        <f t="shared" si="85"/>
        <v>47</v>
      </c>
      <c r="BS38" s="6"/>
      <c r="BT38" s="6"/>
      <c r="BU38" s="6"/>
      <c r="BV38" s="2">
        <f t="shared" si="94"/>
        <v>4700</v>
      </c>
      <c r="BW38" s="8">
        <f t="shared" si="86"/>
        <v>4.7500000000000001E-2</v>
      </c>
      <c r="BX38" s="2">
        <f t="shared" si="95"/>
        <v>4848.8333333333339</v>
      </c>
      <c r="BY38" s="2">
        <f t="shared" si="87"/>
        <v>94</v>
      </c>
      <c r="BZ38" s="6"/>
      <c r="CA38" s="6"/>
      <c r="CB38" s="6"/>
      <c r="CC38" s="6"/>
      <c r="CD38" s="2">
        <f t="shared" si="18"/>
        <v>0</v>
      </c>
      <c r="CE38" s="2">
        <f t="shared" si="96"/>
        <v>0</v>
      </c>
      <c r="CF38" s="2">
        <f t="shared" si="97"/>
        <v>50.000000000014552</v>
      </c>
      <c r="CG38" s="1">
        <f t="shared" si="78"/>
        <v>0</v>
      </c>
      <c r="CH38" s="2">
        <f t="shared" si="20"/>
        <v>50.000000000014552</v>
      </c>
      <c r="CI38" s="1">
        <f t="shared" si="89"/>
        <v>0</v>
      </c>
      <c r="CJ38" s="2">
        <f t="shared" si="98"/>
        <v>50.000000000014552</v>
      </c>
      <c r="CK38" s="2">
        <f t="shared" si="99"/>
        <v>107965.5</v>
      </c>
      <c r="CL38" s="2">
        <f t="shared" si="23"/>
        <v>0</v>
      </c>
      <c r="CM38" s="2">
        <f t="shared" si="47"/>
        <v>0</v>
      </c>
      <c r="CN38" s="2">
        <f t="shared" si="24"/>
        <v>107965.5</v>
      </c>
      <c r="CO38" s="2">
        <f t="shared" si="48"/>
        <v>2094</v>
      </c>
      <c r="CP38" s="2">
        <f t="shared" si="25"/>
        <v>1115.585</v>
      </c>
      <c r="CQ38" s="2">
        <f t="shared" si="26"/>
        <v>104755.91499999999</v>
      </c>
      <c r="CS38" s="5">
        <f t="shared" si="49"/>
        <v>1000</v>
      </c>
      <c r="CT38" s="2">
        <f t="shared" si="50"/>
        <v>100000</v>
      </c>
      <c r="CU38" s="2">
        <f t="shared" si="51"/>
        <v>100000</v>
      </c>
      <c r="CV38" s="2">
        <f t="shared" si="52"/>
        <v>105350.00000000001</v>
      </c>
      <c r="CW38" s="8">
        <f t="shared" si="27"/>
        <v>5.1000000000000004E-2</v>
      </c>
      <c r="CX38" s="2">
        <f t="shared" si="28"/>
        <v>108931.90000000002</v>
      </c>
      <c r="CY38" s="2" t="str">
        <f t="shared" si="29"/>
        <v>nie</v>
      </c>
      <c r="CZ38" s="2">
        <f t="shared" si="53"/>
        <v>0</v>
      </c>
      <c r="DA38" s="2">
        <f t="shared" si="54"/>
        <v>0</v>
      </c>
      <c r="DB38" s="2">
        <f t="shared" si="55"/>
        <v>108931.90000000002</v>
      </c>
      <c r="DC38" s="2">
        <f t="shared" si="30"/>
        <v>0</v>
      </c>
      <c r="DD38" s="2">
        <f t="shared" si="56"/>
        <v>0</v>
      </c>
      <c r="DE38" s="2">
        <f t="shared" si="57"/>
        <v>108931.90000000002</v>
      </c>
      <c r="DF38" s="2">
        <f t="shared" si="32"/>
        <v>3000</v>
      </c>
      <c r="DG38" s="2">
        <f t="shared" si="33"/>
        <v>1127.0610000000045</v>
      </c>
      <c r="DH38" s="2">
        <f t="shared" si="58"/>
        <v>104804.83900000002</v>
      </c>
    </row>
    <row r="39" spans="2:112">
      <c r="B39" s="232"/>
      <c r="C39" s="1">
        <f t="shared" si="102"/>
        <v>2</v>
      </c>
      <c r="D39" s="2">
        <f t="shared" ref="D39:D102" si="105">BD20</f>
        <v>100733.33333333334</v>
      </c>
      <c r="E39" s="2">
        <f t="shared" ref="E39:E102" si="106">BG20</f>
        <v>100000</v>
      </c>
      <c r="F39" s="2">
        <f t="shared" ref="F39:F102" si="107">CN20</f>
        <v>100791.66666666666</v>
      </c>
      <c r="G39" s="2">
        <f t="shared" ref="G39:G102" si="108">CQ20</f>
        <v>100000</v>
      </c>
      <c r="H39" s="2">
        <f t="shared" ref="H39:H102" si="109">DE20</f>
        <v>100891.66666666667</v>
      </c>
      <c r="I39" s="2">
        <f t="shared" ref="I39:I102" si="110">DH20</f>
        <v>100000</v>
      </c>
      <c r="J39" s="24">
        <f t="shared" si="103"/>
        <v>100486.59048999999</v>
      </c>
      <c r="K39" s="2">
        <f t="shared" si="104"/>
        <v>100516.66666666667</v>
      </c>
      <c r="W39" s="1">
        <f t="shared" si="34"/>
        <v>21</v>
      </c>
      <c r="X39" s="2">
        <f t="shared" si="0"/>
        <v>105497.07499999998</v>
      </c>
      <c r="Y39" s="8">
        <f t="shared" si="76"/>
        <v>3.9100000000000003E-2</v>
      </c>
      <c r="Z39" s="5">
        <f t="shared" si="35"/>
        <v>1000</v>
      </c>
      <c r="AA39" s="2">
        <f t="shared" si="36"/>
        <v>100000</v>
      </c>
      <c r="AB39" s="2">
        <f t="shared" si="37"/>
        <v>100000</v>
      </c>
      <c r="AC39" s="2">
        <f t="shared" si="38"/>
        <v>104400</v>
      </c>
      <c r="AD39" s="8">
        <f t="shared" si="1"/>
        <v>4.3999999999999997E-2</v>
      </c>
      <c r="AE39" s="2">
        <f t="shared" si="2"/>
        <v>107845.2</v>
      </c>
      <c r="AF39" s="2" t="str">
        <f t="shared" si="3"/>
        <v>nie</v>
      </c>
      <c r="AG39" s="2">
        <f t="shared" si="4"/>
        <v>1000</v>
      </c>
      <c r="AH39" s="1">
        <f t="shared" si="79"/>
        <v>0</v>
      </c>
      <c r="AI39" s="6"/>
      <c r="AJ39" s="6"/>
      <c r="AK39" s="6"/>
      <c r="AL39" s="2">
        <f t="shared" si="90"/>
        <v>0</v>
      </c>
      <c r="AM39" s="8">
        <f t="shared" si="80"/>
        <v>4.3999999999999997E-2</v>
      </c>
      <c r="AN39" s="2">
        <f t="shared" si="91"/>
        <v>0</v>
      </c>
      <c r="AO39" s="2">
        <f t="shared" si="81"/>
        <v>0</v>
      </c>
      <c r="AP39" s="6"/>
      <c r="AQ39" s="6"/>
      <c r="AR39" s="6"/>
      <c r="AS39" s="6"/>
      <c r="AT39" s="2">
        <f t="shared" si="39"/>
        <v>0</v>
      </c>
      <c r="AU39" s="2">
        <f t="shared" si="92"/>
        <v>0</v>
      </c>
      <c r="AV39" s="2">
        <f t="shared" si="82"/>
        <v>0</v>
      </c>
      <c r="AW39" s="1">
        <f t="shared" si="77"/>
        <v>0</v>
      </c>
      <c r="AX39" s="2">
        <f t="shared" si="6"/>
        <v>0</v>
      </c>
      <c r="AY39" s="1">
        <f t="shared" si="83"/>
        <v>0</v>
      </c>
      <c r="AZ39" s="2">
        <f t="shared" si="40"/>
        <v>0</v>
      </c>
      <c r="BA39" s="2">
        <f t="shared" si="93"/>
        <v>107845.2</v>
      </c>
      <c r="BB39" s="2">
        <f t="shared" si="9"/>
        <v>0</v>
      </c>
      <c r="BC39" s="2">
        <f t="shared" si="41"/>
        <v>0</v>
      </c>
      <c r="BD39" s="2">
        <f t="shared" si="10"/>
        <v>107845.2</v>
      </c>
      <c r="BE39" s="2">
        <f t="shared" si="42"/>
        <v>1000</v>
      </c>
      <c r="BF39" s="2">
        <f t="shared" si="11"/>
        <v>1300.5879999999995</v>
      </c>
      <c r="BG39" s="2">
        <f t="shared" si="12"/>
        <v>105544.61199999999</v>
      </c>
      <c r="BI39" s="8">
        <f t="shared" si="84"/>
        <v>3.1E-2</v>
      </c>
      <c r="BJ39" s="5">
        <f t="shared" si="43"/>
        <v>1000</v>
      </c>
      <c r="BK39" s="2">
        <f t="shared" si="44"/>
        <v>100000</v>
      </c>
      <c r="BL39" s="2">
        <f t="shared" si="45"/>
        <v>100000</v>
      </c>
      <c r="BM39" s="2">
        <f t="shared" si="13"/>
        <v>100000</v>
      </c>
      <c r="BN39" s="8">
        <f t="shared" si="14"/>
        <v>4.5999999999999999E-2</v>
      </c>
      <c r="BO39" s="2">
        <f t="shared" si="15"/>
        <v>103450</v>
      </c>
      <c r="BP39" s="2" t="str">
        <f t="shared" si="16"/>
        <v>nie</v>
      </c>
      <c r="BQ39" s="2">
        <f t="shared" si="17"/>
        <v>2000</v>
      </c>
      <c r="BR39" s="1">
        <f t="shared" si="85"/>
        <v>47</v>
      </c>
      <c r="BS39" s="6"/>
      <c r="BT39" s="6"/>
      <c r="BU39" s="6"/>
      <c r="BV39" s="2">
        <f t="shared" si="94"/>
        <v>4700</v>
      </c>
      <c r="BW39" s="8">
        <f t="shared" si="86"/>
        <v>4.7500000000000001E-2</v>
      </c>
      <c r="BX39" s="2">
        <f t="shared" si="95"/>
        <v>4867.4375</v>
      </c>
      <c r="BY39" s="2">
        <f t="shared" si="87"/>
        <v>94</v>
      </c>
      <c r="BZ39" s="6"/>
      <c r="CA39" s="6"/>
      <c r="CB39" s="6"/>
      <c r="CC39" s="6"/>
      <c r="CD39" s="2">
        <f t="shared" si="18"/>
        <v>0</v>
      </c>
      <c r="CE39" s="2">
        <f t="shared" si="96"/>
        <v>0</v>
      </c>
      <c r="CF39" s="2">
        <f t="shared" si="97"/>
        <v>50.000000000014552</v>
      </c>
      <c r="CG39" s="1">
        <f t="shared" si="78"/>
        <v>0</v>
      </c>
      <c r="CH39" s="2">
        <f t="shared" si="20"/>
        <v>50.000000000014552</v>
      </c>
      <c r="CI39" s="1">
        <f t="shared" si="89"/>
        <v>0</v>
      </c>
      <c r="CJ39" s="2">
        <f t="shared" si="98"/>
        <v>50.000000000014552</v>
      </c>
      <c r="CK39" s="2">
        <f t="shared" si="99"/>
        <v>108367.43750000001</v>
      </c>
      <c r="CL39" s="2">
        <f t="shared" si="23"/>
        <v>0</v>
      </c>
      <c r="CM39" s="2">
        <f t="shared" si="47"/>
        <v>0</v>
      </c>
      <c r="CN39" s="2">
        <f t="shared" si="24"/>
        <v>108367.43750000001</v>
      </c>
      <c r="CO39" s="2">
        <f t="shared" si="48"/>
        <v>2094</v>
      </c>
      <c r="CP39" s="2">
        <f t="shared" si="25"/>
        <v>1191.9531250000027</v>
      </c>
      <c r="CQ39" s="2">
        <f t="shared" si="26"/>
        <v>105081.48437500001</v>
      </c>
      <c r="CS39" s="5">
        <f t="shared" si="49"/>
        <v>1000</v>
      </c>
      <c r="CT39" s="2">
        <f t="shared" si="50"/>
        <v>100000</v>
      </c>
      <c r="CU39" s="2">
        <f t="shared" si="51"/>
        <v>100000</v>
      </c>
      <c r="CV39" s="2">
        <f t="shared" si="52"/>
        <v>105350.00000000001</v>
      </c>
      <c r="CW39" s="8">
        <f t="shared" si="27"/>
        <v>5.1000000000000004E-2</v>
      </c>
      <c r="CX39" s="2">
        <f t="shared" si="28"/>
        <v>109379.6375</v>
      </c>
      <c r="CY39" s="2" t="str">
        <f t="shared" si="29"/>
        <v>nie</v>
      </c>
      <c r="CZ39" s="2">
        <f t="shared" si="53"/>
        <v>0</v>
      </c>
      <c r="DA39" s="2">
        <f t="shared" si="54"/>
        <v>0</v>
      </c>
      <c r="DB39" s="2">
        <f t="shared" si="55"/>
        <v>109379.6375</v>
      </c>
      <c r="DC39" s="2">
        <f t="shared" si="30"/>
        <v>0</v>
      </c>
      <c r="DD39" s="2">
        <f t="shared" si="56"/>
        <v>0</v>
      </c>
      <c r="DE39" s="2">
        <f t="shared" si="57"/>
        <v>109379.6375</v>
      </c>
      <c r="DF39" s="2">
        <f t="shared" si="32"/>
        <v>3000</v>
      </c>
      <c r="DG39" s="2">
        <f t="shared" si="33"/>
        <v>1212.1311249999994</v>
      </c>
      <c r="DH39" s="2">
        <f t="shared" si="58"/>
        <v>105167.506375</v>
      </c>
    </row>
    <row r="40" spans="2:112">
      <c r="B40" s="232"/>
      <c r="C40" s="1">
        <f t="shared" si="102"/>
        <v>3</v>
      </c>
      <c r="D40" s="2">
        <f t="shared" si="105"/>
        <v>101099.99999999999</v>
      </c>
      <c r="E40" s="2">
        <f t="shared" si="106"/>
        <v>100080.99999999999</v>
      </c>
      <c r="F40" s="2">
        <f t="shared" si="107"/>
        <v>101187.50000000001</v>
      </c>
      <c r="G40" s="2">
        <f t="shared" si="108"/>
        <v>100000</v>
      </c>
      <c r="H40" s="2">
        <f t="shared" si="109"/>
        <v>101337.49999999999</v>
      </c>
      <c r="I40" s="2">
        <f t="shared" si="110"/>
        <v>100000</v>
      </c>
      <c r="J40" s="2">
        <f t="shared" si="103"/>
        <v>100730.77290489068</v>
      </c>
      <c r="K40" s="2">
        <f t="shared" si="104"/>
        <v>100774.99999999999</v>
      </c>
      <c r="W40" s="1">
        <f t="shared" si="34"/>
        <v>22</v>
      </c>
      <c r="X40" s="2">
        <f t="shared" si="0"/>
        <v>105763.41666666666</v>
      </c>
      <c r="Y40" s="8">
        <f t="shared" si="76"/>
        <v>3.9100000000000003E-2</v>
      </c>
      <c r="Z40" s="5">
        <f t="shared" si="35"/>
        <v>1000</v>
      </c>
      <c r="AA40" s="2">
        <f t="shared" si="36"/>
        <v>100000</v>
      </c>
      <c r="AB40" s="2">
        <f t="shared" si="37"/>
        <v>100000</v>
      </c>
      <c r="AC40" s="2">
        <f t="shared" si="38"/>
        <v>104400</v>
      </c>
      <c r="AD40" s="8">
        <f t="shared" si="1"/>
        <v>4.3999999999999997E-2</v>
      </c>
      <c r="AE40" s="2">
        <f t="shared" si="2"/>
        <v>108228</v>
      </c>
      <c r="AF40" s="2" t="str">
        <f t="shared" si="3"/>
        <v>nie</v>
      </c>
      <c r="AG40" s="2">
        <f t="shared" si="4"/>
        <v>1000</v>
      </c>
      <c r="AH40" s="1">
        <f t="shared" si="79"/>
        <v>0</v>
      </c>
      <c r="AI40" s="6"/>
      <c r="AJ40" s="6"/>
      <c r="AK40" s="6"/>
      <c r="AL40" s="2">
        <f t="shared" si="90"/>
        <v>0</v>
      </c>
      <c r="AM40" s="8">
        <f t="shared" si="80"/>
        <v>4.3999999999999997E-2</v>
      </c>
      <c r="AN40" s="2">
        <f t="shared" si="91"/>
        <v>0</v>
      </c>
      <c r="AO40" s="2">
        <f t="shared" si="81"/>
        <v>0</v>
      </c>
      <c r="AP40" s="6"/>
      <c r="AQ40" s="6"/>
      <c r="AR40" s="6"/>
      <c r="AS40" s="6"/>
      <c r="AT40" s="2">
        <f t="shared" si="39"/>
        <v>0</v>
      </c>
      <c r="AU40" s="2">
        <f t="shared" si="92"/>
        <v>0</v>
      </c>
      <c r="AV40" s="2">
        <f t="shared" si="82"/>
        <v>0</v>
      </c>
      <c r="AW40" s="1">
        <f t="shared" si="77"/>
        <v>0</v>
      </c>
      <c r="AX40" s="2">
        <f t="shared" si="6"/>
        <v>0</v>
      </c>
      <c r="AY40" s="1">
        <f t="shared" si="83"/>
        <v>0</v>
      </c>
      <c r="AZ40" s="2">
        <f t="shared" si="40"/>
        <v>0</v>
      </c>
      <c r="BA40" s="2">
        <f t="shared" si="93"/>
        <v>108228</v>
      </c>
      <c r="BB40" s="2">
        <f t="shared" si="9"/>
        <v>0</v>
      </c>
      <c r="BC40" s="2">
        <f t="shared" si="41"/>
        <v>0</v>
      </c>
      <c r="BD40" s="2">
        <f t="shared" si="10"/>
        <v>108228</v>
      </c>
      <c r="BE40" s="2">
        <f t="shared" si="42"/>
        <v>1000</v>
      </c>
      <c r="BF40" s="2">
        <f t="shared" si="11"/>
        <v>1373.32</v>
      </c>
      <c r="BG40" s="2">
        <f t="shared" si="12"/>
        <v>105854.68</v>
      </c>
      <c r="BI40" s="8">
        <f t="shared" si="84"/>
        <v>3.1E-2</v>
      </c>
      <c r="BJ40" s="5">
        <f t="shared" si="43"/>
        <v>1000</v>
      </c>
      <c r="BK40" s="2">
        <f t="shared" si="44"/>
        <v>100000</v>
      </c>
      <c r="BL40" s="2">
        <f t="shared" si="45"/>
        <v>100000</v>
      </c>
      <c r="BM40" s="2">
        <f t="shared" si="13"/>
        <v>100000</v>
      </c>
      <c r="BN40" s="8">
        <f t="shared" si="14"/>
        <v>4.5999999999999999E-2</v>
      </c>
      <c r="BO40" s="2">
        <f t="shared" si="15"/>
        <v>103833.33333333333</v>
      </c>
      <c r="BP40" s="2" t="str">
        <f t="shared" si="16"/>
        <v>nie</v>
      </c>
      <c r="BQ40" s="2">
        <f t="shared" si="17"/>
        <v>2000</v>
      </c>
      <c r="BR40" s="1">
        <f t="shared" si="85"/>
        <v>47</v>
      </c>
      <c r="BS40" s="6"/>
      <c r="BT40" s="6"/>
      <c r="BU40" s="6"/>
      <c r="BV40" s="2">
        <f t="shared" si="94"/>
        <v>4700</v>
      </c>
      <c r="BW40" s="8">
        <f t="shared" si="86"/>
        <v>4.7500000000000001E-2</v>
      </c>
      <c r="BX40" s="2">
        <f t="shared" si="95"/>
        <v>4886.041666666667</v>
      </c>
      <c r="BY40" s="2">
        <f t="shared" si="87"/>
        <v>94</v>
      </c>
      <c r="BZ40" s="6"/>
      <c r="CA40" s="6"/>
      <c r="CB40" s="6"/>
      <c r="CC40" s="6"/>
      <c r="CD40" s="2">
        <f t="shared" si="18"/>
        <v>0</v>
      </c>
      <c r="CE40" s="2">
        <f t="shared" si="96"/>
        <v>0</v>
      </c>
      <c r="CF40" s="2">
        <f t="shared" si="97"/>
        <v>50.000000000014552</v>
      </c>
      <c r="CG40" s="1">
        <f t="shared" si="78"/>
        <v>0</v>
      </c>
      <c r="CH40" s="2">
        <f t="shared" si="20"/>
        <v>50.000000000014552</v>
      </c>
      <c r="CI40" s="1">
        <f t="shared" si="89"/>
        <v>0</v>
      </c>
      <c r="CJ40" s="2">
        <f t="shared" si="98"/>
        <v>50.000000000014552</v>
      </c>
      <c r="CK40" s="2">
        <f t="shared" si="99"/>
        <v>108769.37500000001</v>
      </c>
      <c r="CL40" s="2">
        <f t="shared" si="23"/>
        <v>0</v>
      </c>
      <c r="CM40" s="2">
        <f t="shared" si="47"/>
        <v>0</v>
      </c>
      <c r="CN40" s="2">
        <f t="shared" si="24"/>
        <v>108769.37500000001</v>
      </c>
      <c r="CO40" s="2">
        <f t="shared" si="48"/>
        <v>2094</v>
      </c>
      <c r="CP40" s="2">
        <f t="shared" si="25"/>
        <v>1268.3212500000027</v>
      </c>
      <c r="CQ40" s="2">
        <f t="shared" si="26"/>
        <v>105407.05375000001</v>
      </c>
      <c r="CS40" s="5">
        <f t="shared" si="49"/>
        <v>1000</v>
      </c>
      <c r="CT40" s="2">
        <f t="shared" si="50"/>
        <v>100000</v>
      </c>
      <c r="CU40" s="2">
        <f t="shared" si="51"/>
        <v>100000</v>
      </c>
      <c r="CV40" s="2">
        <f t="shared" si="52"/>
        <v>105350.00000000001</v>
      </c>
      <c r="CW40" s="8">
        <f t="shared" si="27"/>
        <v>5.1000000000000004E-2</v>
      </c>
      <c r="CX40" s="2">
        <f t="shared" si="28"/>
        <v>109827.37500000001</v>
      </c>
      <c r="CY40" s="2" t="str">
        <f t="shared" si="29"/>
        <v>nie</v>
      </c>
      <c r="CZ40" s="2">
        <f t="shared" si="53"/>
        <v>0</v>
      </c>
      <c r="DA40" s="2">
        <f t="shared" si="54"/>
        <v>0</v>
      </c>
      <c r="DB40" s="2">
        <f t="shared" si="55"/>
        <v>109827.37500000001</v>
      </c>
      <c r="DC40" s="2">
        <f t="shared" si="30"/>
        <v>0</v>
      </c>
      <c r="DD40" s="2">
        <f t="shared" si="56"/>
        <v>0</v>
      </c>
      <c r="DE40" s="2">
        <f t="shared" si="57"/>
        <v>109827.37500000001</v>
      </c>
      <c r="DF40" s="2">
        <f t="shared" si="32"/>
        <v>3000</v>
      </c>
      <c r="DG40" s="2">
        <f t="shared" si="33"/>
        <v>1297.2012500000028</v>
      </c>
      <c r="DH40" s="2">
        <f t="shared" si="58"/>
        <v>105530.17375000002</v>
      </c>
    </row>
    <row r="41" spans="2:112">
      <c r="B41" s="232"/>
      <c r="C41" s="1">
        <f t="shared" si="102"/>
        <v>4</v>
      </c>
      <c r="D41" s="2">
        <f t="shared" si="105"/>
        <v>101466.66666666666</v>
      </c>
      <c r="E41" s="2">
        <f t="shared" si="106"/>
        <v>100377.99999999999</v>
      </c>
      <c r="F41" s="2">
        <f t="shared" si="107"/>
        <v>101583.33333333334</v>
      </c>
      <c r="G41" s="2">
        <f t="shared" si="108"/>
        <v>100000</v>
      </c>
      <c r="H41" s="2">
        <f t="shared" si="109"/>
        <v>101783.33333333334</v>
      </c>
      <c r="I41" s="2">
        <f t="shared" si="110"/>
        <v>100000</v>
      </c>
      <c r="J41" s="2">
        <f t="shared" si="103"/>
        <v>100975.54868304955</v>
      </c>
      <c r="K41" s="2">
        <f t="shared" si="104"/>
        <v>101033.33333333333</v>
      </c>
      <c r="W41" s="1">
        <f t="shared" si="34"/>
        <v>23</v>
      </c>
      <c r="X41" s="2">
        <f t="shared" si="0"/>
        <v>106029.75833333333</v>
      </c>
      <c r="Y41" s="8">
        <f t="shared" si="76"/>
        <v>3.9100000000000003E-2</v>
      </c>
      <c r="Z41" s="5">
        <f t="shared" si="35"/>
        <v>1000</v>
      </c>
      <c r="AA41" s="2">
        <f t="shared" si="36"/>
        <v>100000</v>
      </c>
      <c r="AB41" s="2">
        <f t="shared" si="37"/>
        <v>100000</v>
      </c>
      <c r="AC41" s="2">
        <f t="shared" si="38"/>
        <v>104400</v>
      </c>
      <c r="AD41" s="8">
        <f t="shared" si="1"/>
        <v>4.3999999999999997E-2</v>
      </c>
      <c r="AE41" s="2">
        <f t="shared" si="2"/>
        <v>108610.8</v>
      </c>
      <c r="AF41" s="2" t="str">
        <f t="shared" si="3"/>
        <v>nie</v>
      </c>
      <c r="AG41" s="2">
        <f t="shared" si="4"/>
        <v>1000</v>
      </c>
      <c r="AH41" s="1">
        <f t="shared" si="79"/>
        <v>0</v>
      </c>
      <c r="AI41" s="6"/>
      <c r="AJ41" s="6"/>
      <c r="AK41" s="6"/>
      <c r="AL41" s="2">
        <f t="shared" si="90"/>
        <v>0</v>
      </c>
      <c r="AM41" s="8">
        <f t="shared" si="80"/>
        <v>4.3999999999999997E-2</v>
      </c>
      <c r="AN41" s="2">
        <f t="shared" si="91"/>
        <v>0</v>
      </c>
      <c r="AO41" s="2">
        <f t="shared" si="81"/>
        <v>0</v>
      </c>
      <c r="AP41" s="6"/>
      <c r="AQ41" s="6"/>
      <c r="AR41" s="6"/>
      <c r="AS41" s="6"/>
      <c r="AT41" s="2">
        <f t="shared" si="39"/>
        <v>0</v>
      </c>
      <c r="AU41" s="2">
        <f t="shared" si="92"/>
        <v>0</v>
      </c>
      <c r="AV41" s="2">
        <f t="shared" si="82"/>
        <v>0</v>
      </c>
      <c r="AW41" s="1">
        <f t="shared" si="77"/>
        <v>0</v>
      </c>
      <c r="AX41" s="2">
        <f t="shared" si="6"/>
        <v>0</v>
      </c>
      <c r="AY41" s="1">
        <f t="shared" si="83"/>
        <v>0</v>
      </c>
      <c r="AZ41" s="2">
        <f t="shared" si="40"/>
        <v>0</v>
      </c>
      <c r="BA41" s="2">
        <f t="shared" si="93"/>
        <v>108610.8</v>
      </c>
      <c r="BB41" s="2">
        <f t="shared" si="9"/>
        <v>0</v>
      </c>
      <c r="BC41" s="2">
        <f t="shared" si="41"/>
        <v>0</v>
      </c>
      <c r="BD41" s="2">
        <f t="shared" si="10"/>
        <v>108610.8</v>
      </c>
      <c r="BE41" s="2">
        <f t="shared" si="42"/>
        <v>1000</v>
      </c>
      <c r="BF41" s="2">
        <f t="shared" si="11"/>
        <v>1446.0520000000006</v>
      </c>
      <c r="BG41" s="2">
        <f t="shared" si="12"/>
        <v>106164.74800000001</v>
      </c>
      <c r="BI41" s="8">
        <f t="shared" si="84"/>
        <v>3.1E-2</v>
      </c>
      <c r="BJ41" s="5">
        <f t="shared" si="43"/>
        <v>1000</v>
      </c>
      <c r="BK41" s="2">
        <f t="shared" si="44"/>
        <v>100000</v>
      </c>
      <c r="BL41" s="2">
        <f t="shared" si="45"/>
        <v>100000</v>
      </c>
      <c r="BM41" s="2">
        <f t="shared" si="13"/>
        <v>100000</v>
      </c>
      <c r="BN41" s="8">
        <f t="shared" si="14"/>
        <v>4.5999999999999999E-2</v>
      </c>
      <c r="BO41" s="2">
        <f t="shared" si="15"/>
        <v>104216.66666666667</v>
      </c>
      <c r="BP41" s="2" t="str">
        <f t="shared" si="16"/>
        <v>nie</v>
      </c>
      <c r="BQ41" s="2">
        <f t="shared" si="17"/>
        <v>2000</v>
      </c>
      <c r="BR41" s="1">
        <f t="shared" si="85"/>
        <v>47</v>
      </c>
      <c r="BS41" s="6"/>
      <c r="BT41" s="6"/>
      <c r="BU41" s="6"/>
      <c r="BV41" s="2">
        <f t="shared" si="94"/>
        <v>4700</v>
      </c>
      <c r="BW41" s="8">
        <f t="shared" si="86"/>
        <v>4.7500000000000001E-2</v>
      </c>
      <c r="BX41" s="2">
        <f t="shared" si="95"/>
        <v>4904.645833333333</v>
      </c>
      <c r="BY41" s="2">
        <f t="shared" si="87"/>
        <v>94</v>
      </c>
      <c r="BZ41" s="6"/>
      <c r="CA41" s="6"/>
      <c r="CB41" s="6"/>
      <c r="CC41" s="6"/>
      <c r="CD41" s="2">
        <f t="shared" si="18"/>
        <v>0</v>
      </c>
      <c r="CE41" s="2">
        <f t="shared" si="96"/>
        <v>0</v>
      </c>
      <c r="CF41" s="2">
        <f t="shared" si="97"/>
        <v>50.000000000014552</v>
      </c>
      <c r="CG41" s="1">
        <f t="shared" si="78"/>
        <v>0</v>
      </c>
      <c r="CH41" s="2">
        <f t="shared" si="20"/>
        <v>50.000000000014552</v>
      </c>
      <c r="CI41" s="1">
        <f t="shared" si="89"/>
        <v>0</v>
      </c>
      <c r="CJ41" s="2">
        <f t="shared" si="98"/>
        <v>50.000000000014552</v>
      </c>
      <c r="CK41" s="2">
        <f t="shared" si="99"/>
        <v>109171.31250000001</v>
      </c>
      <c r="CL41" s="2">
        <f t="shared" si="23"/>
        <v>0</v>
      </c>
      <c r="CM41" s="2">
        <f t="shared" si="47"/>
        <v>0</v>
      </c>
      <c r="CN41" s="2">
        <f t="shared" si="24"/>
        <v>109171.31250000001</v>
      </c>
      <c r="CO41" s="2">
        <f t="shared" si="48"/>
        <v>2094</v>
      </c>
      <c r="CP41" s="2">
        <f t="shared" si="25"/>
        <v>1344.6893750000029</v>
      </c>
      <c r="CQ41" s="2">
        <f t="shared" si="26"/>
        <v>105732.62312500001</v>
      </c>
      <c r="CS41" s="5">
        <f t="shared" si="49"/>
        <v>1000</v>
      </c>
      <c r="CT41" s="2">
        <f t="shared" si="50"/>
        <v>100000</v>
      </c>
      <c r="CU41" s="2">
        <f t="shared" si="51"/>
        <v>100000</v>
      </c>
      <c r="CV41" s="2">
        <f t="shared" si="52"/>
        <v>105350.00000000001</v>
      </c>
      <c r="CW41" s="8">
        <f t="shared" si="27"/>
        <v>5.1000000000000004E-2</v>
      </c>
      <c r="CX41" s="2">
        <f t="shared" si="28"/>
        <v>110275.11250000002</v>
      </c>
      <c r="CY41" s="2" t="str">
        <f t="shared" si="29"/>
        <v>nie</v>
      </c>
      <c r="CZ41" s="2">
        <f t="shared" si="53"/>
        <v>0</v>
      </c>
      <c r="DA41" s="2">
        <f t="shared" si="54"/>
        <v>0</v>
      </c>
      <c r="DB41" s="2">
        <f t="shared" si="55"/>
        <v>110275.11250000002</v>
      </c>
      <c r="DC41" s="2">
        <f t="shared" si="30"/>
        <v>0</v>
      </c>
      <c r="DD41" s="2">
        <f t="shared" si="56"/>
        <v>0</v>
      </c>
      <c r="DE41" s="2">
        <f t="shared" si="57"/>
        <v>110275.11250000002</v>
      </c>
      <c r="DF41" s="2">
        <f t="shared" si="32"/>
        <v>3000</v>
      </c>
      <c r="DG41" s="2">
        <f t="shared" si="33"/>
        <v>1382.2713750000034</v>
      </c>
      <c r="DH41" s="2">
        <f t="shared" si="58"/>
        <v>105892.84112500002</v>
      </c>
    </row>
    <row r="42" spans="2:112">
      <c r="B42" s="232"/>
      <c r="C42" s="1">
        <f t="shared" si="102"/>
        <v>5</v>
      </c>
      <c r="D42" s="2">
        <f t="shared" si="105"/>
        <v>101833.33333333333</v>
      </c>
      <c r="E42" s="2">
        <f t="shared" si="106"/>
        <v>100675</v>
      </c>
      <c r="F42" s="2">
        <f t="shared" si="107"/>
        <v>101979.16666666667</v>
      </c>
      <c r="G42" s="2">
        <f t="shared" si="108"/>
        <v>100000</v>
      </c>
      <c r="H42" s="2">
        <f t="shared" si="109"/>
        <v>102229.16666666666</v>
      </c>
      <c r="I42" s="2">
        <f t="shared" si="110"/>
        <v>100000</v>
      </c>
      <c r="J42" s="2">
        <f t="shared" si="103"/>
        <v>101220.91926634936</v>
      </c>
      <c r="K42" s="2">
        <f t="shared" si="104"/>
        <v>101291.66666666667</v>
      </c>
      <c r="W42" s="1">
        <f t="shared" si="34"/>
        <v>24</v>
      </c>
      <c r="X42" s="2">
        <f t="shared" si="0"/>
        <v>106296.09999999998</v>
      </c>
      <c r="Y42" s="8">
        <f t="shared" si="76"/>
        <v>3.9100000000000003E-2</v>
      </c>
      <c r="Z42" s="5">
        <f t="shared" si="35"/>
        <v>1000</v>
      </c>
      <c r="AA42" s="2">
        <f t="shared" si="36"/>
        <v>100000</v>
      </c>
      <c r="AB42" s="2">
        <f t="shared" si="37"/>
        <v>100000</v>
      </c>
      <c r="AC42" s="2">
        <f t="shared" si="38"/>
        <v>104400</v>
      </c>
      <c r="AD42" s="8">
        <f t="shared" si="1"/>
        <v>4.3999999999999997E-2</v>
      </c>
      <c r="AE42" s="2">
        <f t="shared" si="2"/>
        <v>108993.60000000001</v>
      </c>
      <c r="AF42" s="2" t="str">
        <f t="shared" si="3"/>
        <v>nie</v>
      </c>
      <c r="AG42" s="2">
        <f t="shared" si="4"/>
        <v>1000</v>
      </c>
      <c r="AH42" s="1">
        <f t="shared" si="79"/>
        <v>0</v>
      </c>
      <c r="AI42" s="6"/>
      <c r="AJ42" s="6"/>
      <c r="AK42" s="6"/>
      <c r="AL42" s="2">
        <f t="shared" si="90"/>
        <v>0</v>
      </c>
      <c r="AM42" s="8">
        <f t="shared" si="80"/>
        <v>4.3999999999999997E-2</v>
      </c>
      <c r="AN42" s="2">
        <f t="shared" si="91"/>
        <v>0</v>
      </c>
      <c r="AO42" s="2">
        <f t="shared" si="81"/>
        <v>0</v>
      </c>
      <c r="AP42" s="6"/>
      <c r="AQ42" s="6"/>
      <c r="AR42" s="6"/>
      <c r="AS42" s="6"/>
      <c r="AT42" s="2">
        <f t="shared" si="39"/>
        <v>0</v>
      </c>
      <c r="AU42" s="2">
        <f t="shared" si="92"/>
        <v>0</v>
      </c>
      <c r="AV42" s="2">
        <f t="shared" si="82"/>
        <v>0</v>
      </c>
      <c r="AW42" s="1">
        <f t="shared" si="77"/>
        <v>0</v>
      </c>
      <c r="AX42" s="2">
        <f t="shared" si="6"/>
        <v>0</v>
      </c>
      <c r="AY42" s="1">
        <f t="shared" si="83"/>
        <v>0</v>
      </c>
      <c r="AZ42" s="2">
        <f t="shared" si="40"/>
        <v>0</v>
      </c>
      <c r="BA42" s="2">
        <f t="shared" si="93"/>
        <v>108993.60000000001</v>
      </c>
      <c r="BB42" s="2">
        <f t="shared" si="9"/>
        <v>174.38976000000002</v>
      </c>
      <c r="BC42" s="2">
        <f t="shared" si="41"/>
        <v>174.38976000000002</v>
      </c>
      <c r="BD42" s="2">
        <f t="shared" si="10"/>
        <v>108819.21024</v>
      </c>
      <c r="BE42" s="2">
        <f t="shared" si="42"/>
        <v>1000</v>
      </c>
      <c r="BF42" s="2">
        <f t="shared" si="11"/>
        <v>1518.784000000001</v>
      </c>
      <c r="BG42" s="2">
        <f t="shared" si="12"/>
        <v>106300.42624</v>
      </c>
      <c r="BI42" s="8">
        <f t="shared" si="84"/>
        <v>3.1E-2</v>
      </c>
      <c r="BJ42" s="5">
        <f t="shared" si="43"/>
        <v>1000</v>
      </c>
      <c r="BK42" s="2">
        <f t="shared" si="44"/>
        <v>100000</v>
      </c>
      <c r="BL42" s="2">
        <f t="shared" si="45"/>
        <v>100000</v>
      </c>
      <c r="BM42" s="2">
        <f t="shared" si="13"/>
        <v>100000</v>
      </c>
      <c r="BN42" s="8">
        <f t="shared" si="14"/>
        <v>4.5999999999999999E-2</v>
      </c>
      <c r="BO42" s="2">
        <f t="shared" si="15"/>
        <v>104600</v>
      </c>
      <c r="BP42" s="2" t="str">
        <f t="shared" si="16"/>
        <v>nie</v>
      </c>
      <c r="BQ42" s="2">
        <f t="shared" si="17"/>
        <v>2000</v>
      </c>
      <c r="BR42" s="1">
        <f t="shared" si="85"/>
        <v>47</v>
      </c>
      <c r="BS42" s="6"/>
      <c r="BT42" s="6"/>
      <c r="BU42" s="6"/>
      <c r="BV42" s="2">
        <f t="shared" si="94"/>
        <v>4700</v>
      </c>
      <c r="BW42" s="8">
        <f t="shared" si="86"/>
        <v>4.7500000000000001E-2</v>
      </c>
      <c r="BX42" s="2">
        <f t="shared" si="95"/>
        <v>4923.2500000000009</v>
      </c>
      <c r="BY42" s="2">
        <f t="shared" si="87"/>
        <v>94</v>
      </c>
      <c r="BZ42" s="6"/>
      <c r="CA42" s="6"/>
      <c r="CB42" s="6"/>
      <c r="CC42" s="6"/>
      <c r="CD42" s="2">
        <f t="shared" si="18"/>
        <v>4600</v>
      </c>
      <c r="CE42" s="2">
        <f t="shared" si="96"/>
        <v>223.25000000000091</v>
      </c>
      <c r="CF42" s="2">
        <f t="shared" si="97"/>
        <v>4873.2500000000155</v>
      </c>
      <c r="CG42" s="1">
        <f t="shared" si="78"/>
        <v>0</v>
      </c>
      <c r="CH42" s="2">
        <f t="shared" si="20"/>
        <v>4873.2500000000155</v>
      </c>
      <c r="CI42" s="1">
        <f t="shared" si="89"/>
        <v>48</v>
      </c>
      <c r="CJ42" s="2">
        <f t="shared" si="98"/>
        <v>73.250000000015461</v>
      </c>
      <c r="CK42" s="2">
        <f t="shared" si="99"/>
        <v>109573.25000000001</v>
      </c>
      <c r="CL42" s="2">
        <f t="shared" si="23"/>
        <v>175.31720000000004</v>
      </c>
      <c r="CM42" s="2">
        <f t="shared" si="47"/>
        <v>175.31720000000004</v>
      </c>
      <c r="CN42" s="2">
        <f t="shared" si="24"/>
        <v>109397.93280000001</v>
      </c>
      <c r="CO42" s="2">
        <f t="shared" si="48"/>
        <v>2094</v>
      </c>
      <c r="CP42" s="2">
        <f t="shared" si="25"/>
        <v>1421.0575000000028</v>
      </c>
      <c r="CQ42" s="2">
        <f t="shared" si="26"/>
        <v>105882.8753</v>
      </c>
      <c r="CS42" s="5">
        <f t="shared" si="49"/>
        <v>1000</v>
      </c>
      <c r="CT42" s="2">
        <f t="shared" si="50"/>
        <v>100000</v>
      </c>
      <c r="CU42" s="2">
        <f t="shared" si="51"/>
        <v>100000</v>
      </c>
      <c r="CV42" s="2">
        <f t="shared" si="52"/>
        <v>105350.00000000001</v>
      </c>
      <c r="CW42" s="8">
        <f t="shared" si="27"/>
        <v>5.1000000000000004E-2</v>
      </c>
      <c r="CX42" s="2">
        <f t="shared" si="28"/>
        <v>110722.85</v>
      </c>
      <c r="CY42" s="2" t="str">
        <f t="shared" si="29"/>
        <v>nie</v>
      </c>
      <c r="CZ42" s="2">
        <f t="shared" si="53"/>
        <v>0</v>
      </c>
      <c r="DA42" s="2">
        <f t="shared" si="54"/>
        <v>0</v>
      </c>
      <c r="DB42" s="2">
        <f t="shared" si="55"/>
        <v>110722.85</v>
      </c>
      <c r="DC42" s="2">
        <f t="shared" si="30"/>
        <v>177.15656000000001</v>
      </c>
      <c r="DD42" s="2">
        <f t="shared" si="56"/>
        <v>177.15656000000001</v>
      </c>
      <c r="DE42" s="2">
        <f t="shared" si="57"/>
        <v>110545.69344</v>
      </c>
      <c r="DF42" s="2">
        <f t="shared" si="32"/>
        <v>3000</v>
      </c>
      <c r="DG42" s="2">
        <f t="shared" si="33"/>
        <v>1467.3415000000011</v>
      </c>
      <c r="DH42" s="2">
        <f t="shared" si="58"/>
        <v>106078.35194000001</v>
      </c>
    </row>
    <row r="43" spans="2:112">
      <c r="B43" s="232"/>
      <c r="C43" s="1">
        <f t="shared" si="102"/>
        <v>6</v>
      </c>
      <c r="D43" s="2">
        <f t="shared" si="105"/>
        <v>102200</v>
      </c>
      <c r="E43" s="2">
        <f t="shared" si="106"/>
        <v>100972</v>
      </c>
      <c r="F43" s="2">
        <f t="shared" si="107"/>
        <v>102375</v>
      </c>
      <c r="G43" s="2">
        <f t="shared" si="108"/>
        <v>100303.75</v>
      </c>
      <c r="H43" s="2">
        <f t="shared" si="109"/>
        <v>102675</v>
      </c>
      <c r="I43" s="2">
        <f t="shared" si="110"/>
        <v>100000</v>
      </c>
      <c r="J43" s="2">
        <f t="shared" si="103"/>
        <v>101466.88610016658</v>
      </c>
      <c r="K43" s="2">
        <f t="shared" si="104"/>
        <v>101550</v>
      </c>
      <c r="W43" s="1">
        <f t="shared" si="34"/>
        <v>25</v>
      </c>
      <c r="X43" s="2">
        <f t="shared" si="0"/>
        <v>106570.69825833332</v>
      </c>
      <c r="Y43" s="8">
        <f t="shared" si="76"/>
        <v>3.9100000000000003E-2</v>
      </c>
      <c r="Z43" s="5">
        <f t="shared" si="35"/>
        <v>1000</v>
      </c>
      <c r="AA43" s="2">
        <f t="shared" si="36"/>
        <v>100000</v>
      </c>
      <c r="AB43" s="2">
        <f t="shared" si="37"/>
        <v>100000</v>
      </c>
      <c r="AC43" s="2">
        <f t="shared" si="38"/>
        <v>108993.60000000001</v>
      </c>
      <c r="AD43" s="8">
        <f t="shared" si="1"/>
        <v>4.3999999999999997E-2</v>
      </c>
      <c r="AE43" s="2">
        <f t="shared" si="2"/>
        <v>109393.24320000001</v>
      </c>
      <c r="AF43" s="2" t="str">
        <f t="shared" si="3"/>
        <v>nie</v>
      </c>
      <c r="AG43" s="2">
        <f t="shared" si="4"/>
        <v>1000</v>
      </c>
      <c r="AH43" s="1">
        <f t="shared" si="79"/>
        <v>0</v>
      </c>
      <c r="AI43" s="1">
        <f t="shared" ref="AI43:AI74" si="111">IF(zapadalnosc_TOS/12&gt;=AI$18,AH31,0)</f>
        <v>0</v>
      </c>
      <c r="AJ43" s="6"/>
      <c r="AK43" s="6"/>
      <c r="AL43" s="2">
        <f t="shared" si="90"/>
        <v>0</v>
      </c>
      <c r="AM43" s="8">
        <f t="shared" si="80"/>
        <v>4.3999999999999997E-2</v>
      </c>
      <c r="AN43" s="2">
        <f t="shared" si="91"/>
        <v>0</v>
      </c>
      <c r="AO43" s="2">
        <f t="shared" si="81"/>
        <v>0</v>
      </c>
      <c r="AP43" s="2">
        <f>SUM(AI43:AK43)*100</f>
        <v>0</v>
      </c>
      <c r="AQ43" s="8">
        <f t="shared" ref="AQ43:AQ74" si="112">marza_TOS+Y43</f>
        <v>3.9100000000000003E-2</v>
      </c>
      <c r="AR43" s="2">
        <f t="shared" ref="AR43:AR106" si="113">AP43*(1+AQ43*IF(MOD($W43,12)&lt;&gt;0,MOD($W43,12),12)/12)</f>
        <v>0</v>
      </c>
      <c r="AS43" s="2">
        <f t="shared" ref="AS43:AS74" si="114">SUM(AI43:AK43)*koszt_wczesniejszy_wykup_TOS</f>
        <v>0</v>
      </c>
      <c r="AT43" s="2">
        <f t="shared" si="39"/>
        <v>0</v>
      </c>
      <c r="AU43" s="2">
        <f t="shared" si="92"/>
        <v>0</v>
      </c>
      <c r="AV43" s="2">
        <f t="shared" si="82"/>
        <v>0</v>
      </c>
      <c r="AW43" s="1">
        <f t="shared" si="77"/>
        <v>0</v>
      </c>
      <c r="AX43" s="2">
        <f t="shared" si="6"/>
        <v>0</v>
      </c>
      <c r="AY43" s="1">
        <f t="shared" si="83"/>
        <v>0</v>
      </c>
      <c r="AZ43" s="2">
        <f t="shared" si="40"/>
        <v>0</v>
      </c>
      <c r="BA43" s="2">
        <f t="shared" si="93"/>
        <v>109393.24320000001</v>
      </c>
      <c r="BB43" s="2">
        <f t="shared" si="9"/>
        <v>0</v>
      </c>
      <c r="BC43" s="2">
        <f t="shared" si="41"/>
        <v>174.38976000000002</v>
      </c>
      <c r="BD43" s="2">
        <f t="shared" si="10"/>
        <v>109218.85344000001</v>
      </c>
      <c r="BE43" s="2">
        <f t="shared" si="42"/>
        <v>1000</v>
      </c>
      <c r="BF43" s="2">
        <f t="shared" si="11"/>
        <v>1594.7162080000023</v>
      </c>
      <c r="BG43" s="2">
        <f t="shared" si="12"/>
        <v>106624.13723200001</v>
      </c>
      <c r="BI43" s="8">
        <f t="shared" si="84"/>
        <v>3.1E-2</v>
      </c>
      <c r="BJ43" s="5">
        <f t="shared" si="43"/>
        <v>1000</v>
      </c>
      <c r="BK43" s="2">
        <f t="shared" si="44"/>
        <v>100000</v>
      </c>
      <c r="BL43" s="2">
        <f t="shared" si="45"/>
        <v>100000</v>
      </c>
      <c r="BM43" s="2">
        <f t="shared" si="13"/>
        <v>100000</v>
      </c>
      <c r="BN43" s="8">
        <f t="shared" si="14"/>
        <v>4.5999999999999999E-2</v>
      </c>
      <c r="BO43" s="2">
        <f t="shared" si="15"/>
        <v>100383.33333333333</v>
      </c>
      <c r="BP43" s="2" t="str">
        <f t="shared" si="16"/>
        <v>nie</v>
      </c>
      <c r="BQ43" s="2">
        <f t="shared" si="17"/>
        <v>2000</v>
      </c>
      <c r="BR43" s="1">
        <f t="shared" si="85"/>
        <v>48</v>
      </c>
      <c r="BS43" s="1">
        <f t="shared" ref="BS43:BS74" si="115">IF(zapadalnosc_COI/12&gt;=BS$18,BR31,0)</f>
        <v>47</v>
      </c>
      <c r="BT43" s="6"/>
      <c r="BU43" s="6"/>
      <c r="BV43" s="2">
        <f t="shared" si="94"/>
        <v>4800</v>
      </c>
      <c r="BW43" s="8">
        <f t="shared" si="86"/>
        <v>4.7500000000000001E-2</v>
      </c>
      <c r="BX43" s="2">
        <f t="shared" si="95"/>
        <v>4819</v>
      </c>
      <c r="BY43" s="2">
        <f t="shared" si="87"/>
        <v>19</v>
      </c>
      <c r="BZ43" s="2">
        <f>SUM(BS43:BU43)*100</f>
        <v>4700</v>
      </c>
      <c r="CA43" s="8">
        <f t="shared" ref="CA43:CA74" si="116">marza_COI+BI43</f>
        <v>4.5999999999999999E-2</v>
      </c>
      <c r="CB43" s="2">
        <f t="shared" ref="CB43:CB95" si="117">BZ43*(1+CA43*IF(MOD($W43,12)&lt;&gt;0,MOD($W43,12),12)/12)</f>
        <v>4718.0166666666664</v>
      </c>
      <c r="CC43" s="2">
        <f t="shared" ref="CC43:CC74" si="118">SUM(BS43:BU43)*koszt_wczesniejszy_wykup_COI</f>
        <v>94</v>
      </c>
      <c r="CD43" s="2">
        <f t="shared" si="18"/>
        <v>0</v>
      </c>
      <c r="CE43" s="2">
        <f t="shared" si="96"/>
        <v>0</v>
      </c>
      <c r="CF43" s="2">
        <f t="shared" si="97"/>
        <v>73.250000000015461</v>
      </c>
      <c r="CG43" s="1">
        <f t="shared" si="78"/>
        <v>0</v>
      </c>
      <c r="CH43" s="2">
        <f t="shared" si="20"/>
        <v>73.250000000015461</v>
      </c>
      <c r="CI43" s="1">
        <f t="shared" si="89"/>
        <v>0</v>
      </c>
      <c r="CJ43" s="2">
        <f t="shared" si="98"/>
        <v>73.250000000015461</v>
      </c>
      <c r="CK43" s="2">
        <f t="shared" si="99"/>
        <v>109993.60000000001</v>
      </c>
      <c r="CL43" s="2">
        <f t="shared" si="23"/>
        <v>0</v>
      </c>
      <c r="CM43" s="2">
        <f t="shared" si="47"/>
        <v>175.31720000000004</v>
      </c>
      <c r="CN43" s="2">
        <f t="shared" si="24"/>
        <v>109818.2828</v>
      </c>
      <c r="CO43" s="2">
        <f t="shared" si="48"/>
        <v>2113</v>
      </c>
      <c r="CP43" s="2">
        <f t="shared" si="25"/>
        <v>1497.3140000000012</v>
      </c>
      <c r="CQ43" s="2">
        <f t="shared" si="26"/>
        <v>106207.9688</v>
      </c>
      <c r="CS43" s="5">
        <f t="shared" si="49"/>
        <v>1000</v>
      </c>
      <c r="CT43" s="2">
        <f t="shared" si="50"/>
        <v>100000</v>
      </c>
      <c r="CU43" s="2">
        <f t="shared" si="51"/>
        <v>100000</v>
      </c>
      <c r="CV43" s="2">
        <f t="shared" si="52"/>
        <v>110722.85</v>
      </c>
      <c r="CW43" s="8">
        <f t="shared" si="27"/>
        <v>5.1000000000000004E-2</v>
      </c>
      <c r="CX43" s="2">
        <f t="shared" si="28"/>
        <v>111193.42211250002</v>
      </c>
      <c r="CY43" s="2" t="str">
        <f t="shared" si="29"/>
        <v>nie</v>
      </c>
      <c r="CZ43" s="2">
        <f t="shared" si="53"/>
        <v>0</v>
      </c>
      <c r="DA43" s="2">
        <f t="shared" si="54"/>
        <v>0</v>
      </c>
      <c r="DB43" s="2">
        <f t="shared" si="55"/>
        <v>111193.42211250002</v>
      </c>
      <c r="DC43" s="2">
        <f t="shared" si="30"/>
        <v>0</v>
      </c>
      <c r="DD43" s="2">
        <f t="shared" si="56"/>
        <v>177.15656000000001</v>
      </c>
      <c r="DE43" s="2">
        <f t="shared" si="57"/>
        <v>111016.26555250002</v>
      </c>
      <c r="DF43" s="2">
        <f t="shared" si="32"/>
        <v>3000</v>
      </c>
      <c r="DG43" s="2">
        <f t="shared" si="33"/>
        <v>1556.7502013750036</v>
      </c>
      <c r="DH43" s="2">
        <f t="shared" si="58"/>
        <v>106459.51535112501</v>
      </c>
    </row>
    <row r="44" spans="2:112">
      <c r="B44" s="232"/>
      <c r="C44" s="1">
        <f t="shared" si="102"/>
        <v>7</v>
      </c>
      <c r="D44" s="2">
        <f t="shared" si="105"/>
        <v>102566.66666666667</v>
      </c>
      <c r="E44" s="2">
        <f t="shared" si="106"/>
        <v>101269</v>
      </c>
      <c r="F44" s="2">
        <f t="shared" si="107"/>
        <v>102770.83333333334</v>
      </c>
      <c r="G44" s="2">
        <f t="shared" si="108"/>
        <v>100624.37500000001</v>
      </c>
      <c r="H44" s="2">
        <f t="shared" si="109"/>
        <v>103120.83333333333</v>
      </c>
      <c r="I44" s="2">
        <f t="shared" si="110"/>
        <v>100097.875</v>
      </c>
      <c r="J44" s="2">
        <f t="shared" si="103"/>
        <v>101713.45063338998</v>
      </c>
      <c r="K44" s="2">
        <f t="shared" si="104"/>
        <v>101808.33333333333</v>
      </c>
      <c r="W44" s="1">
        <f t="shared" si="34"/>
        <v>26</v>
      </c>
      <c r="X44" s="2">
        <f t="shared" si="0"/>
        <v>106845.29651666665</v>
      </c>
      <c r="Y44" s="8">
        <f t="shared" si="76"/>
        <v>3.9100000000000003E-2</v>
      </c>
      <c r="Z44" s="5">
        <f t="shared" si="35"/>
        <v>1000</v>
      </c>
      <c r="AA44" s="2">
        <f t="shared" si="36"/>
        <v>100000</v>
      </c>
      <c r="AB44" s="2">
        <f t="shared" si="37"/>
        <v>100000</v>
      </c>
      <c r="AC44" s="2">
        <f t="shared" si="38"/>
        <v>108993.60000000001</v>
      </c>
      <c r="AD44" s="8">
        <f t="shared" si="1"/>
        <v>4.3999999999999997E-2</v>
      </c>
      <c r="AE44" s="2">
        <f t="shared" si="2"/>
        <v>109792.88640000002</v>
      </c>
      <c r="AF44" s="2" t="str">
        <f t="shared" si="3"/>
        <v>nie</v>
      </c>
      <c r="AG44" s="2">
        <f t="shared" si="4"/>
        <v>1000</v>
      </c>
      <c r="AH44" s="1">
        <f t="shared" si="79"/>
        <v>0</v>
      </c>
      <c r="AI44" s="1">
        <f t="shared" si="111"/>
        <v>0</v>
      </c>
      <c r="AJ44" s="6"/>
      <c r="AK44" s="6"/>
      <c r="AL44" s="2">
        <f t="shared" si="90"/>
        <v>0</v>
      </c>
      <c r="AM44" s="8">
        <f t="shared" si="80"/>
        <v>4.3999999999999997E-2</v>
      </c>
      <c r="AN44" s="2">
        <f t="shared" si="91"/>
        <v>0</v>
      </c>
      <c r="AO44" s="2">
        <f t="shared" si="81"/>
        <v>0</v>
      </c>
      <c r="AP44" s="2">
        <f t="shared" ref="AP44:AP107" si="119">SUM(AI44:AK44)*100</f>
        <v>0</v>
      </c>
      <c r="AQ44" s="8">
        <f t="shared" si="112"/>
        <v>3.9100000000000003E-2</v>
      </c>
      <c r="AR44" s="2">
        <f t="shared" si="113"/>
        <v>0</v>
      </c>
      <c r="AS44" s="2">
        <f t="shared" si="114"/>
        <v>0</v>
      </c>
      <c r="AT44" s="2">
        <f t="shared" si="39"/>
        <v>0</v>
      </c>
      <c r="AU44" s="2">
        <f t="shared" si="92"/>
        <v>0</v>
      </c>
      <c r="AV44" s="2">
        <f t="shared" si="82"/>
        <v>0</v>
      </c>
      <c r="AW44" s="1">
        <f t="shared" si="77"/>
        <v>0</v>
      </c>
      <c r="AX44" s="2">
        <f t="shared" si="6"/>
        <v>0</v>
      </c>
      <c r="AY44" s="1">
        <f t="shared" si="83"/>
        <v>0</v>
      </c>
      <c r="AZ44" s="2">
        <f t="shared" si="40"/>
        <v>0</v>
      </c>
      <c r="BA44" s="2">
        <f t="shared" si="93"/>
        <v>109792.88640000002</v>
      </c>
      <c r="BB44" s="2">
        <f t="shared" si="9"/>
        <v>0</v>
      </c>
      <c r="BC44" s="2">
        <f t="shared" si="41"/>
        <v>174.38976000000002</v>
      </c>
      <c r="BD44" s="2">
        <f t="shared" si="10"/>
        <v>109618.49664000001</v>
      </c>
      <c r="BE44" s="2">
        <f t="shared" si="42"/>
        <v>1000</v>
      </c>
      <c r="BF44" s="2">
        <f t="shared" si="11"/>
        <v>1670.6484160000034</v>
      </c>
      <c r="BG44" s="2">
        <f t="shared" si="12"/>
        <v>106947.84822400002</v>
      </c>
      <c r="BI44" s="8">
        <f t="shared" si="84"/>
        <v>3.1E-2</v>
      </c>
      <c r="BJ44" s="5">
        <f t="shared" si="43"/>
        <v>1000</v>
      </c>
      <c r="BK44" s="2">
        <f t="shared" si="44"/>
        <v>100000</v>
      </c>
      <c r="BL44" s="2">
        <f t="shared" si="45"/>
        <v>100000</v>
      </c>
      <c r="BM44" s="2">
        <f t="shared" si="13"/>
        <v>100000</v>
      </c>
      <c r="BN44" s="8">
        <f t="shared" si="14"/>
        <v>4.5999999999999999E-2</v>
      </c>
      <c r="BO44" s="2">
        <f t="shared" si="15"/>
        <v>100766.66666666667</v>
      </c>
      <c r="BP44" s="2" t="str">
        <f t="shared" si="16"/>
        <v>nie</v>
      </c>
      <c r="BQ44" s="2">
        <f t="shared" si="17"/>
        <v>2000</v>
      </c>
      <c r="BR44" s="1">
        <f t="shared" si="85"/>
        <v>48</v>
      </c>
      <c r="BS44" s="1">
        <f t="shared" si="115"/>
        <v>47</v>
      </c>
      <c r="BT44" s="6"/>
      <c r="BU44" s="6"/>
      <c r="BV44" s="2">
        <f t="shared" si="94"/>
        <v>4800</v>
      </c>
      <c r="BW44" s="8">
        <f t="shared" si="86"/>
        <v>4.7500000000000001E-2</v>
      </c>
      <c r="BX44" s="2">
        <f t="shared" si="95"/>
        <v>4838</v>
      </c>
      <c r="BY44" s="2">
        <f t="shared" si="87"/>
        <v>38</v>
      </c>
      <c r="BZ44" s="2">
        <f t="shared" ref="BZ44:BZ107" si="120">SUM(BS44:BU44)*100</f>
        <v>4700</v>
      </c>
      <c r="CA44" s="8">
        <f t="shared" si="116"/>
        <v>4.5999999999999999E-2</v>
      </c>
      <c r="CB44" s="2">
        <f t="shared" si="117"/>
        <v>4736.0333333333338</v>
      </c>
      <c r="CC44" s="2">
        <f t="shared" si="118"/>
        <v>94</v>
      </c>
      <c r="CD44" s="2">
        <f t="shared" si="18"/>
        <v>0</v>
      </c>
      <c r="CE44" s="2">
        <f t="shared" si="96"/>
        <v>0</v>
      </c>
      <c r="CF44" s="2">
        <f t="shared" si="97"/>
        <v>73.250000000015461</v>
      </c>
      <c r="CG44" s="1">
        <f t="shared" si="78"/>
        <v>0</v>
      </c>
      <c r="CH44" s="2">
        <f t="shared" si="20"/>
        <v>73.250000000015461</v>
      </c>
      <c r="CI44" s="1">
        <f t="shared" si="89"/>
        <v>0</v>
      </c>
      <c r="CJ44" s="2">
        <f t="shared" si="98"/>
        <v>73.250000000015461</v>
      </c>
      <c r="CK44" s="2">
        <f t="shared" si="99"/>
        <v>110413.95000000003</v>
      </c>
      <c r="CL44" s="2">
        <f t="shared" si="23"/>
        <v>0</v>
      </c>
      <c r="CM44" s="2">
        <f t="shared" si="47"/>
        <v>175.31720000000004</v>
      </c>
      <c r="CN44" s="2">
        <f t="shared" si="24"/>
        <v>110238.63280000002</v>
      </c>
      <c r="CO44" s="2">
        <f t="shared" si="48"/>
        <v>2132</v>
      </c>
      <c r="CP44" s="2">
        <f t="shared" si="25"/>
        <v>1573.570500000005</v>
      </c>
      <c r="CQ44" s="2">
        <f t="shared" si="26"/>
        <v>106533.06230000002</v>
      </c>
      <c r="CS44" s="5">
        <f t="shared" si="49"/>
        <v>1000</v>
      </c>
      <c r="CT44" s="2">
        <f t="shared" si="50"/>
        <v>100000</v>
      </c>
      <c r="CU44" s="2">
        <f t="shared" si="51"/>
        <v>100000</v>
      </c>
      <c r="CV44" s="2">
        <f t="shared" si="52"/>
        <v>110722.85</v>
      </c>
      <c r="CW44" s="8">
        <f t="shared" si="27"/>
        <v>5.1000000000000004E-2</v>
      </c>
      <c r="CX44" s="2">
        <f t="shared" si="28"/>
        <v>111663.994225</v>
      </c>
      <c r="CY44" s="2" t="str">
        <f t="shared" si="29"/>
        <v>nie</v>
      </c>
      <c r="CZ44" s="2">
        <f t="shared" si="53"/>
        <v>0</v>
      </c>
      <c r="DA44" s="2">
        <f t="shared" si="54"/>
        <v>0</v>
      </c>
      <c r="DB44" s="2">
        <f t="shared" si="55"/>
        <v>111663.994225</v>
      </c>
      <c r="DC44" s="2">
        <f t="shared" si="30"/>
        <v>0</v>
      </c>
      <c r="DD44" s="2">
        <f t="shared" si="56"/>
        <v>177.15656000000001</v>
      </c>
      <c r="DE44" s="2">
        <f t="shared" si="57"/>
        <v>111486.837665</v>
      </c>
      <c r="DF44" s="2">
        <f t="shared" si="32"/>
        <v>3000</v>
      </c>
      <c r="DG44" s="2">
        <f t="shared" si="33"/>
        <v>1646.1589027500004</v>
      </c>
      <c r="DH44" s="2">
        <f t="shared" si="58"/>
        <v>106840.67876225</v>
      </c>
    </row>
    <row r="45" spans="2:112">
      <c r="B45" s="232"/>
      <c r="C45" s="1">
        <f t="shared" si="102"/>
        <v>8</v>
      </c>
      <c r="D45" s="2">
        <f t="shared" si="105"/>
        <v>102933.33333333334</v>
      </c>
      <c r="E45" s="2">
        <f t="shared" si="106"/>
        <v>101566.00000000001</v>
      </c>
      <c r="F45" s="2">
        <f t="shared" si="107"/>
        <v>103166.66666666667</v>
      </c>
      <c r="G45" s="2">
        <f t="shared" si="108"/>
        <v>100945</v>
      </c>
      <c r="H45" s="2">
        <f t="shared" si="109"/>
        <v>103566.66666666667</v>
      </c>
      <c r="I45" s="2">
        <f t="shared" si="110"/>
        <v>100459</v>
      </c>
      <c r="J45" s="2">
        <f t="shared" si="103"/>
        <v>101960.61431842911</v>
      </c>
      <c r="K45" s="2">
        <f t="shared" si="104"/>
        <v>102066.66666666666</v>
      </c>
      <c r="W45" s="1">
        <f t="shared" si="34"/>
        <v>27</v>
      </c>
      <c r="X45" s="2">
        <f t="shared" si="0"/>
        <v>107119.89477499996</v>
      </c>
      <c r="Y45" s="8">
        <f t="shared" si="76"/>
        <v>3.9100000000000003E-2</v>
      </c>
      <c r="Z45" s="5">
        <f t="shared" si="35"/>
        <v>1000</v>
      </c>
      <c r="AA45" s="2">
        <f t="shared" si="36"/>
        <v>100000</v>
      </c>
      <c r="AB45" s="2">
        <f t="shared" si="37"/>
        <v>100000</v>
      </c>
      <c r="AC45" s="2">
        <f t="shared" si="38"/>
        <v>108993.60000000001</v>
      </c>
      <c r="AD45" s="8">
        <f t="shared" si="1"/>
        <v>4.3999999999999997E-2</v>
      </c>
      <c r="AE45" s="2">
        <f t="shared" si="2"/>
        <v>110192.52959999999</v>
      </c>
      <c r="AF45" s="2" t="str">
        <f t="shared" si="3"/>
        <v>nie</v>
      </c>
      <c r="AG45" s="2">
        <f t="shared" si="4"/>
        <v>1000</v>
      </c>
      <c r="AH45" s="1">
        <f t="shared" si="79"/>
        <v>0</v>
      </c>
      <c r="AI45" s="1">
        <f t="shared" si="111"/>
        <v>0</v>
      </c>
      <c r="AJ45" s="6"/>
      <c r="AK45" s="6"/>
      <c r="AL45" s="2">
        <f t="shared" si="90"/>
        <v>0</v>
      </c>
      <c r="AM45" s="8">
        <f t="shared" si="80"/>
        <v>4.3999999999999997E-2</v>
      </c>
      <c r="AN45" s="2">
        <f t="shared" si="91"/>
        <v>0</v>
      </c>
      <c r="AO45" s="2">
        <f t="shared" si="81"/>
        <v>0</v>
      </c>
      <c r="AP45" s="2">
        <f t="shared" si="119"/>
        <v>0</v>
      </c>
      <c r="AQ45" s="8">
        <f t="shared" si="112"/>
        <v>3.9100000000000003E-2</v>
      </c>
      <c r="AR45" s="2">
        <f t="shared" si="113"/>
        <v>0</v>
      </c>
      <c r="AS45" s="2">
        <f t="shared" si="114"/>
        <v>0</v>
      </c>
      <c r="AT45" s="2">
        <f t="shared" si="39"/>
        <v>0</v>
      </c>
      <c r="AU45" s="2">
        <f t="shared" si="92"/>
        <v>0</v>
      </c>
      <c r="AV45" s="2">
        <f t="shared" si="82"/>
        <v>0</v>
      </c>
      <c r="AW45" s="1">
        <f t="shared" si="77"/>
        <v>0</v>
      </c>
      <c r="AX45" s="2">
        <f t="shared" si="6"/>
        <v>0</v>
      </c>
      <c r="AY45" s="1">
        <f t="shared" si="83"/>
        <v>0</v>
      </c>
      <c r="AZ45" s="2">
        <f t="shared" si="40"/>
        <v>0</v>
      </c>
      <c r="BA45" s="2">
        <f t="shared" si="93"/>
        <v>110192.52959999999</v>
      </c>
      <c r="BB45" s="2">
        <f t="shared" si="9"/>
        <v>0</v>
      </c>
      <c r="BC45" s="2">
        <f t="shared" si="41"/>
        <v>174.38976000000002</v>
      </c>
      <c r="BD45" s="2">
        <f t="shared" si="10"/>
        <v>110018.13983999999</v>
      </c>
      <c r="BE45" s="2">
        <f t="shared" si="42"/>
        <v>1000</v>
      </c>
      <c r="BF45" s="2">
        <f t="shared" si="11"/>
        <v>1746.580623999999</v>
      </c>
      <c r="BG45" s="2">
        <f t="shared" si="12"/>
        <v>107271.55921599999</v>
      </c>
      <c r="BI45" s="8">
        <f t="shared" si="84"/>
        <v>3.1E-2</v>
      </c>
      <c r="BJ45" s="5">
        <f t="shared" si="43"/>
        <v>1000</v>
      </c>
      <c r="BK45" s="2">
        <f t="shared" si="44"/>
        <v>100000</v>
      </c>
      <c r="BL45" s="2">
        <f t="shared" si="45"/>
        <v>100000</v>
      </c>
      <c r="BM45" s="2">
        <f t="shared" si="13"/>
        <v>100000</v>
      </c>
      <c r="BN45" s="8">
        <f t="shared" si="14"/>
        <v>4.5999999999999999E-2</v>
      </c>
      <c r="BO45" s="2">
        <f t="shared" si="15"/>
        <v>101150</v>
      </c>
      <c r="BP45" s="2" t="str">
        <f t="shared" si="16"/>
        <v>nie</v>
      </c>
      <c r="BQ45" s="2">
        <f t="shared" si="17"/>
        <v>2000</v>
      </c>
      <c r="BR45" s="1">
        <f t="shared" si="85"/>
        <v>48</v>
      </c>
      <c r="BS45" s="1">
        <f t="shared" si="115"/>
        <v>47</v>
      </c>
      <c r="BT45" s="6"/>
      <c r="BU45" s="6"/>
      <c r="BV45" s="2">
        <f t="shared" si="94"/>
        <v>4800</v>
      </c>
      <c r="BW45" s="8">
        <f t="shared" si="86"/>
        <v>4.7500000000000001E-2</v>
      </c>
      <c r="BX45" s="2">
        <f t="shared" si="95"/>
        <v>4857</v>
      </c>
      <c r="BY45" s="2">
        <f t="shared" si="87"/>
        <v>57</v>
      </c>
      <c r="BZ45" s="2">
        <f t="shared" si="120"/>
        <v>4700</v>
      </c>
      <c r="CA45" s="8">
        <f t="shared" si="116"/>
        <v>4.5999999999999999E-2</v>
      </c>
      <c r="CB45" s="2">
        <f t="shared" si="117"/>
        <v>4754.05</v>
      </c>
      <c r="CC45" s="2">
        <f t="shared" si="118"/>
        <v>94</v>
      </c>
      <c r="CD45" s="2">
        <f t="shared" si="18"/>
        <v>0</v>
      </c>
      <c r="CE45" s="2">
        <f t="shared" si="96"/>
        <v>0</v>
      </c>
      <c r="CF45" s="2">
        <f t="shared" si="97"/>
        <v>73.250000000015461</v>
      </c>
      <c r="CG45" s="1">
        <f t="shared" si="78"/>
        <v>0</v>
      </c>
      <c r="CH45" s="2">
        <f t="shared" si="20"/>
        <v>73.250000000015461</v>
      </c>
      <c r="CI45" s="1">
        <f t="shared" si="89"/>
        <v>0</v>
      </c>
      <c r="CJ45" s="2">
        <f t="shared" si="98"/>
        <v>73.250000000015461</v>
      </c>
      <c r="CK45" s="2">
        <f t="shared" si="99"/>
        <v>110834.30000000002</v>
      </c>
      <c r="CL45" s="2">
        <f t="shared" si="23"/>
        <v>0</v>
      </c>
      <c r="CM45" s="2">
        <f t="shared" si="47"/>
        <v>175.31720000000004</v>
      </c>
      <c r="CN45" s="2">
        <f t="shared" si="24"/>
        <v>110658.98280000001</v>
      </c>
      <c r="CO45" s="2">
        <f t="shared" si="48"/>
        <v>2151</v>
      </c>
      <c r="CP45" s="2">
        <f t="shared" si="25"/>
        <v>1649.8270000000034</v>
      </c>
      <c r="CQ45" s="2">
        <f t="shared" si="26"/>
        <v>106858.15580000001</v>
      </c>
      <c r="CS45" s="5">
        <f t="shared" si="49"/>
        <v>1000</v>
      </c>
      <c r="CT45" s="2">
        <f t="shared" si="50"/>
        <v>100000</v>
      </c>
      <c r="CU45" s="2">
        <f t="shared" si="51"/>
        <v>100000</v>
      </c>
      <c r="CV45" s="2">
        <f t="shared" si="52"/>
        <v>110722.85</v>
      </c>
      <c r="CW45" s="8">
        <f t="shared" si="27"/>
        <v>5.1000000000000004E-2</v>
      </c>
      <c r="CX45" s="2">
        <f t="shared" si="28"/>
        <v>112134.56633750001</v>
      </c>
      <c r="CY45" s="2" t="str">
        <f t="shared" si="29"/>
        <v>nie</v>
      </c>
      <c r="CZ45" s="2">
        <f t="shared" si="53"/>
        <v>0</v>
      </c>
      <c r="DA45" s="2">
        <f t="shared" si="54"/>
        <v>0</v>
      </c>
      <c r="DB45" s="2">
        <f t="shared" si="55"/>
        <v>112134.56633750001</v>
      </c>
      <c r="DC45" s="2">
        <f t="shared" si="30"/>
        <v>0</v>
      </c>
      <c r="DD45" s="2">
        <f t="shared" si="56"/>
        <v>177.15656000000001</v>
      </c>
      <c r="DE45" s="2">
        <f t="shared" si="57"/>
        <v>111957.40977750001</v>
      </c>
      <c r="DF45" s="2">
        <f t="shared" si="32"/>
        <v>3000</v>
      </c>
      <c r="DG45" s="2">
        <f t="shared" si="33"/>
        <v>1735.5676041250028</v>
      </c>
      <c r="DH45" s="2">
        <f t="shared" si="58"/>
        <v>107221.84217337501</v>
      </c>
    </row>
    <row r="46" spans="2:112">
      <c r="B46" s="232"/>
      <c r="C46" s="1">
        <f t="shared" si="102"/>
        <v>9</v>
      </c>
      <c r="D46" s="2">
        <f t="shared" si="105"/>
        <v>103299.99999999999</v>
      </c>
      <c r="E46" s="2">
        <f t="shared" si="106"/>
        <v>101862.99999999999</v>
      </c>
      <c r="F46" s="2">
        <f t="shared" si="107"/>
        <v>103562.5</v>
      </c>
      <c r="G46" s="2">
        <f t="shared" si="108"/>
        <v>101265.625</v>
      </c>
      <c r="H46" s="2">
        <f t="shared" si="109"/>
        <v>104012.5</v>
      </c>
      <c r="I46" s="2">
        <f t="shared" si="110"/>
        <v>100820.125</v>
      </c>
      <c r="J46" s="2">
        <f t="shared" si="103"/>
        <v>102208.37861122288</v>
      </c>
      <c r="K46" s="2">
        <f t="shared" si="104"/>
        <v>102325</v>
      </c>
      <c r="W46" s="1">
        <f t="shared" si="34"/>
        <v>28</v>
      </c>
      <c r="X46" s="2">
        <f t="shared" si="0"/>
        <v>107394.4930333333</v>
      </c>
      <c r="Y46" s="8">
        <f t="shared" si="76"/>
        <v>3.9100000000000003E-2</v>
      </c>
      <c r="Z46" s="5">
        <f t="shared" si="35"/>
        <v>1000</v>
      </c>
      <c r="AA46" s="2">
        <f t="shared" si="36"/>
        <v>100000</v>
      </c>
      <c r="AB46" s="2">
        <f t="shared" si="37"/>
        <v>100000</v>
      </c>
      <c r="AC46" s="2">
        <f t="shared" si="38"/>
        <v>108993.60000000001</v>
      </c>
      <c r="AD46" s="8">
        <f t="shared" si="1"/>
        <v>4.3999999999999997E-2</v>
      </c>
      <c r="AE46" s="2">
        <f t="shared" si="2"/>
        <v>110592.1728</v>
      </c>
      <c r="AF46" s="2" t="str">
        <f t="shared" si="3"/>
        <v>nie</v>
      </c>
      <c r="AG46" s="2">
        <f t="shared" si="4"/>
        <v>1000</v>
      </c>
      <c r="AH46" s="1">
        <f t="shared" si="79"/>
        <v>0</v>
      </c>
      <c r="AI46" s="1">
        <f t="shared" si="111"/>
        <v>0</v>
      </c>
      <c r="AJ46" s="6"/>
      <c r="AK46" s="6"/>
      <c r="AL46" s="2">
        <f t="shared" si="90"/>
        <v>0</v>
      </c>
      <c r="AM46" s="8">
        <f t="shared" si="80"/>
        <v>4.3999999999999997E-2</v>
      </c>
      <c r="AN46" s="2">
        <f t="shared" si="91"/>
        <v>0</v>
      </c>
      <c r="AO46" s="2">
        <f t="shared" si="81"/>
        <v>0</v>
      </c>
      <c r="AP46" s="2">
        <f t="shared" si="119"/>
        <v>0</v>
      </c>
      <c r="AQ46" s="8">
        <f t="shared" si="112"/>
        <v>3.9100000000000003E-2</v>
      </c>
      <c r="AR46" s="2">
        <f t="shared" si="113"/>
        <v>0</v>
      </c>
      <c r="AS46" s="2">
        <f t="shared" si="114"/>
        <v>0</v>
      </c>
      <c r="AT46" s="2">
        <f t="shared" si="39"/>
        <v>0</v>
      </c>
      <c r="AU46" s="2">
        <f t="shared" si="92"/>
        <v>0</v>
      </c>
      <c r="AV46" s="2">
        <f t="shared" si="82"/>
        <v>0</v>
      </c>
      <c r="AW46" s="1">
        <f t="shared" si="77"/>
        <v>0</v>
      </c>
      <c r="AX46" s="2">
        <f t="shared" si="6"/>
        <v>0</v>
      </c>
      <c r="AY46" s="1">
        <f t="shared" si="83"/>
        <v>0</v>
      </c>
      <c r="AZ46" s="2">
        <f t="shared" si="40"/>
        <v>0</v>
      </c>
      <c r="BA46" s="2">
        <f t="shared" si="93"/>
        <v>110592.1728</v>
      </c>
      <c r="BB46" s="2">
        <f t="shared" si="9"/>
        <v>0</v>
      </c>
      <c r="BC46" s="2">
        <f t="shared" si="41"/>
        <v>174.38976000000002</v>
      </c>
      <c r="BD46" s="2">
        <f t="shared" si="10"/>
        <v>110417.78303999999</v>
      </c>
      <c r="BE46" s="2">
        <f t="shared" si="42"/>
        <v>1000</v>
      </c>
      <c r="BF46" s="2">
        <f t="shared" si="11"/>
        <v>1822.5128320000001</v>
      </c>
      <c r="BG46" s="2">
        <f t="shared" si="12"/>
        <v>107595.270208</v>
      </c>
      <c r="BI46" s="8">
        <f t="shared" si="84"/>
        <v>3.1E-2</v>
      </c>
      <c r="BJ46" s="5">
        <f t="shared" si="43"/>
        <v>1000</v>
      </c>
      <c r="BK46" s="2">
        <f t="shared" si="44"/>
        <v>100000</v>
      </c>
      <c r="BL46" s="2">
        <f t="shared" si="45"/>
        <v>100000</v>
      </c>
      <c r="BM46" s="2">
        <f t="shared" si="13"/>
        <v>100000</v>
      </c>
      <c r="BN46" s="8">
        <f t="shared" si="14"/>
        <v>4.5999999999999999E-2</v>
      </c>
      <c r="BO46" s="2">
        <f t="shared" si="15"/>
        <v>101533.33333333334</v>
      </c>
      <c r="BP46" s="2" t="str">
        <f t="shared" si="16"/>
        <v>nie</v>
      </c>
      <c r="BQ46" s="2">
        <f t="shared" si="17"/>
        <v>2000</v>
      </c>
      <c r="BR46" s="1">
        <f t="shared" si="85"/>
        <v>48</v>
      </c>
      <c r="BS46" s="1">
        <f t="shared" si="115"/>
        <v>47</v>
      </c>
      <c r="BT46" s="6"/>
      <c r="BU46" s="6"/>
      <c r="BV46" s="2">
        <f t="shared" si="94"/>
        <v>4800</v>
      </c>
      <c r="BW46" s="8">
        <f t="shared" si="86"/>
        <v>4.7500000000000001E-2</v>
      </c>
      <c r="BX46" s="2">
        <f t="shared" si="95"/>
        <v>4876</v>
      </c>
      <c r="BY46" s="2">
        <f t="shared" si="87"/>
        <v>76</v>
      </c>
      <c r="BZ46" s="2">
        <f t="shared" si="120"/>
        <v>4700</v>
      </c>
      <c r="CA46" s="8">
        <f t="shared" si="116"/>
        <v>4.5999999999999999E-2</v>
      </c>
      <c r="CB46" s="2">
        <f t="shared" si="117"/>
        <v>4772.0666666666675</v>
      </c>
      <c r="CC46" s="2">
        <f t="shared" si="118"/>
        <v>94</v>
      </c>
      <c r="CD46" s="2">
        <f t="shared" si="18"/>
        <v>0</v>
      </c>
      <c r="CE46" s="2">
        <f t="shared" si="96"/>
        <v>0</v>
      </c>
      <c r="CF46" s="2">
        <f t="shared" si="97"/>
        <v>73.250000000015461</v>
      </c>
      <c r="CG46" s="1">
        <f t="shared" si="78"/>
        <v>0</v>
      </c>
      <c r="CH46" s="2">
        <f t="shared" si="20"/>
        <v>73.250000000015461</v>
      </c>
      <c r="CI46" s="1">
        <f t="shared" si="89"/>
        <v>0</v>
      </c>
      <c r="CJ46" s="2">
        <f t="shared" si="98"/>
        <v>73.250000000015461</v>
      </c>
      <c r="CK46" s="2">
        <f t="shared" si="99"/>
        <v>111254.65000000002</v>
      </c>
      <c r="CL46" s="2">
        <f t="shared" si="23"/>
        <v>0</v>
      </c>
      <c r="CM46" s="2">
        <f t="shared" si="47"/>
        <v>175.31720000000004</v>
      </c>
      <c r="CN46" s="2">
        <f t="shared" si="24"/>
        <v>111079.33280000002</v>
      </c>
      <c r="CO46" s="2">
        <f t="shared" si="48"/>
        <v>2170</v>
      </c>
      <c r="CP46" s="2">
        <f t="shared" si="25"/>
        <v>1726.0835000000045</v>
      </c>
      <c r="CQ46" s="2">
        <f t="shared" si="26"/>
        <v>107183.24930000001</v>
      </c>
      <c r="CS46" s="5">
        <f t="shared" si="49"/>
        <v>1000</v>
      </c>
      <c r="CT46" s="2">
        <f t="shared" si="50"/>
        <v>100000</v>
      </c>
      <c r="CU46" s="2">
        <f t="shared" si="51"/>
        <v>100000</v>
      </c>
      <c r="CV46" s="2">
        <f t="shared" si="52"/>
        <v>110722.85</v>
      </c>
      <c r="CW46" s="8">
        <f t="shared" si="27"/>
        <v>5.1000000000000004E-2</v>
      </c>
      <c r="CX46" s="2">
        <f t="shared" si="28"/>
        <v>112605.13845</v>
      </c>
      <c r="CY46" s="2" t="str">
        <f t="shared" si="29"/>
        <v>nie</v>
      </c>
      <c r="CZ46" s="2">
        <f t="shared" si="53"/>
        <v>0</v>
      </c>
      <c r="DA46" s="2">
        <f t="shared" si="54"/>
        <v>0</v>
      </c>
      <c r="DB46" s="2">
        <f t="shared" si="55"/>
        <v>112605.13845</v>
      </c>
      <c r="DC46" s="2">
        <f t="shared" si="30"/>
        <v>0</v>
      </c>
      <c r="DD46" s="2">
        <f t="shared" si="56"/>
        <v>177.15656000000001</v>
      </c>
      <c r="DE46" s="2">
        <f t="shared" si="57"/>
        <v>112427.98189</v>
      </c>
      <c r="DF46" s="2">
        <f t="shared" si="32"/>
        <v>3000</v>
      </c>
      <c r="DG46" s="2">
        <f t="shared" si="33"/>
        <v>1824.9763054999999</v>
      </c>
      <c r="DH46" s="2">
        <f t="shared" si="58"/>
        <v>107603.0055845</v>
      </c>
    </row>
    <row r="47" spans="2:112">
      <c r="B47" s="232"/>
      <c r="C47" s="1">
        <f t="shared" si="102"/>
        <v>10</v>
      </c>
      <c r="D47" s="2">
        <f t="shared" si="105"/>
        <v>103666.66666666666</v>
      </c>
      <c r="E47" s="2">
        <f t="shared" si="106"/>
        <v>102159.99999999999</v>
      </c>
      <c r="F47" s="2">
        <f t="shared" si="107"/>
        <v>103958.33333333333</v>
      </c>
      <c r="G47" s="2">
        <f t="shared" si="108"/>
        <v>101586.25</v>
      </c>
      <c r="H47" s="2">
        <f t="shared" si="109"/>
        <v>104458.33333333334</v>
      </c>
      <c r="I47" s="2">
        <f t="shared" si="110"/>
        <v>101181.25000000001</v>
      </c>
      <c r="J47" s="2">
        <f t="shared" si="103"/>
        <v>102456.74497124815</v>
      </c>
      <c r="K47" s="2">
        <f t="shared" si="104"/>
        <v>102583.33333333334</v>
      </c>
      <c r="W47" s="1">
        <f t="shared" si="34"/>
        <v>29</v>
      </c>
      <c r="X47" s="2">
        <f t="shared" si="0"/>
        <v>107669.09129166664</v>
      </c>
      <c r="Y47" s="8">
        <f t="shared" si="76"/>
        <v>3.9100000000000003E-2</v>
      </c>
      <c r="Z47" s="5">
        <f t="shared" si="35"/>
        <v>1000</v>
      </c>
      <c r="AA47" s="2">
        <f t="shared" si="36"/>
        <v>100000</v>
      </c>
      <c r="AB47" s="2">
        <f t="shared" si="37"/>
        <v>100000</v>
      </c>
      <c r="AC47" s="2">
        <f t="shared" si="38"/>
        <v>108993.60000000001</v>
      </c>
      <c r="AD47" s="8">
        <f t="shared" si="1"/>
        <v>4.3999999999999997E-2</v>
      </c>
      <c r="AE47" s="2">
        <f t="shared" si="2"/>
        <v>110991.81600000001</v>
      </c>
      <c r="AF47" s="2" t="str">
        <f t="shared" si="3"/>
        <v>nie</v>
      </c>
      <c r="AG47" s="2">
        <f t="shared" si="4"/>
        <v>1000</v>
      </c>
      <c r="AH47" s="1">
        <f t="shared" si="79"/>
        <v>0</v>
      </c>
      <c r="AI47" s="1">
        <f t="shared" si="111"/>
        <v>0</v>
      </c>
      <c r="AJ47" s="6"/>
      <c r="AK47" s="6"/>
      <c r="AL47" s="2">
        <f t="shared" si="90"/>
        <v>0</v>
      </c>
      <c r="AM47" s="8">
        <f t="shared" si="80"/>
        <v>4.3999999999999997E-2</v>
      </c>
      <c r="AN47" s="2">
        <f t="shared" si="91"/>
        <v>0</v>
      </c>
      <c r="AO47" s="2">
        <f t="shared" si="81"/>
        <v>0</v>
      </c>
      <c r="AP47" s="2">
        <f t="shared" si="119"/>
        <v>0</v>
      </c>
      <c r="AQ47" s="8">
        <f t="shared" si="112"/>
        <v>3.9100000000000003E-2</v>
      </c>
      <c r="AR47" s="2">
        <f t="shared" si="113"/>
        <v>0</v>
      </c>
      <c r="AS47" s="2">
        <f t="shared" si="114"/>
        <v>0</v>
      </c>
      <c r="AT47" s="2">
        <f t="shared" si="39"/>
        <v>0</v>
      </c>
      <c r="AU47" s="2">
        <f t="shared" si="92"/>
        <v>0</v>
      </c>
      <c r="AV47" s="2">
        <f t="shared" si="82"/>
        <v>0</v>
      </c>
      <c r="AW47" s="1">
        <f t="shared" si="77"/>
        <v>0</v>
      </c>
      <c r="AX47" s="2">
        <f t="shared" si="6"/>
        <v>0</v>
      </c>
      <c r="AY47" s="1">
        <f t="shared" si="83"/>
        <v>0</v>
      </c>
      <c r="AZ47" s="2">
        <f t="shared" si="40"/>
        <v>0</v>
      </c>
      <c r="BA47" s="2">
        <f t="shared" si="93"/>
        <v>110991.81600000001</v>
      </c>
      <c r="BB47" s="2">
        <f t="shared" si="9"/>
        <v>0</v>
      </c>
      <c r="BC47" s="2">
        <f t="shared" si="41"/>
        <v>174.38976000000002</v>
      </c>
      <c r="BD47" s="2">
        <f t="shared" si="10"/>
        <v>110817.42624</v>
      </c>
      <c r="BE47" s="2">
        <f t="shared" si="42"/>
        <v>1000</v>
      </c>
      <c r="BF47" s="2">
        <f t="shared" si="11"/>
        <v>1898.4450400000012</v>
      </c>
      <c r="BG47" s="2">
        <f t="shared" si="12"/>
        <v>107918.98119999999</v>
      </c>
      <c r="BI47" s="8">
        <f t="shared" si="84"/>
        <v>3.1E-2</v>
      </c>
      <c r="BJ47" s="5">
        <f t="shared" si="43"/>
        <v>1000</v>
      </c>
      <c r="BK47" s="2">
        <f t="shared" si="44"/>
        <v>100000</v>
      </c>
      <c r="BL47" s="2">
        <f t="shared" si="45"/>
        <v>100000</v>
      </c>
      <c r="BM47" s="2">
        <f t="shared" si="13"/>
        <v>100000</v>
      </c>
      <c r="BN47" s="8">
        <f t="shared" si="14"/>
        <v>4.5999999999999999E-2</v>
      </c>
      <c r="BO47" s="2">
        <f t="shared" si="15"/>
        <v>101916.66666666666</v>
      </c>
      <c r="BP47" s="2" t="str">
        <f t="shared" si="16"/>
        <v>nie</v>
      </c>
      <c r="BQ47" s="2">
        <f t="shared" si="17"/>
        <v>2000</v>
      </c>
      <c r="BR47" s="1">
        <f t="shared" si="85"/>
        <v>48</v>
      </c>
      <c r="BS47" s="1">
        <f t="shared" si="115"/>
        <v>47</v>
      </c>
      <c r="BT47" s="6"/>
      <c r="BU47" s="6"/>
      <c r="BV47" s="2">
        <f t="shared" si="94"/>
        <v>4800</v>
      </c>
      <c r="BW47" s="8">
        <f t="shared" si="86"/>
        <v>4.7500000000000001E-2</v>
      </c>
      <c r="BX47" s="2">
        <f t="shared" si="95"/>
        <v>4895</v>
      </c>
      <c r="BY47" s="2">
        <f t="shared" si="87"/>
        <v>95</v>
      </c>
      <c r="BZ47" s="2">
        <f t="shared" si="120"/>
        <v>4700</v>
      </c>
      <c r="CA47" s="8">
        <f t="shared" si="116"/>
        <v>4.5999999999999999E-2</v>
      </c>
      <c r="CB47" s="2">
        <f t="shared" si="117"/>
        <v>4790.083333333333</v>
      </c>
      <c r="CC47" s="2">
        <f t="shared" si="118"/>
        <v>94</v>
      </c>
      <c r="CD47" s="2">
        <f t="shared" si="18"/>
        <v>0</v>
      </c>
      <c r="CE47" s="2">
        <f t="shared" si="96"/>
        <v>0</v>
      </c>
      <c r="CF47" s="2">
        <f t="shared" si="97"/>
        <v>73.250000000015461</v>
      </c>
      <c r="CG47" s="1">
        <f t="shared" si="78"/>
        <v>0</v>
      </c>
      <c r="CH47" s="2">
        <f t="shared" si="20"/>
        <v>73.250000000015461</v>
      </c>
      <c r="CI47" s="1">
        <f t="shared" si="89"/>
        <v>0</v>
      </c>
      <c r="CJ47" s="2">
        <f t="shared" si="98"/>
        <v>73.250000000015461</v>
      </c>
      <c r="CK47" s="2">
        <f t="shared" si="99"/>
        <v>111675</v>
      </c>
      <c r="CL47" s="2">
        <f t="shared" si="23"/>
        <v>0</v>
      </c>
      <c r="CM47" s="2">
        <f t="shared" si="47"/>
        <v>175.31720000000004</v>
      </c>
      <c r="CN47" s="2">
        <f t="shared" si="24"/>
        <v>111499.6828</v>
      </c>
      <c r="CO47" s="2">
        <f t="shared" si="48"/>
        <v>2189</v>
      </c>
      <c r="CP47" s="2">
        <f t="shared" si="25"/>
        <v>1802.34</v>
      </c>
      <c r="CQ47" s="2">
        <f t="shared" si="26"/>
        <v>107508.3428</v>
      </c>
      <c r="CS47" s="5">
        <f t="shared" si="49"/>
        <v>1000</v>
      </c>
      <c r="CT47" s="2">
        <f t="shared" si="50"/>
        <v>100000</v>
      </c>
      <c r="CU47" s="2">
        <f t="shared" si="51"/>
        <v>100000</v>
      </c>
      <c r="CV47" s="2">
        <f t="shared" si="52"/>
        <v>110722.85</v>
      </c>
      <c r="CW47" s="8">
        <f t="shared" si="27"/>
        <v>5.1000000000000004E-2</v>
      </c>
      <c r="CX47" s="2">
        <f t="shared" si="28"/>
        <v>113075.71056250001</v>
      </c>
      <c r="CY47" s="2" t="str">
        <f t="shared" si="29"/>
        <v>nie</v>
      </c>
      <c r="CZ47" s="2">
        <f t="shared" si="53"/>
        <v>0</v>
      </c>
      <c r="DA47" s="2">
        <f t="shared" si="54"/>
        <v>0</v>
      </c>
      <c r="DB47" s="2">
        <f t="shared" si="55"/>
        <v>113075.71056250001</v>
      </c>
      <c r="DC47" s="2">
        <f t="shared" si="30"/>
        <v>0</v>
      </c>
      <c r="DD47" s="2">
        <f t="shared" si="56"/>
        <v>177.15656000000001</v>
      </c>
      <c r="DE47" s="2">
        <f t="shared" si="57"/>
        <v>112898.55400250001</v>
      </c>
      <c r="DF47" s="2">
        <f t="shared" si="32"/>
        <v>3000</v>
      </c>
      <c r="DG47" s="2">
        <f t="shared" si="33"/>
        <v>1914.3850068750021</v>
      </c>
      <c r="DH47" s="2">
        <f t="shared" si="58"/>
        <v>107984.168995625</v>
      </c>
    </row>
    <row r="48" spans="2:112">
      <c r="B48" s="233"/>
      <c r="C48" s="1">
        <f t="shared" si="102"/>
        <v>11</v>
      </c>
      <c r="D48" s="2">
        <f t="shared" si="105"/>
        <v>104033.33333333333</v>
      </c>
      <c r="E48" s="2">
        <f t="shared" si="106"/>
        <v>102457</v>
      </c>
      <c r="F48" s="2">
        <f t="shared" si="107"/>
        <v>104354.16666666666</v>
      </c>
      <c r="G48" s="2">
        <f t="shared" si="108"/>
        <v>101906.87499999999</v>
      </c>
      <c r="H48" s="2">
        <f t="shared" si="109"/>
        <v>104904.16666666667</v>
      </c>
      <c r="I48" s="2">
        <f t="shared" si="110"/>
        <v>101542.375</v>
      </c>
      <c r="J48" s="2">
        <f t="shared" si="103"/>
        <v>102705.71486152828</v>
      </c>
      <c r="K48" s="2">
        <f t="shared" si="104"/>
        <v>102841.66666666667</v>
      </c>
      <c r="W48" s="1">
        <f t="shared" si="34"/>
        <v>30</v>
      </c>
      <c r="X48" s="2">
        <f t="shared" si="0"/>
        <v>107943.68954999998</v>
      </c>
      <c r="Y48" s="8">
        <f t="shared" si="76"/>
        <v>3.9100000000000003E-2</v>
      </c>
      <c r="Z48" s="5">
        <f t="shared" si="35"/>
        <v>1000</v>
      </c>
      <c r="AA48" s="2">
        <f t="shared" si="36"/>
        <v>100000</v>
      </c>
      <c r="AB48" s="2">
        <f t="shared" si="37"/>
        <v>100000</v>
      </c>
      <c r="AC48" s="2">
        <f t="shared" si="38"/>
        <v>108993.60000000001</v>
      </c>
      <c r="AD48" s="8">
        <f t="shared" si="1"/>
        <v>4.3999999999999997E-2</v>
      </c>
      <c r="AE48" s="2">
        <f t="shared" si="2"/>
        <v>111391.45920000001</v>
      </c>
      <c r="AF48" s="2" t="str">
        <f t="shared" si="3"/>
        <v>nie</v>
      </c>
      <c r="AG48" s="2">
        <f t="shared" si="4"/>
        <v>1000</v>
      </c>
      <c r="AH48" s="1">
        <f t="shared" si="79"/>
        <v>0</v>
      </c>
      <c r="AI48" s="1">
        <f t="shared" si="111"/>
        <v>0</v>
      </c>
      <c r="AJ48" s="6"/>
      <c r="AK48" s="6"/>
      <c r="AL48" s="2">
        <f t="shared" si="90"/>
        <v>0</v>
      </c>
      <c r="AM48" s="8">
        <f t="shared" si="80"/>
        <v>4.3999999999999997E-2</v>
      </c>
      <c r="AN48" s="2">
        <f t="shared" si="91"/>
        <v>0</v>
      </c>
      <c r="AO48" s="2">
        <f t="shared" si="81"/>
        <v>0</v>
      </c>
      <c r="AP48" s="2">
        <f t="shared" si="119"/>
        <v>0</v>
      </c>
      <c r="AQ48" s="8">
        <f t="shared" si="112"/>
        <v>3.9100000000000003E-2</v>
      </c>
      <c r="AR48" s="2">
        <f t="shared" si="113"/>
        <v>0</v>
      </c>
      <c r="AS48" s="2">
        <f t="shared" si="114"/>
        <v>0</v>
      </c>
      <c r="AT48" s="2">
        <f t="shared" si="39"/>
        <v>0</v>
      </c>
      <c r="AU48" s="2">
        <f t="shared" si="92"/>
        <v>0</v>
      </c>
      <c r="AV48" s="2">
        <f t="shared" si="82"/>
        <v>0</v>
      </c>
      <c r="AW48" s="1">
        <f t="shared" si="77"/>
        <v>0</v>
      </c>
      <c r="AX48" s="2">
        <f t="shared" si="6"/>
        <v>0</v>
      </c>
      <c r="AY48" s="1">
        <f t="shared" si="83"/>
        <v>0</v>
      </c>
      <c r="AZ48" s="2">
        <f t="shared" si="40"/>
        <v>0</v>
      </c>
      <c r="BA48" s="2">
        <f t="shared" si="93"/>
        <v>111391.45920000001</v>
      </c>
      <c r="BB48" s="2">
        <f t="shared" si="9"/>
        <v>0</v>
      </c>
      <c r="BC48" s="2">
        <f t="shared" si="41"/>
        <v>174.38976000000002</v>
      </c>
      <c r="BD48" s="2">
        <f t="shared" si="10"/>
        <v>111217.06944000001</v>
      </c>
      <c r="BE48" s="2">
        <f t="shared" si="42"/>
        <v>1000</v>
      </c>
      <c r="BF48" s="2">
        <f t="shared" si="11"/>
        <v>1974.3772480000023</v>
      </c>
      <c r="BG48" s="2">
        <f t="shared" si="12"/>
        <v>108242.692192</v>
      </c>
      <c r="BI48" s="8">
        <f t="shared" si="84"/>
        <v>3.1E-2</v>
      </c>
      <c r="BJ48" s="5">
        <f t="shared" si="43"/>
        <v>1000</v>
      </c>
      <c r="BK48" s="2">
        <f t="shared" si="44"/>
        <v>100000</v>
      </c>
      <c r="BL48" s="2">
        <f t="shared" si="45"/>
        <v>100000</v>
      </c>
      <c r="BM48" s="2">
        <f t="shared" si="13"/>
        <v>100000</v>
      </c>
      <c r="BN48" s="8">
        <f t="shared" si="14"/>
        <v>4.5999999999999999E-2</v>
      </c>
      <c r="BO48" s="2">
        <f t="shared" si="15"/>
        <v>102299.99999999999</v>
      </c>
      <c r="BP48" s="2" t="str">
        <f t="shared" si="16"/>
        <v>nie</v>
      </c>
      <c r="BQ48" s="2">
        <f t="shared" si="17"/>
        <v>2000</v>
      </c>
      <c r="BR48" s="1">
        <f t="shared" si="85"/>
        <v>48</v>
      </c>
      <c r="BS48" s="1">
        <f t="shared" si="115"/>
        <v>47</v>
      </c>
      <c r="BT48" s="6"/>
      <c r="BU48" s="6"/>
      <c r="BV48" s="2">
        <f t="shared" si="94"/>
        <v>4800</v>
      </c>
      <c r="BW48" s="8">
        <f t="shared" si="86"/>
        <v>4.7500000000000001E-2</v>
      </c>
      <c r="BX48" s="2">
        <f t="shared" si="95"/>
        <v>4914</v>
      </c>
      <c r="BY48" s="2">
        <f t="shared" si="87"/>
        <v>96</v>
      </c>
      <c r="BZ48" s="2">
        <f t="shared" si="120"/>
        <v>4700</v>
      </c>
      <c r="CA48" s="8">
        <f t="shared" si="116"/>
        <v>4.5999999999999999E-2</v>
      </c>
      <c r="CB48" s="2">
        <f t="shared" si="117"/>
        <v>4808.0999999999995</v>
      </c>
      <c r="CC48" s="2">
        <f t="shared" si="118"/>
        <v>94</v>
      </c>
      <c r="CD48" s="2">
        <f t="shared" si="18"/>
        <v>0</v>
      </c>
      <c r="CE48" s="2">
        <f t="shared" si="96"/>
        <v>0</v>
      </c>
      <c r="CF48" s="2">
        <f t="shared" si="97"/>
        <v>73.250000000015461</v>
      </c>
      <c r="CG48" s="1">
        <f t="shared" si="78"/>
        <v>0</v>
      </c>
      <c r="CH48" s="2">
        <f t="shared" si="20"/>
        <v>73.250000000015461</v>
      </c>
      <c r="CI48" s="1">
        <f t="shared" si="89"/>
        <v>0</v>
      </c>
      <c r="CJ48" s="2">
        <f t="shared" si="98"/>
        <v>73.250000000015461</v>
      </c>
      <c r="CK48" s="2">
        <f t="shared" si="99"/>
        <v>112095.35</v>
      </c>
      <c r="CL48" s="2">
        <f t="shared" si="23"/>
        <v>0</v>
      </c>
      <c r="CM48" s="2">
        <f t="shared" si="47"/>
        <v>175.31720000000004</v>
      </c>
      <c r="CN48" s="2">
        <f t="shared" si="24"/>
        <v>111920.0328</v>
      </c>
      <c r="CO48" s="2">
        <f t="shared" si="48"/>
        <v>2190</v>
      </c>
      <c r="CP48" s="2">
        <f t="shared" si="25"/>
        <v>1882.0165000000011</v>
      </c>
      <c r="CQ48" s="2">
        <f t="shared" si="26"/>
        <v>107848.0163</v>
      </c>
      <c r="CS48" s="5">
        <f t="shared" si="49"/>
        <v>1000</v>
      </c>
      <c r="CT48" s="2">
        <f t="shared" si="50"/>
        <v>100000</v>
      </c>
      <c r="CU48" s="2">
        <f t="shared" si="51"/>
        <v>100000</v>
      </c>
      <c r="CV48" s="2">
        <f t="shared" si="52"/>
        <v>110722.85</v>
      </c>
      <c r="CW48" s="8">
        <f t="shared" si="27"/>
        <v>5.1000000000000004E-2</v>
      </c>
      <c r="CX48" s="2">
        <f t="shared" si="28"/>
        <v>113546.28267500001</v>
      </c>
      <c r="CY48" s="2" t="str">
        <f t="shared" si="29"/>
        <v>nie</v>
      </c>
      <c r="CZ48" s="2">
        <f t="shared" si="53"/>
        <v>0</v>
      </c>
      <c r="DA48" s="2">
        <f t="shared" si="54"/>
        <v>0</v>
      </c>
      <c r="DB48" s="2">
        <f t="shared" si="55"/>
        <v>113546.28267500001</v>
      </c>
      <c r="DC48" s="2">
        <f t="shared" si="30"/>
        <v>0</v>
      </c>
      <c r="DD48" s="2">
        <f t="shared" si="56"/>
        <v>177.15656000000001</v>
      </c>
      <c r="DE48" s="2">
        <f t="shared" si="57"/>
        <v>113369.12611500001</v>
      </c>
      <c r="DF48" s="2">
        <f t="shared" si="32"/>
        <v>3000</v>
      </c>
      <c r="DG48" s="2">
        <f t="shared" si="33"/>
        <v>2003.7937082500018</v>
      </c>
      <c r="DH48" s="2">
        <f t="shared" si="58"/>
        <v>108365.33240675001</v>
      </c>
    </row>
    <row r="49" spans="2:112">
      <c r="B49" s="231">
        <f>ROUNDUP(C50/12,0)</f>
        <v>2</v>
      </c>
      <c r="C49" s="3">
        <f t="shared" si="102"/>
        <v>12</v>
      </c>
      <c r="D49" s="10">
        <f t="shared" si="105"/>
        <v>104400</v>
      </c>
      <c r="E49" s="10">
        <f t="shared" si="106"/>
        <v>102754</v>
      </c>
      <c r="F49" s="10">
        <f t="shared" si="107"/>
        <v>104750.00000000001</v>
      </c>
      <c r="G49" s="10">
        <f t="shared" si="108"/>
        <v>102227.50000000001</v>
      </c>
      <c r="H49" s="10">
        <f t="shared" si="109"/>
        <v>105350.00000000001</v>
      </c>
      <c r="I49" s="10">
        <f t="shared" si="110"/>
        <v>101903.50000000001</v>
      </c>
      <c r="J49" s="10">
        <f t="shared" si="103"/>
        <v>102955.28974864178</v>
      </c>
      <c r="K49" s="10">
        <f t="shared" si="104"/>
        <v>103099.99999999999</v>
      </c>
      <c r="W49" s="1">
        <f t="shared" si="34"/>
        <v>31</v>
      </c>
      <c r="X49" s="2">
        <f t="shared" si="0"/>
        <v>108218.28780833331</v>
      </c>
      <c r="Y49" s="8">
        <f t="shared" si="76"/>
        <v>3.9100000000000003E-2</v>
      </c>
      <c r="Z49" s="5">
        <f t="shared" si="35"/>
        <v>1000</v>
      </c>
      <c r="AA49" s="2">
        <f t="shared" si="36"/>
        <v>100000</v>
      </c>
      <c r="AB49" s="2">
        <f t="shared" si="37"/>
        <v>100000</v>
      </c>
      <c r="AC49" s="2">
        <f t="shared" si="38"/>
        <v>108993.60000000001</v>
      </c>
      <c r="AD49" s="8">
        <f t="shared" si="1"/>
        <v>4.3999999999999997E-2</v>
      </c>
      <c r="AE49" s="2">
        <f t="shared" si="2"/>
        <v>111791.10240000002</v>
      </c>
      <c r="AF49" s="2" t="str">
        <f t="shared" si="3"/>
        <v>nie</v>
      </c>
      <c r="AG49" s="2">
        <f t="shared" si="4"/>
        <v>1000</v>
      </c>
      <c r="AH49" s="1">
        <f t="shared" si="79"/>
        <v>0</v>
      </c>
      <c r="AI49" s="1">
        <f t="shared" si="111"/>
        <v>0</v>
      </c>
      <c r="AJ49" s="6"/>
      <c r="AK49" s="6"/>
      <c r="AL49" s="2">
        <f t="shared" si="90"/>
        <v>0</v>
      </c>
      <c r="AM49" s="8">
        <f t="shared" si="80"/>
        <v>4.3999999999999997E-2</v>
      </c>
      <c r="AN49" s="2">
        <f t="shared" si="91"/>
        <v>0</v>
      </c>
      <c r="AO49" s="2">
        <f t="shared" si="81"/>
        <v>0</v>
      </c>
      <c r="AP49" s="2">
        <f t="shared" si="119"/>
        <v>0</v>
      </c>
      <c r="AQ49" s="8">
        <f t="shared" si="112"/>
        <v>3.9100000000000003E-2</v>
      </c>
      <c r="AR49" s="2">
        <f t="shared" si="113"/>
        <v>0</v>
      </c>
      <c r="AS49" s="2">
        <f t="shared" si="114"/>
        <v>0</v>
      </c>
      <c r="AT49" s="2">
        <f t="shared" si="39"/>
        <v>0</v>
      </c>
      <c r="AU49" s="2">
        <f t="shared" si="92"/>
        <v>0</v>
      </c>
      <c r="AV49" s="2">
        <f t="shared" si="82"/>
        <v>0</v>
      </c>
      <c r="AW49" s="1">
        <f t="shared" si="77"/>
        <v>0</v>
      </c>
      <c r="AX49" s="2">
        <f t="shared" si="6"/>
        <v>0</v>
      </c>
      <c r="AY49" s="1">
        <f t="shared" si="83"/>
        <v>0</v>
      </c>
      <c r="AZ49" s="2">
        <f t="shared" si="40"/>
        <v>0</v>
      </c>
      <c r="BA49" s="2">
        <f t="shared" si="93"/>
        <v>111791.10240000002</v>
      </c>
      <c r="BB49" s="2">
        <f t="shared" si="9"/>
        <v>0</v>
      </c>
      <c r="BC49" s="2">
        <f t="shared" si="41"/>
        <v>174.38976000000002</v>
      </c>
      <c r="BD49" s="2">
        <f t="shared" si="10"/>
        <v>111616.71264000001</v>
      </c>
      <c r="BE49" s="2">
        <f t="shared" si="42"/>
        <v>1000</v>
      </c>
      <c r="BF49" s="2">
        <f t="shared" si="11"/>
        <v>2050.3094560000036</v>
      </c>
      <c r="BG49" s="2">
        <f t="shared" si="12"/>
        <v>108566.40318400001</v>
      </c>
      <c r="BI49" s="8">
        <f t="shared" si="84"/>
        <v>3.1E-2</v>
      </c>
      <c r="BJ49" s="5">
        <f t="shared" si="43"/>
        <v>1000</v>
      </c>
      <c r="BK49" s="2">
        <f t="shared" si="44"/>
        <v>100000</v>
      </c>
      <c r="BL49" s="2">
        <f t="shared" si="45"/>
        <v>100000</v>
      </c>
      <c r="BM49" s="2">
        <f t="shared" si="13"/>
        <v>100000</v>
      </c>
      <c r="BN49" s="8">
        <f t="shared" si="14"/>
        <v>4.5999999999999999E-2</v>
      </c>
      <c r="BO49" s="2">
        <f t="shared" si="15"/>
        <v>102683.33333333333</v>
      </c>
      <c r="BP49" s="2" t="str">
        <f t="shared" si="16"/>
        <v>nie</v>
      </c>
      <c r="BQ49" s="2">
        <f t="shared" si="17"/>
        <v>2000</v>
      </c>
      <c r="BR49" s="1">
        <f t="shared" si="85"/>
        <v>48</v>
      </c>
      <c r="BS49" s="1">
        <f t="shared" si="115"/>
        <v>47</v>
      </c>
      <c r="BT49" s="6"/>
      <c r="BU49" s="6"/>
      <c r="BV49" s="2">
        <f t="shared" si="94"/>
        <v>4800</v>
      </c>
      <c r="BW49" s="8">
        <f t="shared" si="86"/>
        <v>4.7500000000000001E-2</v>
      </c>
      <c r="BX49" s="2">
        <f t="shared" si="95"/>
        <v>4933.0000000000009</v>
      </c>
      <c r="BY49" s="2">
        <f t="shared" si="87"/>
        <v>96</v>
      </c>
      <c r="BZ49" s="2">
        <f t="shared" si="120"/>
        <v>4700</v>
      </c>
      <c r="CA49" s="8">
        <f t="shared" si="116"/>
        <v>4.5999999999999999E-2</v>
      </c>
      <c r="CB49" s="2">
        <f t="shared" si="117"/>
        <v>4826.1166666666668</v>
      </c>
      <c r="CC49" s="2">
        <f t="shared" si="118"/>
        <v>94</v>
      </c>
      <c r="CD49" s="2">
        <f t="shared" si="18"/>
        <v>0</v>
      </c>
      <c r="CE49" s="2">
        <f t="shared" si="96"/>
        <v>0</v>
      </c>
      <c r="CF49" s="2">
        <f t="shared" si="97"/>
        <v>73.250000000015461</v>
      </c>
      <c r="CG49" s="1">
        <f t="shared" si="78"/>
        <v>0</v>
      </c>
      <c r="CH49" s="2">
        <f t="shared" si="20"/>
        <v>73.250000000015461</v>
      </c>
      <c r="CI49" s="1">
        <f t="shared" si="89"/>
        <v>0</v>
      </c>
      <c r="CJ49" s="2">
        <f t="shared" si="98"/>
        <v>73.250000000015461</v>
      </c>
      <c r="CK49" s="2">
        <f t="shared" si="99"/>
        <v>112515.70000000001</v>
      </c>
      <c r="CL49" s="2">
        <f t="shared" si="23"/>
        <v>0</v>
      </c>
      <c r="CM49" s="2">
        <f t="shared" si="47"/>
        <v>175.31720000000004</v>
      </c>
      <c r="CN49" s="2">
        <f t="shared" si="24"/>
        <v>112340.38280000001</v>
      </c>
      <c r="CO49" s="2">
        <f t="shared" si="48"/>
        <v>2190</v>
      </c>
      <c r="CP49" s="2">
        <f t="shared" si="25"/>
        <v>1961.8830000000023</v>
      </c>
      <c r="CQ49" s="2">
        <f t="shared" si="26"/>
        <v>108188.49980000001</v>
      </c>
      <c r="CS49" s="5">
        <f t="shared" si="49"/>
        <v>1000</v>
      </c>
      <c r="CT49" s="2">
        <f t="shared" si="50"/>
        <v>100000</v>
      </c>
      <c r="CU49" s="2">
        <f t="shared" si="51"/>
        <v>100000</v>
      </c>
      <c r="CV49" s="2">
        <f t="shared" si="52"/>
        <v>110722.85</v>
      </c>
      <c r="CW49" s="8">
        <f t="shared" si="27"/>
        <v>5.1000000000000004E-2</v>
      </c>
      <c r="CX49" s="2">
        <f t="shared" si="28"/>
        <v>114016.85478749999</v>
      </c>
      <c r="CY49" s="2" t="str">
        <f t="shared" si="29"/>
        <v>nie</v>
      </c>
      <c r="CZ49" s="2">
        <f t="shared" si="53"/>
        <v>0</v>
      </c>
      <c r="DA49" s="2">
        <f t="shared" si="54"/>
        <v>0</v>
      </c>
      <c r="DB49" s="2">
        <f t="shared" si="55"/>
        <v>114016.85478749999</v>
      </c>
      <c r="DC49" s="2">
        <f t="shared" si="30"/>
        <v>0</v>
      </c>
      <c r="DD49" s="2">
        <f t="shared" si="56"/>
        <v>177.15656000000001</v>
      </c>
      <c r="DE49" s="2">
        <f t="shared" si="57"/>
        <v>113839.69822749999</v>
      </c>
      <c r="DF49" s="2">
        <f t="shared" si="32"/>
        <v>3000</v>
      </c>
      <c r="DG49" s="2">
        <f t="shared" si="33"/>
        <v>2093.2024096249988</v>
      </c>
      <c r="DH49" s="2">
        <f t="shared" si="58"/>
        <v>108746.49581787499</v>
      </c>
    </row>
    <row r="50" spans="2:112">
      <c r="B50" s="232"/>
      <c r="C50" s="1">
        <f t="shared" si="102"/>
        <v>13</v>
      </c>
      <c r="D50" s="2">
        <f t="shared" si="105"/>
        <v>104782.8</v>
      </c>
      <c r="E50" s="2">
        <f t="shared" si="106"/>
        <v>103064.068</v>
      </c>
      <c r="F50" s="2">
        <f t="shared" si="107"/>
        <v>105151.93750000001</v>
      </c>
      <c r="G50" s="2">
        <f t="shared" si="108"/>
        <v>102538.00000000001</v>
      </c>
      <c r="H50" s="2">
        <f t="shared" si="109"/>
        <v>105797.73750000002</v>
      </c>
      <c r="I50" s="2">
        <f t="shared" si="110"/>
        <v>102266.16737500002</v>
      </c>
      <c r="J50" s="2">
        <f t="shared" si="103"/>
        <v>103205.47110273097</v>
      </c>
      <c r="K50" s="2">
        <f t="shared" si="104"/>
        <v>103366.34166666666</v>
      </c>
      <c r="W50" s="1">
        <f t="shared" si="34"/>
        <v>32</v>
      </c>
      <c r="X50" s="2">
        <f t="shared" si="0"/>
        <v>108492.88606666664</v>
      </c>
      <c r="Y50" s="8">
        <f t="shared" si="76"/>
        <v>3.9100000000000003E-2</v>
      </c>
      <c r="Z50" s="5">
        <f t="shared" si="35"/>
        <v>1000</v>
      </c>
      <c r="AA50" s="2">
        <f t="shared" si="36"/>
        <v>100000</v>
      </c>
      <c r="AB50" s="2">
        <f t="shared" si="37"/>
        <v>100000</v>
      </c>
      <c r="AC50" s="2">
        <f t="shared" si="38"/>
        <v>108993.60000000001</v>
      </c>
      <c r="AD50" s="8">
        <f t="shared" si="1"/>
        <v>4.3999999999999997E-2</v>
      </c>
      <c r="AE50" s="2">
        <f t="shared" si="2"/>
        <v>112190.74560000002</v>
      </c>
      <c r="AF50" s="2" t="str">
        <f t="shared" si="3"/>
        <v>nie</v>
      </c>
      <c r="AG50" s="2">
        <f t="shared" si="4"/>
        <v>1000</v>
      </c>
      <c r="AH50" s="1">
        <f t="shared" si="79"/>
        <v>0</v>
      </c>
      <c r="AI50" s="1">
        <f t="shared" si="111"/>
        <v>0</v>
      </c>
      <c r="AJ50" s="6"/>
      <c r="AK50" s="6"/>
      <c r="AL50" s="2">
        <f t="shared" si="90"/>
        <v>0</v>
      </c>
      <c r="AM50" s="8">
        <f t="shared" si="80"/>
        <v>4.3999999999999997E-2</v>
      </c>
      <c r="AN50" s="2">
        <f t="shared" si="91"/>
        <v>0</v>
      </c>
      <c r="AO50" s="2">
        <f t="shared" si="81"/>
        <v>0</v>
      </c>
      <c r="AP50" s="2">
        <f t="shared" si="119"/>
        <v>0</v>
      </c>
      <c r="AQ50" s="8">
        <f t="shared" si="112"/>
        <v>3.9100000000000003E-2</v>
      </c>
      <c r="AR50" s="2">
        <f t="shared" si="113"/>
        <v>0</v>
      </c>
      <c r="AS50" s="2">
        <f t="shared" si="114"/>
        <v>0</v>
      </c>
      <c r="AT50" s="2">
        <f t="shared" si="39"/>
        <v>0</v>
      </c>
      <c r="AU50" s="2">
        <f t="shared" si="92"/>
        <v>0</v>
      </c>
      <c r="AV50" s="2">
        <f t="shared" si="82"/>
        <v>0</v>
      </c>
      <c r="AW50" s="1">
        <f t="shared" si="77"/>
        <v>0</v>
      </c>
      <c r="AX50" s="2">
        <f t="shared" si="6"/>
        <v>0</v>
      </c>
      <c r="AY50" s="1">
        <f t="shared" si="83"/>
        <v>0</v>
      </c>
      <c r="AZ50" s="2">
        <f t="shared" si="40"/>
        <v>0</v>
      </c>
      <c r="BA50" s="2">
        <f t="shared" si="93"/>
        <v>112190.74560000002</v>
      </c>
      <c r="BB50" s="2">
        <f t="shared" si="9"/>
        <v>0</v>
      </c>
      <c r="BC50" s="2">
        <f t="shared" si="41"/>
        <v>174.38976000000002</v>
      </c>
      <c r="BD50" s="2">
        <f t="shared" si="10"/>
        <v>112016.35584000002</v>
      </c>
      <c r="BE50" s="2">
        <f t="shared" si="42"/>
        <v>1000</v>
      </c>
      <c r="BF50" s="2">
        <f t="shared" si="11"/>
        <v>2126.2416640000047</v>
      </c>
      <c r="BG50" s="2">
        <f t="shared" si="12"/>
        <v>108890.11417600002</v>
      </c>
      <c r="BI50" s="8">
        <f t="shared" si="84"/>
        <v>3.1E-2</v>
      </c>
      <c r="BJ50" s="5">
        <f t="shared" si="43"/>
        <v>1000</v>
      </c>
      <c r="BK50" s="2">
        <f t="shared" si="44"/>
        <v>100000</v>
      </c>
      <c r="BL50" s="2">
        <f t="shared" si="45"/>
        <v>100000</v>
      </c>
      <c r="BM50" s="2">
        <f t="shared" si="13"/>
        <v>100000</v>
      </c>
      <c r="BN50" s="8">
        <f t="shared" si="14"/>
        <v>4.5999999999999999E-2</v>
      </c>
      <c r="BO50" s="2">
        <f t="shared" si="15"/>
        <v>103066.66666666666</v>
      </c>
      <c r="BP50" s="2" t="str">
        <f t="shared" si="16"/>
        <v>nie</v>
      </c>
      <c r="BQ50" s="2">
        <f t="shared" si="17"/>
        <v>2000</v>
      </c>
      <c r="BR50" s="1">
        <f t="shared" si="85"/>
        <v>48</v>
      </c>
      <c r="BS50" s="1">
        <f t="shared" si="115"/>
        <v>47</v>
      </c>
      <c r="BT50" s="6"/>
      <c r="BU50" s="6"/>
      <c r="BV50" s="2">
        <f t="shared" si="94"/>
        <v>4800</v>
      </c>
      <c r="BW50" s="8">
        <f t="shared" si="86"/>
        <v>4.7500000000000001E-2</v>
      </c>
      <c r="BX50" s="2">
        <f t="shared" si="95"/>
        <v>4952</v>
      </c>
      <c r="BY50" s="2">
        <f t="shared" si="87"/>
        <v>96</v>
      </c>
      <c r="BZ50" s="2">
        <f t="shared" si="120"/>
        <v>4700</v>
      </c>
      <c r="CA50" s="8">
        <f t="shared" si="116"/>
        <v>4.5999999999999999E-2</v>
      </c>
      <c r="CB50" s="2">
        <f t="shared" si="117"/>
        <v>4844.1333333333332</v>
      </c>
      <c r="CC50" s="2">
        <f t="shared" si="118"/>
        <v>94</v>
      </c>
      <c r="CD50" s="2">
        <f t="shared" si="18"/>
        <v>0</v>
      </c>
      <c r="CE50" s="2">
        <f t="shared" si="96"/>
        <v>0</v>
      </c>
      <c r="CF50" s="2">
        <f t="shared" si="97"/>
        <v>73.250000000015461</v>
      </c>
      <c r="CG50" s="1">
        <f t="shared" si="78"/>
        <v>0</v>
      </c>
      <c r="CH50" s="2">
        <f t="shared" si="20"/>
        <v>73.250000000015461</v>
      </c>
      <c r="CI50" s="1">
        <f t="shared" si="89"/>
        <v>0</v>
      </c>
      <c r="CJ50" s="2">
        <f t="shared" si="98"/>
        <v>73.250000000015461</v>
      </c>
      <c r="CK50" s="2">
        <f t="shared" si="99"/>
        <v>112936.05</v>
      </c>
      <c r="CL50" s="2">
        <f t="shared" si="23"/>
        <v>0</v>
      </c>
      <c r="CM50" s="2">
        <f t="shared" si="47"/>
        <v>175.31720000000004</v>
      </c>
      <c r="CN50" s="2">
        <f t="shared" si="24"/>
        <v>112760.7328</v>
      </c>
      <c r="CO50" s="2">
        <f t="shared" si="48"/>
        <v>2190</v>
      </c>
      <c r="CP50" s="2">
        <f t="shared" si="25"/>
        <v>2041.7495000000006</v>
      </c>
      <c r="CQ50" s="2">
        <f t="shared" si="26"/>
        <v>108528.98329999999</v>
      </c>
      <c r="CS50" s="5">
        <f t="shared" si="49"/>
        <v>1000</v>
      </c>
      <c r="CT50" s="2">
        <f t="shared" si="50"/>
        <v>100000</v>
      </c>
      <c r="CU50" s="2">
        <f t="shared" si="51"/>
        <v>100000</v>
      </c>
      <c r="CV50" s="2">
        <f t="shared" si="52"/>
        <v>110722.85</v>
      </c>
      <c r="CW50" s="8">
        <f t="shared" si="27"/>
        <v>5.1000000000000004E-2</v>
      </c>
      <c r="CX50" s="2">
        <f t="shared" si="28"/>
        <v>114487.42690000001</v>
      </c>
      <c r="CY50" s="2" t="str">
        <f t="shared" si="29"/>
        <v>nie</v>
      </c>
      <c r="CZ50" s="2">
        <f t="shared" si="53"/>
        <v>0</v>
      </c>
      <c r="DA50" s="2">
        <f t="shared" si="54"/>
        <v>0</v>
      </c>
      <c r="DB50" s="2">
        <f t="shared" si="55"/>
        <v>114487.42690000001</v>
      </c>
      <c r="DC50" s="2">
        <f t="shared" si="30"/>
        <v>0</v>
      </c>
      <c r="DD50" s="2">
        <f t="shared" si="56"/>
        <v>177.15656000000001</v>
      </c>
      <c r="DE50" s="2">
        <f t="shared" si="57"/>
        <v>114310.27034</v>
      </c>
      <c r="DF50" s="2">
        <f t="shared" si="32"/>
        <v>3000</v>
      </c>
      <c r="DG50" s="2">
        <f t="shared" si="33"/>
        <v>2182.6111110000011</v>
      </c>
      <c r="DH50" s="2">
        <f t="shared" si="58"/>
        <v>109127.659229</v>
      </c>
    </row>
    <row r="51" spans="2:112">
      <c r="B51" s="232"/>
      <c r="C51" s="1">
        <f t="shared" si="102"/>
        <v>14</v>
      </c>
      <c r="D51" s="2">
        <f t="shared" si="105"/>
        <v>105165.6</v>
      </c>
      <c r="E51" s="2">
        <f t="shared" si="106"/>
        <v>103374.136</v>
      </c>
      <c r="F51" s="2">
        <f t="shared" si="107"/>
        <v>105553.87500000001</v>
      </c>
      <c r="G51" s="2">
        <f t="shared" si="108"/>
        <v>102848.50000000001</v>
      </c>
      <c r="H51" s="2">
        <f t="shared" si="109"/>
        <v>106245.47500000001</v>
      </c>
      <c r="I51" s="2">
        <f t="shared" si="110"/>
        <v>102628.83475000001</v>
      </c>
      <c r="J51" s="2">
        <f t="shared" si="103"/>
        <v>103456.2603975106</v>
      </c>
      <c r="K51" s="2">
        <f t="shared" si="104"/>
        <v>103632.68333333333</v>
      </c>
      <c r="W51" s="1">
        <f t="shared" si="34"/>
        <v>33</v>
      </c>
      <c r="X51" s="2">
        <f t="shared" ref="X51:X82" si="121">zakup_domyslny_wartosc*IFERROR((INDEX(scenariusz_I_inflacja_skumulowana,MATCH(ROUNDDOWN(W51/12,0),scenariusz_I_rok,0))+1),1)
*(1+MOD(W51,12)*INDEX(scenariusz_I_inflacja,MATCH(ROUNDUP(W51/12,0),scenariusz_I_rok,0))/12)</f>
        <v>108767.48432499997</v>
      </c>
      <c r="Y51" s="8">
        <f t="shared" si="76"/>
        <v>3.9100000000000003E-2</v>
      </c>
      <c r="Z51" s="5">
        <f t="shared" si="35"/>
        <v>1000</v>
      </c>
      <c r="AA51" s="2">
        <f t="shared" si="36"/>
        <v>100000</v>
      </c>
      <c r="AB51" s="2">
        <f t="shared" si="37"/>
        <v>100000</v>
      </c>
      <c r="AC51" s="2">
        <f t="shared" si="38"/>
        <v>108993.60000000001</v>
      </c>
      <c r="AD51" s="8">
        <f t="shared" ref="AD51:AD82" si="122">IF(AND(MOD($W51,zapadalnosc_TOS)&lt;=zmiana_oprocentowania_co_ile_mc_TOS,MOD($W51,zapadalnosc_TOS)&lt;&gt;0),proc_I_okres_TOS,(marza_TOS+$Y51))</f>
        <v>4.3999999999999997E-2</v>
      </c>
      <c r="AE51" s="2">
        <f t="shared" si="2"/>
        <v>112590.3888</v>
      </c>
      <c r="AF51" s="2" t="str">
        <f t="shared" ref="AF51:AF82" si="123">IF(MOD($W51,zapadalnosc_TOS)=0,"tak","nie")</f>
        <v>nie</v>
      </c>
      <c r="AG51" s="2">
        <f t="shared" ref="AG51:AG82" si="124">IF(MOD($W51,zapadalnosc_TOS)=0,0,
IF(AND(MOD($W51,zapadalnosc_TOS)&lt;zapadalnosc_TOS,MOD($W51,zapadalnosc_TOS)&lt;=koszt_wczesniejszy_wykup_ochrona_TOS),
MIN(AE51-AB51,Z51*koszt_wczesniejszy_wykup_TOS),Z51*koszt_wczesniejszy_wykup_TOS))</f>
        <v>1000</v>
      </c>
      <c r="AH51" s="1">
        <f t="shared" si="79"/>
        <v>0</v>
      </c>
      <c r="AI51" s="1">
        <f t="shared" si="111"/>
        <v>0</v>
      </c>
      <c r="AJ51" s="6"/>
      <c r="AK51" s="6"/>
      <c r="AL51" s="2">
        <f t="shared" si="90"/>
        <v>0</v>
      </c>
      <c r="AM51" s="8">
        <f t="shared" si="80"/>
        <v>4.3999999999999997E-2</v>
      </c>
      <c r="AN51" s="2">
        <f t="shared" si="91"/>
        <v>0</v>
      </c>
      <c r="AO51" s="2">
        <f t="shared" si="81"/>
        <v>0</v>
      </c>
      <c r="AP51" s="2">
        <f t="shared" si="119"/>
        <v>0</v>
      </c>
      <c r="AQ51" s="8">
        <f t="shared" si="112"/>
        <v>3.9100000000000003E-2</v>
      </c>
      <c r="AR51" s="2">
        <f t="shared" si="113"/>
        <v>0</v>
      </c>
      <c r="AS51" s="2">
        <f t="shared" si="114"/>
        <v>0</v>
      </c>
      <c r="AT51" s="2">
        <f t="shared" si="39"/>
        <v>0</v>
      </c>
      <c r="AU51" s="2">
        <f t="shared" si="92"/>
        <v>0</v>
      </c>
      <c r="AV51" s="2">
        <f t="shared" si="82"/>
        <v>0</v>
      </c>
      <c r="AW51" s="1">
        <f t="shared" si="77"/>
        <v>0</v>
      </c>
      <c r="AX51" s="2">
        <f t="shared" ref="AX51:AX82" si="125">AV51-AW51*zamiana_TOS</f>
        <v>0</v>
      </c>
      <c r="AY51" s="1">
        <f t="shared" si="83"/>
        <v>0</v>
      </c>
      <c r="AZ51" s="2">
        <f t="shared" si="40"/>
        <v>0</v>
      </c>
      <c r="BA51" s="2">
        <f t="shared" si="93"/>
        <v>112590.3888</v>
      </c>
      <c r="BB51" s="2">
        <f t="shared" ref="BB51:BB82" si="126">MIN(IF(MOD($W51,12)=0,INDEX(IKE_oplata_wskaznik,MATCH(ROUNDUP($W51/12,0),IKE_oplata_rok,0)),0)*BA51,200)</f>
        <v>0</v>
      </c>
      <c r="BC51" s="2">
        <f t="shared" si="41"/>
        <v>174.38976000000002</v>
      </c>
      <c r="BD51" s="2">
        <f t="shared" si="10"/>
        <v>112415.99904</v>
      </c>
      <c r="BE51" s="2">
        <f t="shared" si="42"/>
        <v>1000</v>
      </c>
      <c r="BF51" s="2">
        <f t="shared" si="11"/>
        <v>2202.1738720000003</v>
      </c>
      <c r="BG51" s="2">
        <f t="shared" si="12"/>
        <v>109213.825168</v>
      </c>
      <c r="BI51" s="8">
        <f t="shared" si="84"/>
        <v>3.1E-2</v>
      </c>
      <c r="BJ51" s="5">
        <f t="shared" si="43"/>
        <v>1000</v>
      </c>
      <c r="BK51" s="2">
        <f t="shared" si="44"/>
        <v>100000</v>
      </c>
      <c r="BL51" s="2">
        <f t="shared" si="45"/>
        <v>100000</v>
      </c>
      <c r="BM51" s="2">
        <f t="shared" ref="BM51:BM82" si="127">BL51</f>
        <v>100000</v>
      </c>
      <c r="BN51" s="8">
        <f t="shared" ref="BN51:BN82" si="128">IF(AND(MOD($W51,zapadalnosc_COI)&lt;=zmiana_oprocentowania_co_ile_mc_COI,MOD($W51,zapadalnosc_COI)&lt;&gt;0),proc_I_okres_COI,(marza_COI+$BI51))</f>
        <v>4.5999999999999999E-2</v>
      </c>
      <c r="BO51" s="2">
        <f t="shared" ref="BO51:BO82" si="129">BM51*(1+BN51*IF(MOD($W51,12)&lt;&gt;0,MOD($W51,12),12)/12)</f>
        <v>103450</v>
      </c>
      <c r="BP51" s="2" t="str">
        <f t="shared" ref="BP51:BP82" si="130">IF(MOD($W51,zapadalnosc_COI)=0,"tak","nie")</f>
        <v>nie</v>
      </c>
      <c r="BQ51" s="2">
        <f t="shared" ref="BQ51:BQ82" si="131">IF(MOD($W51,zapadalnosc_COI)=0,0,
IF(AND(MOD($W51,zapadalnosc_COI)&lt;zapadalnosc_COI,MOD($W51,zapadalnosc_COI)&lt;=koszt_wczesniejszy_wykup_ochrona_COI),
MIN(BO51-BL51,BJ51*koszt_wczesniejszy_wykup_COI),BJ51*koszt_wczesniejszy_wykup_COI))</f>
        <v>2000</v>
      </c>
      <c r="BR51" s="1">
        <f t="shared" si="85"/>
        <v>48</v>
      </c>
      <c r="BS51" s="1">
        <f t="shared" si="115"/>
        <v>47</v>
      </c>
      <c r="BT51" s="6"/>
      <c r="BU51" s="6"/>
      <c r="BV51" s="2">
        <f t="shared" si="94"/>
        <v>4800</v>
      </c>
      <c r="BW51" s="8">
        <f t="shared" si="86"/>
        <v>4.7500000000000001E-2</v>
      </c>
      <c r="BX51" s="2">
        <f t="shared" si="95"/>
        <v>4971</v>
      </c>
      <c r="BY51" s="2">
        <f t="shared" si="87"/>
        <v>96</v>
      </c>
      <c r="BZ51" s="2">
        <f t="shared" si="120"/>
        <v>4700</v>
      </c>
      <c r="CA51" s="8">
        <f t="shared" si="116"/>
        <v>4.5999999999999999E-2</v>
      </c>
      <c r="CB51" s="2">
        <f t="shared" si="117"/>
        <v>4862.1499999999996</v>
      </c>
      <c r="CC51" s="2">
        <f t="shared" si="118"/>
        <v>94</v>
      </c>
      <c r="CD51" s="2">
        <f t="shared" ref="CD51:CD82" si="132">IF(MOD($W51,wyplata_odsetek_COI)=0, (BO51-BL51),0)
-IF(AND(BP51="tak",BK52&lt;&gt;""),BK52-BL51,0)</f>
        <v>0</v>
      </c>
      <c r="CE51" s="2">
        <f t="shared" si="96"/>
        <v>0</v>
      </c>
      <c r="CF51" s="2">
        <f t="shared" si="97"/>
        <v>73.250000000015461</v>
      </c>
      <c r="CG51" s="1">
        <f t="shared" si="78"/>
        <v>0</v>
      </c>
      <c r="CH51" s="2">
        <f t="shared" ref="CH51:CH82" si="133">CF51-CG51*zamiana_COI</f>
        <v>73.250000000015461</v>
      </c>
      <c r="CI51" s="1">
        <f t="shared" si="89"/>
        <v>0</v>
      </c>
      <c r="CJ51" s="2">
        <f t="shared" si="98"/>
        <v>73.250000000015461</v>
      </c>
      <c r="CK51" s="2">
        <f t="shared" si="99"/>
        <v>113356.40000000001</v>
      </c>
      <c r="CL51" s="2">
        <f t="shared" ref="CL51:CL82" si="134">MIN(IF(MOD($W51,12)=0,INDEX(IKE_oplata_wskaznik,MATCH(ROUNDUP($W51/12,0),IKE_oplata_rok,0)),0)*CK51,200)</f>
        <v>0</v>
      </c>
      <c r="CM51" s="2">
        <f t="shared" si="47"/>
        <v>175.31720000000004</v>
      </c>
      <c r="CN51" s="2">
        <f t="shared" ref="CN51:CN82" si="135">CK51-CM51</f>
        <v>113181.0828</v>
      </c>
      <c r="CO51" s="2">
        <f t="shared" si="48"/>
        <v>2190</v>
      </c>
      <c r="CP51" s="2">
        <f t="shared" ref="CP51:CP82" si="136">(CK51-CO51-zakup_domyslny_wartosc)*podatek_Belki</f>
        <v>2121.6160000000018</v>
      </c>
      <c r="CQ51" s="2">
        <f t="shared" ref="CQ51:CQ82" si="137">CK51-CM51-CO51-CP51</f>
        <v>108869.46679999999</v>
      </c>
      <c r="CS51" s="5">
        <f t="shared" si="49"/>
        <v>1000</v>
      </c>
      <c r="CT51" s="2">
        <f t="shared" si="50"/>
        <v>100000</v>
      </c>
      <c r="CU51" s="2">
        <f t="shared" si="51"/>
        <v>100000</v>
      </c>
      <c r="CV51" s="2">
        <f t="shared" si="52"/>
        <v>110722.85</v>
      </c>
      <c r="CW51" s="8">
        <f t="shared" ref="CW51:CW82" si="138">IF(AND(MOD($W51,zapadalnosc_EDO)&lt;=12,MOD($W51,zapadalnosc_EDO)&lt;&gt;0),proc_I_okres_EDO,(marza_EDO+$BI51))</f>
        <v>5.1000000000000004E-2</v>
      </c>
      <c r="CX51" s="2">
        <f t="shared" ref="CX51:CX82" si="139">CV51*(1+CW51*IF(MOD($W51,12)&lt;&gt;0,MOD($W51,12),12)/12)</f>
        <v>114957.99901249999</v>
      </c>
      <c r="CY51" s="2" t="str">
        <f t="shared" ref="CY51:CY82" si="140">IF(MOD($W51,zapadalnosc_EDO)=0,"tak","nie")</f>
        <v>nie</v>
      </c>
      <c r="CZ51" s="2">
        <f t="shared" si="53"/>
        <v>0</v>
      </c>
      <c r="DA51" s="2">
        <f t="shared" si="54"/>
        <v>0</v>
      </c>
      <c r="DB51" s="2">
        <f t="shared" si="55"/>
        <v>114957.99901249999</v>
      </c>
      <c r="DC51" s="2">
        <f t="shared" ref="DC51:DC82" si="141">MIN(IF(MOD(W51,12)=0,INDEX(IKE_oplata_wskaznik,MATCH(ROUNDUP(W51/12,0),IKE_oplata_rok,0)),0)*DB51,200)</f>
        <v>0</v>
      </c>
      <c r="DD51" s="2">
        <f t="shared" si="56"/>
        <v>177.15656000000001</v>
      </c>
      <c r="DE51" s="2">
        <f t="shared" si="57"/>
        <v>114780.84245249999</v>
      </c>
      <c r="DF51" s="2">
        <f t="shared" ref="DF51:DF82" si="142">IF(AND(MOD($W51,zapadalnosc_EDO)&lt;zapadalnosc_EDO,MOD($W51,zapadalnosc_EDO)&lt;&gt;0),MIN(CX51-CU51,CS51*koszt_wczesniejszy_wykup_EDO),0)</f>
        <v>3000</v>
      </c>
      <c r="DG51" s="2">
        <f t="shared" ref="DG51:DG82" si="143">(CX51-DF51-zakup_domyslny_wartosc)*podatek_Belki</f>
        <v>2272.0198123749979</v>
      </c>
      <c r="DH51" s="2">
        <f t="shared" si="58"/>
        <v>109508.82264012498</v>
      </c>
    </row>
    <row r="52" spans="2:112">
      <c r="B52" s="232"/>
      <c r="C52" s="1">
        <f t="shared" si="102"/>
        <v>15</v>
      </c>
      <c r="D52" s="2">
        <f t="shared" si="105"/>
        <v>105548.4</v>
      </c>
      <c r="E52" s="2">
        <f t="shared" si="106"/>
        <v>103684.204</v>
      </c>
      <c r="F52" s="2">
        <f t="shared" si="107"/>
        <v>105955.81250000001</v>
      </c>
      <c r="G52" s="2">
        <f t="shared" si="108"/>
        <v>103159.00000000001</v>
      </c>
      <c r="H52" s="2">
        <f t="shared" si="109"/>
        <v>106693.21250000002</v>
      </c>
      <c r="I52" s="2">
        <f t="shared" si="110"/>
        <v>102991.50212500001</v>
      </c>
      <c r="J52" s="2">
        <f t="shared" si="103"/>
        <v>103707.65911027655</v>
      </c>
      <c r="K52" s="2">
        <f t="shared" si="104"/>
        <v>103899.02499999998</v>
      </c>
      <c r="W52" s="1">
        <f t="shared" ref="W52:W83" si="144">W51+1</f>
        <v>34</v>
      </c>
      <c r="X52" s="2">
        <f t="shared" si="121"/>
        <v>109042.08258333331</v>
      </c>
      <c r="Y52" s="8">
        <f t="shared" si="76"/>
        <v>3.9100000000000003E-2</v>
      </c>
      <c r="Z52" s="5">
        <f t="shared" ref="Z52:Z83" si="145">IF(AF51="tak",
ROUNDDOWN(AE51/zamiana_TOS,0),
Z51)</f>
        <v>1000</v>
      </c>
      <c r="AA52" s="2">
        <f t="shared" ref="AA52:AA83" si="146">IF(AF51="tak",
Z52*zamiana_TOS,
AA51)</f>
        <v>100000</v>
      </c>
      <c r="AB52" s="2">
        <f t="shared" si="37"/>
        <v>100000</v>
      </c>
      <c r="AC52" s="2">
        <f t="shared" ref="AC52:AC83" si="147">IF(AF51="tak",
 AB52,
IF(MOD($W52,kapitalizacja_odsetek_mc_TOS)&lt;&gt;1,AC51,AE51))</f>
        <v>108993.60000000001</v>
      </c>
      <c r="AD52" s="8">
        <f t="shared" si="122"/>
        <v>4.3999999999999997E-2</v>
      </c>
      <c r="AE52" s="2">
        <f t="shared" si="2"/>
        <v>112990.03200000001</v>
      </c>
      <c r="AF52" s="2" t="str">
        <f t="shared" si="123"/>
        <v>nie</v>
      </c>
      <c r="AG52" s="2">
        <f t="shared" si="124"/>
        <v>1000</v>
      </c>
      <c r="AH52" s="1">
        <f t="shared" si="79"/>
        <v>0</v>
      </c>
      <c r="AI52" s="1">
        <f t="shared" si="111"/>
        <v>0</v>
      </c>
      <c r="AJ52" s="6"/>
      <c r="AK52" s="6"/>
      <c r="AL52" s="2">
        <f t="shared" si="90"/>
        <v>0</v>
      </c>
      <c r="AM52" s="8">
        <f t="shared" si="80"/>
        <v>4.3999999999999997E-2</v>
      </c>
      <c r="AN52" s="2">
        <f t="shared" si="91"/>
        <v>0</v>
      </c>
      <c r="AO52" s="2">
        <f t="shared" si="81"/>
        <v>0</v>
      </c>
      <c r="AP52" s="2">
        <f t="shared" si="119"/>
        <v>0</v>
      </c>
      <c r="AQ52" s="8">
        <f t="shared" si="112"/>
        <v>3.9100000000000003E-2</v>
      </c>
      <c r="AR52" s="2">
        <f t="shared" si="113"/>
        <v>0</v>
      </c>
      <c r="AS52" s="2">
        <f t="shared" si="114"/>
        <v>0</v>
      </c>
      <c r="AT52" s="2">
        <f t="shared" si="39"/>
        <v>0</v>
      </c>
      <c r="AU52" s="2">
        <f t="shared" si="92"/>
        <v>0</v>
      </c>
      <c r="AV52" s="2">
        <f t="shared" si="82"/>
        <v>0</v>
      </c>
      <c r="AW52" s="1">
        <f t="shared" si="77"/>
        <v>0</v>
      </c>
      <c r="AX52" s="2">
        <f t="shared" si="125"/>
        <v>0</v>
      </c>
      <c r="AY52" s="1">
        <f t="shared" si="83"/>
        <v>0</v>
      </c>
      <c r="AZ52" s="2">
        <f t="shared" si="40"/>
        <v>0</v>
      </c>
      <c r="BA52" s="2">
        <f t="shared" si="93"/>
        <v>112990.03200000001</v>
      </c>
      <c r="BB52" s="2">
        <f t="shared" si="126"/>
        <v>0</v>
      </c>
      <c r="BC52" s="2">
        <f t="shared" si="41"/>
        <v>174.38976000000002</v>
      </c>
      <c r="BD52" s="2">
        <f t="shared" si="10"/>
        <v>112815.64224</v>
      </c>
      <c r="BE52" s="2">
        <f t="shared" si="42"/>
        <v>1000</v>
      </c>
      <c r="BF52" s="2">
        <f t="shared" si="11"/>
        <v>2278.1060800000014</v>
      </c>
      <c r="BG52" s="2">
        <f t="shared" si="12"/>
        <v>109537.53616</v>
      </c>
      <c r="BI52" s="8">
        <f t="shared" si="84"/>
        <v>3.1E-2</v>
      </c>
      <c r="BJ52" s="5">
        <f t="shared" ref="BJ52:BJ83" si="148">IF(BP51="tak",
ROUNDDOWN(BO51/zamiana_COI,0),
BJ51)</f>
        <v>1000</v>
      </c>
      <c r="BK52" s="2">
        <f t="shared" ref="BK52:BK83" si="149">IF(BP51="tak",
BJ52*zamiana_COI,
BK51)</f>
        <v>100000</v>
      </c>
      <c r="BL52" s="2">
        <f t="shared" ref="BL52:BL83" si="150">IF(BP51="tak",
BJ52*100,
BL51)</f>
        <v>100000</v>
      </c>
      <c r="BM52" s="2">
        <f t="shared" si="127"/>
        <v>100000</v>
      </c>
      <c r="BN52" s="8">
        <f t="shared" si="128"/>
        <v>4.5999999999999999E-2</v>
      </c>
      <c r="BO52" s="2">
        <f t="shared" si="129"/>
        <v>103833.33333333333</v>
      </c>
      <c r="BP52" s="2" t="str">
        <f t="shared" si="130"/>
        <v>nie</v>
      </c>
      <c r="BQ52" s="2">
        <f t="shared" si="131"/>
        <v>2000</v>
      </c>
      <c r="BR52" s="1">
        <f t="shared" si="85"/>
        <v>48</v>
      </c>
      <c r="BS52" s="1">
        <f t="shared" si="115"/>
        <v>47</v>
      </c>
      <c r="BT52" s="6"/>
      <c r="BU52" s="6"/>
      <c r="BV52" s="2">
        <f t="shared" si="94"/>
        <v>4800</v>
      </c>
      <c r="BW52" s="8">
        <f t="shared" si="86"/>
        <v>4.7500000000000001E-2</v>
      </c>
      <c r="BX52" s="2">
        <f t="shared" si="95"/>
        <v>4990</v>
      </c>
      <c r="BY52" s="2">
        <f t="shared" si="87"/>
        <v>96</v>
      </c>
      <c r="BZ52" s="2">
        <f t="shared" si="120"/>
        <v>4700</v>
      </c>
      <c r="CA52" s="8">
        <f t="shared" si="116"/>
        <v>4.5999999999999999E-2</v>
      </c>
      <c r="CB52" s="2">
        <f t="shared" si="117"/>
        <v>4880.166666666667</v>
      </c>
      <c r="CC52" s="2">
        <f t="shared" si="118"/>
        <v>94</v>
      </c>
      <c r="CD52" s="2">
        <f t="shared" si="132"/>
        <v>0</v>
      </c>
      <c r="CE52" s="2">
        <f t="shared" si="96"/>
        <v>0</v>
      </c>
      <c r="CF52" s="2">
        <f t="shared" si="97"/>
        <v>73.250000000015461</v>
      </c>
      <c r="CG52" s="1">
        <f t="shared" si="78"/>
        <v>0</v>
      </c>
      <c r="CH52" s="2">
        <f t="shared" si="133"/>
        <v>73.250000000015461</v>
      </c>
      <c r="CI52" s="1">
        <f t="shared" si="89"/>
        <v>0</v>
      </c>
      <c r="CJ52" s="2">
        <f t="shared" si="98"/>
        <v>73.250000000015461</v>
      </c>
      <c r="CK52" s="2">
        <f t="shared" si="99"/>
        <v>113776.75000000001</v>
      </c>
      <c r="CL52" s="2">
        <f t="shared" si="134"/>
        <v>0</v>
      </c>
      <c r="CM52" s="2">
        <f t="shared" si="47"/>
        <v>175.31720000000004</v>
      </c>
      <c r="CN52" s="2">
        <f t="shared" si="135"/>
        <v>113601.43280000001</v>
      </c>
      <c r="CO52" s="2">
        <f t="shared" si="48"/>
        <v>2190</v>
      </c>
      <c r="CP52" s="2">
        <f t="shared" si="136"/>
        <v>2201.4825000000028</v>
      </c>
      <c r="CQ52" s="2">
        <f t="shared" si="137"/>
        <v>109209.95030000001</v>
      </c>
      <c r="CS52" s="5">
        <f t="shared" ref="CS52:CS83" si="151">IF(CY51="tak",
ROUNDDOWN(CX51/zamiana_EDO,0),
CS51)</f>
        <v>1000</v>
      </c>
      <c r="CT52" s="2">
        <f t="shared" ref="CT52:CT83" si="152">IF(CY51="tak",
CS52*zamiana_EDO,
CT51)</f>
        <v>100000</v>
      </c>
      <c r="CU52" s="2">
        <f t="shared" ref="CU52:CU83" si="153">IF(CY51="tak",
CS52*100,
CU51)</f>
        <v>100000</v>
      </c>
      <c r="CV52" s="2">
        <f t="shared" ref="CV52:CV83" si="154">IF(CY51="tak",
 CU52,
IF(MOD($W52,kapitalizacja_odsetek_mc_EDO)&lt;&gt;1,CV51,CX51))</f>
        <v>110722.85</v>
      </c>
      <c r="CW52" s="8">
        <f t="shared" si="138"/>
        <v>5.1000000000000004E-2</v>
      </c>
      <c r="CX52" s="2">
        <f t="shared" si="139"/>
        <v>115428.571125</v>
      </c>
      <c r="CY52" s="2" t="str">
        <f t="shared" si="140"/>
        <v>nie</v>
      </c>
      <c r="CZ52" s="2">
        <f t="shared" si="53"/>
        <v>0</v>
      </c>
      <c r="DA52" s="2">
        <f t="shared" si="54"/>
        <v>0</v>
      </c>
      <c r="DB52" s="2">
        <f t="shared" si="55"/>
        <v>115428.571125</v>
      </c>
      <c r="DC52" s="2">
        <f t="shared" si="141"/>
        <v>0</v>
      </c>
      <c r="DD52" s="2">
        <f t="shared" si="56"/>
        <v>177.15656000000001</v>
      </c>
      <c r="DE52" s="2">
        <f t="shared" si="57"/>
        <v>115251.414565</v>
      </c>
      <c r="DF52" s="2">
        <f t="shared" si="142"/>
        <v>3000</v>
      </c>
      <c r="DG52" s="2">
        <f t="shared" si="143"/>
        <v>2361.4285137500005</v>
      </c>
      <c r="DH52" s="2">
        <f t="shared" si="58"/>
        <v>109889.98605125</v>
      </c>
    </row>
    <row r="53" spans="2:112">
      <c r="B53" s="232"/>
      <c r="C53" s="1">
        <f t="shared" si="102"/>
        <v>16</v>
      </c>
      <c r="D53" s="2">
        <f t="shared" si="105"/>
        <v>105931.2</v>
      </c>
      <c r="E53" s="2">
        <f t="shared" si="106"/>
        <v>103994.272</v>
      </c>
      <c r="F53" s="2">
        <f t="shared" si="107"/>
        <v>106357.75000000003</v>
      </c>
      <c r="G53" s="2">
        <f t="shared" si="108"/>
        <v>103469.50000000001</v>
      </c>
      <c r="H53" s="2">
        <f t="shared" si="109"/>
        <v>107140.95000000001</v>
      </c>
      <c r="I53" s="2">
        <f t="shared" si="110"/>
        <v>103354.1695</v>
      </c>
      <c r="J53" s="2">
        <f t="shared" si="103"/>
        <v>103959.66872191452</v>
      </c>
      <c r="K53" s="2">
        <f t="shared" si="104"/>
        <v>104165.36666666665</v>
      </c>
      <c r="W53" s="1">
        <f t="shared" si="144"/>
        <v>35</v>
      </c>
      <c r="X53" s="2">
        <f t="shared" si="121"/>
        <v>109316.68084166665</v>
      </c>
      <c r="Y53" s="8">
        <f t="shared" si="76"/>
        <v>3.9100000000000003E-2</v>
      </c>
      <c r="Z53" s="5">
        <f t="shared" si="145"/>
        <v>1000</v>
      </c>
      <c r="AA53" s="2">
        <f t="shared" si="146"/>
        <v>100000</v>
      </c>
      <c r="AB53" s="2">
        <f t="shared" si="37"/>
        <v>100000</v>
      </c>
      <c r="AC53" s="2">
        <f t="shared" si="147"/>
        <v>108993.60000000001</v>
      </c>
      <c r="AD53" s="8">
        <f t="shared" si="122"/>
        <v>4.3999999999999997E-2</v>
      </c>
      <c r="AE53" s="2">
        <f t="shared" si="2"/>
        <v>113389.67520000001</v>
      </c>
      <c r="AF53" s="2" t="str">
        <f t="shared" si="123"/>
        <v>nie</v>
      </c>
      <c r="AG53" s="2">
        <f t="shared" si="124"/>
        <v>1000</v>
      </c>
      <c r="AH53" s="1">
        <f t="shared" si="79"/>
        <v>0</v>
      </c>
      <c r="AI53" s="1">
        <f t="shared" si="111"/>
        <v>0</v>
      </c>
      <c r="AJ53" s="6"/>
      <c r="AK53" s="6"/>
      <c r="AL53" s="2">
        <f t="shared" si="90"/>
        <v>0</v>
      </c>
      <c r="AM53" s="8">
        <f t="shared" si="80"/>
        <v>4.3999999999999997E-2</v>
      </c>
      <c r="AN53" s="2">
        <f t="shared" si="91"/>
        <v>0</v>
      </c>
      <c r="AO53" s="2">
        <f t="shared" si="81"/>
        <v>0</v>
      </c>
      <c r="AP53" s="2">
        <f t="shared" si="119"/>
        <v>0</v>
      </c>
      <c r="AQ53" s="8">
        <f t="shared" si="112"/>
        <v>3.9100000000000003E-2</v>
      </c>
      <c r="AR53" s="2">
        <f t="shared" si="113"/>
        <v>0</v>
      </c>
      <c r="AS53" s="2">
        <f t="shared" si="114"/>
        <v>0</v>
      </c>
      <c r="AT53" s="2">
        <f t="shared" si="39"/>
        <v>0</v>
      </c>
      <c r="AU53" s="2">
        <f t="shared" si="92"/>
        <v>0</v>
      </c>
      <c r="AV53" s="2">
        <f t="shared" si="82"/>
        <v>0</v>
      </c>
      <c r="AW53" s="1">
        <f t="shared" si="77"/>
        <v>0</v>
      </c>
      <c r="AX53" s="2">
        <f t="shared" si="125"/>
        <v>0</v>
      </c>
      <c r="AY53" s="1">
        <f t="shared" si="83"/>
        <v>0</v>
      </c>
      <c r="AZ53" s="2">
        <f t="shared" si="40"/>
        <v>0</v>
      </c>
      <c r="BA53" s="2">
        <f t="shared" si="93"/>
        <v>113389.67520000001</v>
      </c>
      <c r="BB53" s="2">
        <f t="shared" si="126"/>
        <v>0</v>
      </c>
      <c r="BC53" s="2">
        <f t="shared" si="41"/>
        <v>174.38976000000002</v>
      </c>
      <c r="BD53" s="2">
        <f t="shared" si="10"/>
        <v>113215.28544000001</v>
      </c>
      <c r="BE53" s="2">
        <f t="shared" si="42"/>
        <v>1000</v>
      </c>
      <c r="BF53" s="2">
        <f t="shared" si="11"/>
        <v>2354.0382880000025</v>
      </c>
      <c r="BG53" s="2">
        <f t="shared" si="12"/>
        <v>109861.24715200001</v>
      </c>
      <c r="BI53" s="8">
        <f t="shared" si="84"/>
        <v>3.1E-2</v>
      </c>
      <c r="BJ53" s="5">
        <f t="shared" si="148"/>
        <v>1000</v>
      </c>
      <c r="BK53" s="2">
        <f t="shared" si="149"/>
        <v>100000</v>
      </c>
      <c r="BL53" s="2">
        <f t="shared" si="150"/>
        <v>100000</v>
      </c>
      <c r="BM53" s="2">
        <f t="shared" si="127"/>
        <v>100000</v>
      </c>
      <c r="BN53" s="8">
        <f t="shared" si="128"/>
        <v>4.5999999999999999E-2</v>
      </c>
      <c r="BO53" s="2">
        <f t="shared" si="129"/>
        <v>104216.66666666667</v>
      </c>
      <c r="BP53" s="2" t="str">
        <f t="shared" si="130"/>
        <v>nie</v>
      </c>
      <c r="BQ53" s="2">
        <f t="shared" si="131"/>
        <v>2000</v>
      </c>
      <c r="BR53" s="1">
        <f t="shared" si="85"/>
        <v>48</v>
      </c>
      <c r="BS53" s="1">
        <f t="shared" si="115"/>
        <v>47</v>
      </c>
      <c r="BT53" s="6"/>
      <c r="BU53" s="6"/>
      <c r="BV53" s="2">
        <f t="shared" si="94"/>
        <v>4800</v>
      </c>
      <c r="BW53" s="8">
        <f t="shared" si="86"/>
        <v>4.7500000000000001E-2</v>
      </c>
      <c r="BX53" s="2">
        <f t="shared" si="95"/>
        <v>5009</v>
      </c>
      <c r="BY53" s="2">
        <f t="shared" si="87"/>
        <v>96</v>
      </c>
      <c r="BZ53" s="2">
        <f t="shared" si="120"/>
        <v>4700</v>
      </c>
      <c r="CA53" s="8">
        <f t="shared" si="116"/>
        <v>4.5999999999999999E-2</v>
      </c>
      <c r="CB53" s="2">
        <f t="shared" si="117"/>
        <v>4898.1833333333334</v>
      </c>
      <c r="CC53" s="2">
        <f t="shared" si="118"/>
        <v>94</v>
      </c>
      <c r="CD53" s="2">
        <f t="shared" si="132"/>
        <v>0</v>
      </c>
      <c r="CE53" s="2">
        <f t="shared" si="96"/>
        <v>0</v>
      </c>
      <c r="CF53" s="2">
        <f t="shared" si="97"/>
        <v>73.250000000015461</v>
      </c>
      <c r="CG53" s="1">
        <f t="shared" si="78"/>
        <v>0</v>
      </c>
      <c r="CH53" s="2">
        <f t="shared" si="133"/>
        <v>73.250000000015461</v>
      </c>
      <c r="CI53" s="1">
        <f t="shared" si="89"/>
        <v>0</v>
      </c>
      <c r="CJ53" s="2">
        <f t="shared" si="98"/>
        <v>73.250000000015461</v>
      </c>
      <c r="CK53" s="2">
        <f t="shared" si="99"/>
        <v>114197.10000000002</v>
      </c>
      <c r="CL53" s="2">
        <f t="shared" si="134"/>
        <v>0</v>
      </c>
      <c r="CM53" s="2">
        <f t="shared" si="47"/>
        <v>175.31720000000004</v>
      </c>
      <c r="CN53" s="2">
        <f t="shared" si="135"/>
        <v>114021.78280000002</v>
      </c>
      <c r="CO53" s="2">
        <f t="shared" si="48"/>
        <v>2190</v>
      </c>
      <c r="CP53" s="2">
        <f t="shared" si="136"/>
        <v>2281.3490000000038</v>
      </c>
      <c r="CQ53" s="2">
        <f t="shared" si="137"/>
        <v>109550.43380000001</v>
      </c>
      <c r="CS53" s="5">
        <f t="shared" si="151"/>
        <v>1000</v>
      </c>
      <c r="CT53" s="2">
        <f t="shared" si="152"/>
        <v>100000</v>
      </c>
      <c r="CU53" s="2">
        <f t="shared" si="153"/>
        <v>100000</v>
      </c>
      <c r="CV53" s="2">
        <f t="shared" si="154"/>
        <v>110722.85</v>
      </c>
      <c r="CW53" s="8">
        <f t="shared" si="138"/>
        <v>5.1000000000000004E-2</v>
      </c>
      <c r="CX53" s="2">
        <f t="shared" si="139"/>
        <v>115899.14323750001</v>
      </c>
      <c r="CY53" s="2" t="str">
        <f t="shared" si="140"/>
        <v>nie</v>
      </c>
      <c r="CZ53" s="2">
        <f t="shared" si="53"/>
        <v>0</v>
      </c>
      <c r="DA53" s="2">
        <f t="shared" si="54"/>
        <v>0</v>
      </c>
      <c r="DB53" s="2">
        <f t="shared" si="55"/>
        <v>115899.14323750001</v>
      </c>
      <c r="DC53" s="2">
        <f t="shared" si="141"/>
        <v>0</v>
      </c>
      <c r="DD53" s="2">
        <f t="shared" si="56"/>
        <v>177.15656000000001</v>
      </c>
      <c r="DE53" s="2">
        <f t="shared" si="57"/>
        <v>115721.98667750001</v>
      </c>
      <c r="DF53" s="2">
        <f t="shared" si="142"/>
        <v>3000</v>
      </c>
      <c r="DG53" s="2">
        <f t="shared" si="143"/>
        <v>2450.8372151250028</v>
      </c>
      <c r="DH53" s="2">
        <f t="shared" si="58"/>
        <v>110271.149462375</v>
      </c>
    </row>
    <row r="54" spans="2:112">
      <c r="B54" s="232"/>
      <c r="C54" s="1">
        <f t="shared" si="102"/>
        <v>17</v>
      </c>
      <c r="D54" s="2">
        <f t="shared" si="105"/>
        <v>106314</v>
      </c>
      <c r="E54" s="2">
        <f t="shared" si="106"/>
        <v>104304.34</v>
      </c>
      <c r="F54" s="2">
        <f t="shared" si="107"/>
        <v>106759.6875</v>
      </c>
      <c r="G54" s="2">
        <f t="shared" si="108"/>
        <v>103780</v>
      </c>
      <c r="H54" s="2">
        <f t="shared" si="109"/>
        <v>107588.68750000001</v>
      </c>
      <c r="I54" s="2">
        <f t="shared" si="110"/>
        <v>103716.83687500001</v>
      </c>
      <c r="J54" s="2">
        <f t="shared" si="103"/>
        <v>104212.29071690877</v>
      </c>
      <c r="K54" s="2">
        <f t="shared" si="104"/>
        <v>104431.70833333331</v>
      </c>
      <c r="W54" s="1">
        <f t="shared" si="144"/>
        <v>36</v>
      </c>
      <c r="X54" s="2">
        <f t="shared" si="121"/>
        <v>109591.27909999997</v>
      </c>
      <c r="Y54" s="8">
        <f t="shared" si="76"/>
        <v>3.9100000000000003E-2</v>
      </c>
      <c r="Z54" s="5">
        <f t="shared" si="145"/>
        <v>1000</v>
      </c>
      <c r="AA54" s="2">
        <f t="shared" si="146"/>
        <v>100000</v>
      </c>
      <c r="AB54" s="2">
        <f t="shared" si="37"/>
        <v>100000</v>
      </c>
      <c r="AC54" s="2">
        <f t="shared" si="147"/>
        <v>108993.60000000001</v>
      </c>
      <c r="AD54" s="8">
        <f t="shared" si="122"/>
        <v>3.9100000000000003E-2</v>
      </c>
      <c r="AE54" s="2">
        <f t="shared" si="2"/>
        <v>113255.24975999999</v>
      </c>
      <c r="AF54" s="2" t="str">
        <f t="shared" si="123"/>
        <v>tak</v>
      </c>
      <c r="AG54" s="2">
        <f t="shared" si="124"/>
        <v>0</v>
      </c>
      <c r="AH54" s="1">
        <f t="shared" si="79"/>
        <v>0</v>
      </c>
      <c r="AI54" s="1">
        <f t="shared" si="111"/>
        <v>0</v>
      </c>
      <c r="AJ54" s="6"/>
      <c r="AK54" s="6"/>
      <c r="AL54" s="2">
        <f t="shared" si="90"/>
        <v>0</v>
      </c>
      <c r="AM54" s="8">
        <f t="shared" si="80"/>
        <v>4.3999999999999997E-2</v>
      </c>
      <c r="AN54" s="2">
        <f t="shared" si="91"/>
        <v>0</v>
      </c>
      <c r="AO54" s="2">
        <f t="shared" si="81"/>
        <v>0</v>
      </c>
      <c r="AP54" s="2">
        <f t="shared" si="119"/>
        <v>0</v>
      </c>
      <c r="AQ54" s="8">
        <f t="shared" si="112"/>
        <v>3.9100000000000003E-2</v>
      </c>
      <c r="AR54" s="2">
        <f t="shared" si="113"/>
        <v>0</v>
      </c>
      <c r="AS54" s="2">
        <f t="shared" si="114"/>
        <v>0</v>
      </c>
      <c r="AT54" s="2">
        <f t="shared" si="39"/>
        <v>68.549759999979869</v>
      </c>
      <c r="AU54" s="2">
        <f t="shared" si="92"/>
        <v>0</v>
      </c>
      <c r="AV54" s="2">
        <f t="shared" si="82"/>
        <v>68.549759999979869</v>
      </c>
      <c r="AW54" s="1">
        <f t="shared" si="77"/>
        <v>0</v>
      </c>
      <c r="AX54" s="2">
        <f t="shared" si="125"/>
        <v>68.549759999979869</v>
      </c>
      <c r="AY54" s="1">
        <f t="shared" si="83"/>
        <v>0</v>
      </c>
      <c r="AZ54" s="2">
        <f t="shared" si="40"/>
        <v>68.549759999979869</v>
      </c>
      <c r="BA54" s="2">
        <f t="shared" si="93"/>
        <v>113255.24975999999</v>
      </c>
      <c r="BB54" s="2">
        <f t="shared" si="126"/>
        <v>169.88287463999998</v>
      </c>
      <c r="BC54" s="2">
        <f t="shared" si="41"/>
        <v>344.27263463999998</v>
      </c>
      <c r="BD54" s="2">
        <f t="shared" si="10"/>
        <v>112910.97712535999</v>
      </c>
      <c r="BE54" s="2">
        <f t="shared" si="42"/>
        <v>0</v>
      </c>
      <c r="BF54" s="2">
        <f t="shared" si="11"/>
        <v>2518.4974543999983</v>
      </c>
      <c r="BG54" s="2">
        <f t="shared" si="12"/>
        <v>110392.47967095999</v>
      </c>
      <c r="BI54" s="8">
        <f t="shared" si="84"/>
        <v>3.1E-2</v>
      </c>
      <c r="BJ54" s="5">
        <f t="shared" si="148"/>
        <v>1000</v>
      </c>
      <c r="BK54" s="2">
        <f t="shared" si="149"/>
        <v>100000</v>
      </c>
      <c r="BL54" s="2">
        <f t="shared" si="150"/>
        <v>100000</v>
      </c>
      <c r="BM54" s="2">
        <f t="shared" si="127"/>
        <v>100000</v>
      </c>
      <c r="BN54" s="8">
        <f t="shared" si="128"/>
        <v>4.5999999999999999E-2</v>
      </c>
      <c r="BO54" s="2">
        <f t="shared" si="129"/>
        <v>104600</v>
      </c>
      <c r="BP54" s="2" t="str">
        <f t="shared" si="130"/>
        <v>nie</v>
      </c>
      <c r="BQ54" s="2">
        <f t="shared" si="131"/>
        <v>2000</v>
      </c>
      <c r="BR54" s="1">
        <f t="shared" si="85"/>
        <v>48</v>
      </c>
      <c r="BS54" s="1">
        <f t="shared" si="115"/>
        <v>47</v>
      </c>
      <c r="BT54" s="6"/>
      <c r="BU54" s="6"/>
      <c r="BV54" s="2">
        <f t="shared" si="94"/>
        <v>4800</v>
      </c>
      <c r="BW54" s="8">
        <f t="shared" si="86"/>
        <v>4.7500000000000001E-2</v>
      </c>
      <c r="BX54" s="2">
        <f t="shared" si="95"/>
        <v>5028.0000000000009</v>
      </c>
      <c r="BY54" s="2">
        <f t="shared" si="87"/>
        <v>96</v>
      </c>
      <c r="BZ54" s="2">
        <f t="shared" si="120"/>
        <v>4700</v>
      </c>
      <c r="CA54" s="8">
        <f t="shared" si="116"/>
        <v>4.5999999999999999E-2</v>
      </c>
      <c r="CB54" s="2">
        <f t="shared" si="117"/>
        <v>4916.2</v>
      </c>
      <c r="CC54" s="2">
        <f t="shared" si="118"/>
        <v>94</v>
      </c>
      <c r="CD54" s="2">
        <f t="shared" si="132"/>
        <v>4600</v>
      </c>
      <c r="CE54" s="2">
        <f t="shared" si="96"/>
        <v>444.20000000000073</v>
      </c>
      <c r="CF54" s="2">
        <f t="shared" si="97"/>
        <v>5117.4500000000162</v>
      </c>
      <c r="CG54" s="1">
        <f t="shared" si="78"/>
        <v>0</v>
      </c>
      <c r="CH54" s="2">
        <f t="shared" si="133"/>
        <v>5117.4500000000162</v>
      </c>
      <c r="CI54" s="1">
        <f t="shared" si="89"/>
        <v>51</v>
      </c>
      <c r="CJ54" s="2">
        <f t="shared" si="98"/>
        <v>17.450000000016189</v>
      </c>
      <c r="CK54" s="2">
        <f t="shared" si="99"/>
        <v>114617.45000000001</v>
      </c>
      <c r="CL54" s="2">
        <f t="shared" si="134"/>
        <v>171.92617500000003</v>
      </c>
      <c r="CM54" s="2">
        <f t="shared" si="47"/>
        <v>347.24337500000007</v>
      </c>
      <c r="CN54" s="2">
        <f t="shared" si="135"/>
        <v>114270.20662500001</v>
      </c>
      <c r="CO54" s="2">
        <f t="shared" si="48"/>
        <v>2190</v>
      </c>
      <c r="CP54" s="2">
        <f t="shared" si="136"/>
        <v>2361.2155000000021</v>
      </c>
      <c r="CQ54" s="2">
        <f t="shared" si="137"/>
        <v>109718.991125</v>
      </c>
      <c r="CS54" s="5">
        <f t="shared" si="151"/>
        <v>1000</v>
      </c>
      <c r="CT54" s="2">
        <f t="shared" si="152"/>
        <v>100000</v>
      </c>
      <c r="CU54" s="2">
        <f t="shared" si="153"/>
        <v>100000</v>
      </c>
      <c r="CV54" s="2">
        <f t="shared" si="154"/>
        <v>110722.85</v>
      </c>
      <c r="CW54" s="8">
        <f t="shared" si="138"/>
        <v>5.1000000000000004E-2</v>
      </c>
      <c r="CX54" s="2">
        <f t="shared" si="139"/>
        <v>116369.71535</v>
      </c>
      <c r="CY54" s="2" t="str">
        <f t="shared" si="140"/>
        <v>nie</v>
      </c>
      <c r="CZ54" s="2">
        <f t="shared" si="53"/>
        <v>0</v>
      </c>
      <c r="DA54" s="2">
        <f t="shared" si="54"/>
        <v>0</v>
      </c>
      <c r="DB54" s="2">
        <f t="shared" si="55"/>
        <v>116369.71535</v>
      </c>
      <c r="DC54" s="2">
        <f t="shared" si="141"/>
        <v>174.554573025</v>
      </c>
      <c r="DD54" s="2">
        <f t="shared" si="56"/>
        <v>351.71113302499998</v>
      </c>
      <c r="DE54" s="2">
        <f t="shared" si="57"/>
        <v>116018.00421697499</v>
      </c>
      <c r="DF54" s="2">
        <f t="shared" si="142"/>
        <v>3000</v>
      </c>
      <c r="DG54" s="2">
        <f t="shared" si="143"/>
        <v>2540.2459164999996</v>
      </c>
      <c r="DH54" s="2">
        <f t="shared" si="58"/>
        <v>110477.75830047499</v>
      </c>
    </row>
    <row r="55" spans="2:112">
      <c r="B55" s="232"/>
      <c r="C55" s="1">
        <f t="shared" si="102"/>
        <v>18</v>
      </c>
      <c r="D55" s="2">
        <f t="shared" si="105"/>
        <v>106696.8</v>
      </c>
      <c r="E55" s="2">
        <f t="shared" si="106"/>
        <v>104614.408</v>
      </c>
      <c r="F55" s="2">
        <f t="shared" si="107"/>
        <v>107161.625</v>
      </c>
      <c r="G55" s="2">
        <f t="shared" si="108"/>
        <v>104104.77625</v>
      </c>
      <c r="H55" s="2">
        <f t="shared" si="109"/>
        <v>108036.42500000002</v>
      </c>
      <c r="I55" s="2">
        <f t="shared" si="110"/>
        <v>104079.50425000001</v>
      </c>
      <c r="J55" s="2">
        <f t="shared" si="103"/>
        <v>104465.52658335085</v>
      </c>
      <c r="K55" s="2">
        <f t="shared" si="104"/>
        <v>104698.04999999999</v>
      </c>
      <c r="W55" s="1">
        <f t="shared" si="144"/>
        <v>37</v>
      </c>
      <c r="X55" s="2">
        <f t="shared" si="121"/>
        <v>109874.38990434165</v>
      </c>
      <c r="Y55" s="8">
        <f t="shared" si="76"/>
        <v>3.9100000000000003E-2</v>
      </c>
      <c r="Z55" s="5">
        <f t="shared" si="145"/>
        <v>1133</v>
      </c>
      <c r="AA55" s="2">
        <f t="shared" si="146"/>
        <v>113186.70000000001</v>
      </c>
      <c r="AB55" s="2">
        <f t="shared" si="37"/>
        <v>113300</v>
      </c>
      <c r="AC55" s="2">
        <f t="shared" si="147"/>
        <v>113300</v>
      </c>
      <c r="AD55" s="8">
        <f t="shared" si="122"/>
        <v>4.3999999999999997E-2</v>
      </c>
      <c r="AE55" s="2">
        <f t="shared" si="2"/>
        <v>113715.43333333333</v>
      </c>
      <c r="AF55" s="2" t="str">
        <f t="shared" si="123"/>
        <v>nie</v>
      </c>
      <c r="AG55" s="2">
        <f t="shared" si="124"/>
        <v>415.4333333333343</v>
      </c>
      <c r="AH55" s="1">
        <f t="shared" si="79"/>
        <v>0</v>
      </c>
      <c r="AI55" s="1">
        <f t="shared" si="111"/>
        <v>0</v>
      </c>
      <c r="AJ55" s="1">
        <f t="shared" ref="AJ55:AJ86" si="155">IF(zapadalnosc_TOS/12&gt;=AJ$18,AI43,0)</f>
        <v>0</v>
      </c>
      <c r="AK55" s="6"/>
      <c r="AL55" s="2">
        <f t="shared" si="90"/>
        <v>0</v>
      </c>
      <c r="AM55" s="8">
        <f t="shared" si="80"/>
        <v>4.3999999999999997E-2</v>
      </c>
      <c r="AN55" s="2">
        <f t="shared" si="91"/>
        <v>0</v>
      </c>
      <c r="AO55" s="2">
        <f t="shared" si="81"/>
        <v>0</v>
      </c>
      <c r="AP55" s="2">
        <f t="shared" si="119"/>
        <v>0</v>
      </c>
      <c r="AQ55" s="8">
        <f t="shared" si="112"/>
        <v>3.9100000000000003E-2</v>
      </c>
      <c r="AR55" s="2">
        <f t="shared" si="113"/>
        <v>0</v>
      </c>
      <c r="AS55" s="2">
        <f t="shared" si="114"/>
        <v>0</v>
      </c>
      <c r="AT55" s="2">
        <f t="shared" si="39"/>
        <v>0</v>
      </c>
      <c r="AU55" s="2">
        <f t="shared" si="92"/>
        <v>0</v>
      </c>
      <c r="AV55" s="2">
        <f t="shared" si="82"/>
        <v>68.549759999979869</v>
      </c>
      <c r="AW55" s="1">
        <f t="shared" si="77"/>
        <v>0</v>
      </c>
      <c r="AX55" s="2">
        <f t="shared" si="125"/>
        <v>68.549759999979869</v>
      </c>
      <c r="AY55" s="1">
        <f t="shared" si="83"/>
        <v>0</v>
      </c>
      <c r="AZ55" s="2">
        <f t="shared" si="40"/>
        <v>68.549759999979869</v>
      </c>
      <c r="BA55" s="2">
        <f t="shared" si="93"/>
        <v>113783.98309333331</v>
      </c>
      <c r="BB55" s="2">
        <f t="shared" si="126"/>
        <v>0</v>
      </c>
      <c r="BC55" s="2">
        <f t="shared" si="41"/>
        <v>344.27263463999998</v>
      </c>
      <c r="BD55" s="2">
        <f t="shared" si="10"/>
        <v>113439.71045869331</v>
      </c>
      <c r="BE55" s="2">
        <f t="shared" si="42"/>
        <v>415.4333333333343</v>
      </c>
      <c r="BF55" s="2">
        <f t="shared" si="11"/>
        <v>2540.0244543999961</v>
      </c>
      <c r="BG55" s="2">
        <f t="shared" si="12"/>
        <v>110484.25267095998</v>
      </c>
      <c r="BI55" s="8">
        <f t="shared" si="84"/>
        <v>3.1E-2</v>
      </c>
      <c r="BJ55" s="5">
        <f t="shared" si="148"/>
        <v>1000</v>
      </c>
      <c r="BK55" s="2">
        <f t="shared" si="149"/>
        <v>100000</v>
      </c>
      <c r="BL55" s="2">
        <f t="shared" si="150"/>
        <v>100000</v>
      </c>
      <c r="BM55" s="2">
        <f t="shared" si="127"/>
        <v>100000</v>
      </c>
      <c r="BN55" s="8">
        <f t="shared" si="128"/>
        <v>4.5999999999999999E-2</v>
      </c>
      <c r="BO55" s="2">
        <f t="shared" si="129"/>
        <v>100383.33333333333</v>
      </c>
      <c r="BP55" s="2" t="str">
        <f t="shared" si="130"/>
        <v>nie</v>
      </c>
      <c r="BQ55" s="2">
        <f t="shared" si="131"/>
        <v>2000</v>
      </c>
      <c r="BR55" s="1">
        <f t="shared" si="85"/>
        <v>51</v>
      </c>
      <c r="BS55" s="1">
        <f t="shared" si="115"/>
        <v>48</v>
      </c>
      <c r="BT55" s="1">
        <f t="shared" ref="BT55:BT86" si="156">IF(zapadalnosc_COI/12&gt;=BT$18,BS43,0)</f>
        <v>47</v>
      </c>
      <c r="BU55" s="6"/>
      <c r="BV55" s="2">
        <f t="shared" si="94"/>
        <v>5100</v>
      </c>
      <c r="BW55" s="8">
        <f t="shared" si="86"/>
        <v>4.7500000000000001E-2</v>
      </c>
      <c r="BX55" s="2">
        <f t="shared" si="95"/>
        <v>5120.1875</v>
      </c>
      <c r="BY55" s="2">
        <f t="shared" si="87"/>
        <v>20.1875</v>
      </c>
      <c r="BZ55" s="2">
        <f t="shared" si="120"/>
        <v>9500</v>
      </c>
      <c r="CA55" s="8">
        <f t="shared" si="116"/>
        <v>4.5999999999999999E-2</v>
      </c>
      <c r="CB55" s="2">
        <f t="shared" si="117"/>
        <v>9536.4166666666661</v>
      </c>
      <c r="CC55" s="2">
        <f t="shared" si="118"/>
        <v>190</v>
      </c>
      <c r="CD55" s="2">
        <f t="shared" si="132"/>
        <v>0</v>
      </c>
      <c r="CE55" s="2">
        <f t="shared" si="96"/>
        <v>0</v>
      </c>
      <c r="CF55" s="2">
        <f t="shared" si="97"/>
        <v>17.450000000016189</v>
      </c>
      <c r="CG55" s="1">
        <f t="shared" si="78"/>
        <v>0</v>
      </c>
      <c r="CH55" s="2">
        <f t="shared" si="133"/>
        <v>17.450000000016189</v>
      </c>
      <c r="CI55" s="1">
        <f t="shared" si="89"/>
        <v>0</v>
      </c>
      <c r="CJ55" s="2">
        <f t="shared" si="98"/>
        <v>17.450000000016189</v>
      </c>
      <c r="CK55" s="2">
        <f t="shared" si="99"/>
        <v>115057.38750000001</v>
      </c>
      <c r="CL55" s="2">
        <f t="shared" si="134"/>
        <v>0</v>
      </c>
      <c r="CM55" s="2">
        <f t="shared" si="47"/>
        <v>347.24337500000007</v>
      </c>
      <c r="CN55" s="2">
        <f t="shared" si="135"/>
        <v>114710.14412500001</v>
      </c>
      <c r="CO55" s="2">
        <f t="shared" si="48"/>
        <v>2210.1875</v>
      </c>
      <c r="CP55" s="2">
        <f t="shared" si="136"/>
        <v>2440.9680000000021</v>
      </c>
      <c r="CQ55" s="2">
        <f t="shared" si="137"/>
        <v>110058.988625</v>
      </c>
      <c r="CS55" s="5">
        <f t="shared" si="151"/>
        <v>1000</v>
      </c>
      <c r="CT55" s="2">
        <f t="shared" si="152"/>
        <v>100000</v>
      </c>
      <c r="CU55" s="2">
        <f t="shared" si="153"/>
        <v>100000</v>
      </c>
      <c r="CV55" s="2">
        <f t="shared" si="154"/>
        <v>116369.71535</v>
      </c>
      <c r="CW55" s="8">
        <f t="shared" si="138"/>
        <v>5.1000000000000004E-2</v>
      </c>
      <c r="CX55" s="2">
        <f t="shared" si="139"/>
        <v>116864.28664023751</v>
      </c>
      <c r="CY55" s="2" t="str">
        <f t="shared" si="140"/>
        <v>nie</v>
      </c>
      <c r="CZ55" s="2">
        <f t="shared" si="53"/>
        <v>0</v>
      </c>
      <c r="DA55" s="2">
        <f t="shared" si="54"/>
        <v>0</v>
      </c>
      <c r="DB55" s="2">
        <f t="shared" si="55"/>
        <v>116864.28664023751</v>
      </c>
      <c r="DC55" s="2">
        <f t="shared" si="141"/>
        <v>0</v>
      </c>
      <c r="DD55" s="2">
        <f t="shared" si="56"/>
        <v>351.71113302499998</v>
      </c>
      <c r="DE55" s="2">
        <f t="shared" si="57"/>
        <v>116512.5755072125</v>
      </c>
      <c r="DF55" s="2">
        <f t="shared" si="142"/>
        <v>3000</v>
      </c>
      <c r="DG55" s="2">
        <f t="shared" si="143"/>
        <v>2634.2144616451264</v>
      </c>
      <c r="DH55" s="2">
        <f t="shared" si="58"/>
        <v>110878.36104556738</v>
      </c>
    </row>
    <row r="56" spans="2:112">
      <c r="B56" s="232"/>
      <c r="C56" s="1">
        <f t="shared" si="102"/>
        <v>19</v>
      </c>
      <c r="D56" s="2">
        <f t="shared" si="105"/>
        <v>107079.6</v>
      </c>
      <c r="E56" s="2">
        <f t="shared" si="106"/>
        <v>104924.47600000001</v>
      </c>
      <c r="F56" s="2">
        <f t="shared" si="107"/>
        <v>107563.56250000001</v>
      </c>
      <c r="G56" s="2">
        <f t="shared" si="108"/>
        <v>104430.34562500002</v>
      </c>
      <c r="H56" s="2">
        <f t="shared" si="109"/>
        <v>108484.16250000001</v>
      </c>
      <c r="I56" s="2">
        <f t="shared" si="110"/>
        <v>104442.171625</v>
      </c>
      <c r="J56" s="2">
        <f t="shared" si="103"/>
        <v>104719.37781294838</v>
      </c>
      <c r="K56" s="2">
        <f t="shared" si="104"/>
        <v>104964.39166666665</v>
      </c>
      <c r="W56" s="1">
        <f t="shared" si="144"/>
        <v>38</v>
      </c>
      <c r="X56" s="2">
        <f t="shared" si="121"/>
        <v>110157.50070868332</v>
      </c>
      <c r="Y56" s="8">
        <f t="shared" si="76"/>
        <v>3.9100000000000003E-2</v>
      </c>
      <c r="Z56" s="5">
        <f t="shared" si="145"/>
        <v>1133</v>
      </c>
      <c r="AA56" s="2">
        <f t="shared" si="146"/>
        <v>113186.70000000001</v>
      </c>
      <c r="AB56" s="2">
        <f t="shared" si="37"/>
        <v>113300</v>
      </c>
      <c r="AC56" s="2">
        <f t="shared" si="147"/>
        <v>113300</v>
      </c>
      <c r="AD56" s="8">
        <f t="shared" si="122"/>
        <v>4.3999999999999997E-2</v>
      </c>
      <c r="AE56" s="2">
        <f t="shared" si="2"/>
        <v>114130.86666666667</v>
      </c>
      <c r="AF56" s="2" t="str">
        <f t="shared" si="123"/>
        <v>nie</v>
      </c>
      <c r="AG56" s="2">
        <f t="shared" si="124"/>
        <v>830.86666666666861</v>
      </c>
      <c r="AH56" s="1">
        <f t="shared" si="79"/>
        <v>0</v>
      </c>
      <c r="AI56" s="1">
        <f t="shared" si="111"/>
        <v>0</v>
      </c>
      <c r="AJ56" s="1">
        <f t="shared" si="155"/>
        <v>0</v>
      </c>
      <c r="AK56" s="6"/>
      <c r="AL56" s="2">
        <f t="shared" si="90"/>
        <v>0</v>
      </c>
      <c r="AM56" s="8">
        <f t="shared" si="80"/>
        <v>4.3999999999999997E-2</v>
      </c>
      <c r="AN56" s="2">
        <f t="shared" si="91"/>
        <v>0</v>
      </c>
      <c r="AO56" s="2">
        <f t="shared" si="81"/>
        <v>0</v>
      </c>
      <c r="AP56" s="2">
        <f t="shared" si="119"/>
        <v>0</v>
      </c>
      <c r="AQ56" s="8">
        <f t="shared" si="112"/>
        <v>3.9100000000000003E-2</v>
      </c>
      <c r="AR56" s="2">
        <f t="shared" si="113"/>
        <v>0</v>
      </c>
      <c r="AS56" s="2">
        <f t="shared" si="114"/>
        <v>0</v>
      </c>
      <c r="AT56" s="2">
        <f t="shared" si="39"/>
        <v>0</v>
      </c>
      <c r="AU56" s="2">
        <f t="shared" si="92"/>
        <v>0</v>
      </c>
      <c r="AV56" s="2">
        <f t="shared" si="82"/>
        <v>68.549759999979869</v>
      </c>
      <c r="AW56" s="1">
        <f t="shared" si="77"/>
        <v>0</v>
      </c>
      <c r="AX56" s="2">
        <f t="shared" si="125"/>
        <v>68.549759999979869</v>
      </c>
      <c r="AY56" s="1">
        <f t="shared" si="83"/>
        <v>0</v>
      </c>
      <c r="AZ56" s="2">
        <f t="shared" si="40"/>
        <v>68.549759999979869</v>
      </c>
      <c r="BA56" s="2">
        <f t="shared" si="93"/>
        <v>114199.41642666665</v>
      </c>
      <c r="BB56" s="2">
        <f t="shared" si="126"/>
        <v>0</v>
      </c>
      <c r="BC56" s="2">
        <f t="shared" si="41"/>
        <v>344.27263463999998</v>
      </c>
      <c r="BD56" s="2">
        <f t="shared" si="10"/>
        <v>113855.14379202665</v>
      </c>
      <c r="BE56" s="2">
        <f t="shared" si="42"/>
        <v>830.86666666666861</v>
      </c>
      <c r="BF56" s="2">
        <f t="shared" si="11"/>
        <v>2540.0244543999961</v>
      </c>
      <c r="BG56" s="2">
        <f t="shared" si="12"/>
        <v>110484.25267095998</v>
      </c>
      <c r="BI56" s="8">
        <f t="shared" si="84"/>
        <v>3.1E-2</v>
      </c>
      <c r="BJ56" s="5">
        <f t="shared" si="148"/>
        <v>1000</v>
      </c>
      <c r="BK56" s="2">
        <f t="shared" si="149"/>
        <v>100000</v>
      </c>
      <c r="BL56" s="2">
        <f t="shared" si="150"/>
        <v>100000</v>
      </c>
      <c r="BM56" s="2">
        <f t="shared" si="127"/>
        <v>100000</v>
      </c>
      <c r="BN56" s="8">
        <f t="shared" si="128"/>
        <v>4.5999999999999999E-2</v>
      </c>
      <c r="BO56" s="2">
        <f t="shared" si="129"/>
        <v>100766.66666666667</v>
      </c>
      <c r="BP56" s="2" t="str">
        <f t="shared" si="130"/>
        <v>nie</v>
      </c>
      <c r="BQ56" s="2">
        <f t="shared" si="131"/>
        <v>2000</v>
      </c>
      <c r="BR56" s="1">
        <f t="shared" si="85"/>
        <v>51</v>
      </c>
      <c r="BS56" s="1">
        <f t="shared" si="115"/>
        <v>48</v>
      </c>
      <c r="BT56" s="1">
        <f t="shared" si="156"/>
        <v>47</v>
      </c>
      <c r="BU56" s="6"/>
      <c r="BV56" s="2">
        <f t="shared" si="94"/>
        <v>5100</v>
      </c>
      <c r="BW56" s="8">
        <f t="shared" si="86"/>
        <v>4.7500000000000001E-2</v>
      </c>
      <c r="BX56" s="2">
        <f t="shared" si="95"/>
        <v>5140.3749999999991</v>
      </c>
      <c r="BY56" s="2">
        <f t="shared" si="87"/>
        <v>40.374999999999091</v>
      </c>
      <c r="BZ56" s="2">
        <f t="shared" si="120"/>
        <v>9500</v>
      </c>
      <c r="CA56" s="8">
        <f t="shared" si="116"/>
        <v>4.5999999999999999E-2</v>
      </c>
      <c r="CB56" s="2">
        <f t="shared" si="117"/>
        <v>9572.8333333333339</v>
      </c>
      <c r="CC56" s="2">
        <f t="shared" si="118"/>
        <v>190</v>
      </c>
      <c r="CD56" s="2">
        <f t="shared" si="132"/>
        <v>0</v>
      </c>
      <c r="CE56" s="2">
        <f t="shared" si="96"/>
        <v>0</v>
      </c>
      <c r="CF56" s="2">
        <f t="shared" si="97"/>
        <v>17.450000000016189</v>
      </c>
      <c r="CG56" s="1">
        <f t="shared" si="78"/>
        <v>0</v>
      </c>
      <c r="CH56" s="2">
        <f t="shared" si="133"/>
        <v>17.450000000016189</v>
      </c>
      <c r="CI56" s="1">
        <f t="shared" si="89"/>
        <v>0</v>
      </c>
      <c r="CJ56" s="2">
        <f t="shared" si="98"/>
        <v>17.450000000016189</v>
      </c>
      <c r="CK56" s="2">
        <f t="shared" si="99"/>
        <v>115497.32500000001</v>
      </c>
      <c r="CL56" s="2">
        <f t="shared" si="134"/>
        <v>0</v>
      </c>
      <c r="CM56" s="2">
        <f t="shared" si="47"/>
        <v>347.24337500000007</v>
      </c>
      <c r="CN56" s="2">
        <f t="shared" si="135"/>
        <v>115150.08162500001</v>
      </c>
      <c r="CO56" s="2">
        <f t="shared" si="48"/>
        <v>2230.3749999999991</v>
      </c>
      <c r="CP56" s="2">
        <f t="shared" si="136"/>
        <v>2520.7205000000022</v>
      </c>
      <c r="CQ56" s="2">
        <f t="shared" si="137"/>
        <v>110398.98612500001</v>
      </c>
      <c r="CS56" s="5">
        <f t="shared" si="151"/>
        <v>1000</v>
      </c>
      <c r="CT56" s="2">
        <f t="shared" si="152"/>
        <v>100000</v>
      </c>
      <c r="CU56" s="2">
        <f t="shared" si="153"/>
        <v>100000</v>
      </c>
      <c r="CV56" s="2">
        <f t="shared" si="154"/>
        <v>116369.71535</v>
      </c>
      <c r="CW56" s="8">
        <f t="shared" si="138"/>
        <v>5.1000000000000004E-2</v>
      </c>
      <c r="CX56" s="2">
        <f t="shared" si="139"/>
        <v>117358.85793047499</v>
      </c>
      <c r="CY56" s="2" t="str">
        <f t="shared" si="140"/>
        <v>nie</v>
      </c>
      <c r="CZ56" s="2">
        <f t="shared" si="53"/>
        <v>0</v>
      </c>
      <c r="DA56" s="2">
        <f t="shared" si="54"/>
        <v>0</v>
      </c>
      <c r="DB56" s="2">
        <f t="shared" si="55"/>
        <v>117358.85793047499</v>
      </c>
      <c r="DC56" s="2">
        <f t="shared" si="141"/>
        <v>0</v>
      </c>
      <c r="DD56" s="2">
        <f t="shared" si="56"/>
        <v>351.71113302499998</v>
      </c>
      <c r="DE56" s="2">
        <f t="shared" si="57"/>
        <v>117007.14679744998</v>
      </c>
      <c r="DF56" s="2">
        <f t="shared" si="142"/>
        <v>3000</v>
      </c>
      <c r="DG56" s="2">
        <f t="shared" si="143"/>
        <v>2728.1830067902474</v>
      </c>
      <c r="DH56" s="2">
        <f t="shared" si="58"/>
        <v>111278.96379065973</v>
      </c>
    </row>
    <row r="57" spans="2:112">
      <c r="B57" s="232"/>
      <c r="C57" s="1">
        <f t="shared" si="102"/>
        <v>20</v>
      </c>
      <c r="D57" s="2">
        <f t="shared" si="105"/>
        <v>107462.40000000001</v>
      </c>
      <c r="E57" s="2">
        <f t="shared" si="106"/>
        <v>105234.54400000001</v>
      </c>
      <c r="F57" s="2">
        <f t="shared" si="107"/>
        <v>107965.5</v>
      </c>
      <c r="G57" s="2">
        <f t="shared" si="108"/>
        <v>104755.91499999999</v>
      </c>
      <c r="H57" s="2">
        <f t="shared" si="109"/>
        <v>108931.90000000002</v>
      </c>
      <c r="I57" s="2">
        <f t="shared" si="110"/>
        <v>104804.83900000002</v>
      </c>
      <c r="J57" s="2">
        <f t="shared" si="103"/>
        <v>104973.84590103384</v>
      </c>
      <c r="K57" s="2">
        <f t="shared" si="104"/>
        <v>105230.73333333331</v>
      </c>
      <c r="W57" s="1">
        <f t="shared" si="144"/>
        <v>39</v>
      </c>
      <c r="X57" s="2">
        <f t="shared" si="121"/>
        <v>110440.61151302497</v>
      </c>
      <c r="Y57" s="8">
        <f t="shared" ref="Y57:Y88" si="157">MAX(INDEX(scenariusz_I_WIBOR6M,MATCH(ROUNDUP(W57/12,0),scenariusz_I_rok,0)),0)</f>
        <v>3.9100000000000003E-2</v>
      </c>
      <c r="Z57" s="5">
        <f t="shared" si="145"/>
        <v>1133</v>
      </c>
      <c r="AA57" s="2">
        <f t="shared" si="146"/>
        <v>113186.70000000001</v>
      </c>
      <c r="AB57" s="2">
        <f t="shared" si="37"/>
        <v>113300</v>
      </c>
      <c r="AC57" s="2">
        <f t="shared" si="147"/>
        <v>113300</v>
      </c>
      <c r="AD57" s="8">
        <f t="shared" si="122"/>
        <v>4.3999999999999997E-2</v>
      </c>
      <c r="AE57" s="2">
        <f t="shared" si="2"/>
        <v>114546.29999999999</v>
      </c>
      <c r="AF57" s="2" t="str">
        <f t="shared" si="123"/>
        <v>nie</v>
      </c>
      <c r="AG57" s="2">
        <f t="shared" si="124"/>
        <v>1133</v>
      </c>
      <c r="AH57" s="1">
        <f t="shared" si="79"/>
        <v>0</v>
      </c>
      <c r="AI57" s="1">
        <f t="shared" si="111"/>
        <v>0</v>
      </c>
      <c r="AJ57" s="1">
        <f t="shared" si="155"/>
        <v>0</v>
      </c>
      <c r="AK57" s="6"/>
      <c r="AL57" s="2">
        <f t="shared" si="90"/>
        <v>0</v>
      </c>
      <c r="AM57" s="8">
        <f t="shared" si="80"/>
        <v>4.3999999999999997E-2</v>
      </c>
      <c r="AN57" s="2">
        <f t="shared" si="91"/>
        <v>0</v>
      </c>
      <c r="AO57" s="2">
        <f t="shared" si="81"/>
        <v>0</v>
      </c>
      <c r="AP57" s="2">
        <f t="shared" si="119"/>
        <v>0</v>
      </c>
      <c r="AQ57" s="8">
        <f t="shared" si="112"/>
        <v>3.9100000000000003E-2</v>
      </c>
      <c r="AR57" s="2">
        <f t="shared" si="113"/>
        <v>0</v>
      </c>
      <c r="AS57" s="2">
        <f t="shared" si="114"/>
        <v>0</v>
      </c>
      <c r="AT57" s="2">
        <f t="shared" si="39"/>
        <v>0</v>
      </c>
      <c r="AU57" s="2">
        <f t="shared" si="92"/>
        <v>0</v>
      </c>
      <c r="AV57" s="2">
        <f t="shared" si="82"/>
        <v>68.549759999979869</v>
      </c>
      <c r="AW57" s="1">
        <f t="shared" si="77"/>
        <v>0</v>
      </c>
      <c r="AX57" s="2">
        <f t="shared" si="125"/>
        <v>68.549759999979869</v>
      </c>
      <c r="AY57" s="1">
        <f t="shared" si="83"/>
        <v>0</v>
      </c>
      <c r="AZ57" s="2">
        <f t="shared" si="40"/>
        <v>68.549759999979869</v>
      </c>
      <c r="BA57" s="2">
        <f t="shared" si="93"/>
        <v>114614.84975999997</v>
      </c>
      <c r="BB57" s="2">
        <f t="shared" si="126"/>
        <v>0</v>
      </c>
      <c r="BC57" s="2">
        <f t="shared" si="41"/>
        <v>344.27263463999998</v>
      </c>
      <c r="BD57" s="2">
        <f t="shared" si="10"/>
        <v>114270.57712535997</v>
      </c>
      <c r="BE57" s="2">
        <f t="shared" si="42"/>
        <v>1133</v>
      </c>
      <c r="BF57" s="2">
        <f t="shared" si="11"/>
        <v>2561.5514543999939</v>
      </c>
      <c r="BG57" s="2">
        <f t="shared" si="12"/>
        <v>110576.02567095998</v>
      </c>
      <c r="BI57" s="8">
        <f t="shared" si="84"/>
        <v>3.1E-2</v>
      </c>
      <c r="BJ57" s="5">
        <f t="shared" si="148"/>
        <v>1000</v>
      </c>
      <c r="BK57" s="2">
        <f t="shared" si="149"/>
        <v>100000</v>
      </c>
      <c r="BL57" s="2">
        <f t="shared" si="150"/>
        <v>100000</v>
      </c>
      <c r="BM57" s="2">
        <f t="shared" si="127"/>
        <v>100000</v>
      </c>
      <c r="BN57" s="8">
        <f t="shared" si="128"/>
        <v>4.5999999999999999E-2</v>
      </c>
      <c r="BO57" s="2">
        <f t="shared" si="129"/>
        <v>101150</v>
      </c>
      <c r="BP57" s="2" t="str">
        <f t="shared" si="130"/>
        <v>nie</v>
      </c>
      <c r="BQ57" s="2">
        <f t="shared" si="131"/>
        <v>2000</v>
      </c>
      <c r="BR57" s="1">
        <f t="shared" si="85"/>
        <v>51</v>
      </c>
      <c r="BS57" s="1">
        <f t="shared" si="115"/>
        <v>48</v>
      </c>
      <c r="BT57" s="1">
        <f t="shared" si="156"/>
        <v>47</v>
      </c>
      <c r="BU57" s="6"/>
      <c r="BV57" s="2">
        <f t="shared" si="94"/>
        <v>5100</v>
      </c>
      <c r="BW57" s="8">
        <f t="shared" si="86"/>
        <v>4.7500000000000001E-2</v>
      </c>
      <c r="BX57" s="2">
        <f t="shared" si="95"/>
        <v>5160.5625</v>
      </c>
      <c r="BY57" s="2">
        <f t="shared" si="87"/>
        <v>60.5625</v>
      </c>
      <c r="BZ57" s="2">
        <f t="shared" si="120"/>
        <v>9500</v>
      </c>
      <c r="CA57" s="8">
        <f t="shared" si="116"/>
        <v>4.5999999999999999E-2</v>
      </c>
      <c r="CB57" s="2">
        <f t="shared" si="117"/>
        <v>9609.25</v>
      </c>
      <c r="CC57" s="2">
        <f t="shared" si="118"/>
        <v>190</v>
      </c>
      <c r="CD57" s="2">
        <f t="shared" si="132"/>
        <v>0</v>
      </c>
      <c r="CE57" s="2">
        <f t="shared" si="96"/>
        <v>0</v>
      </c>
      <c r="CF57" s="2">
        <f t="shared" si="97"/>
        <v>17.450000000016189</v>
      </c>
      <c r="CG57" s="1">
        <f t="shared" si="78"/>
        <v>0</v>
      </c>
      <c r="CH57" s="2">
        <f t="shared" si="133"/>
        <v>17.450000000016189</v>
      </c>
      <c r="CI57" s="1">
        <f t="shared" si="89"/>
        <v>0</v>
      </c>
      <c r="CJ57" s="2">
        <f t="shared" si="98"/>
        <v>17.450000000016189</v>
      </c>
      <c r="CK57" s="2">
        <f t="shared" si="99"/>
        <v>115937.26250000001</v>
      </c>
      <c r="CL57" s="2">
        <f t="shared" si="134"/>
        <v>0</v>
      </c>
      <c r="CM57" s="2">
        <f t="shared" si="47"/>
        <v>347.24337500000007</v>
      </c>
      <c r="CN57" s="2">
        <f t="shared" si="135"/>
        <v>115590.01912500001</v>
      </c>
      <c r="CO57" s="2">
        <f t="shared" si="48"/>
        <v>2250.5625</v>
      </c>
      <c r="CP57" s="2">
        <f t="shared" si="136"/>
        <v>2600.4730000000022</v>
      </c>
      <c r="CQ57" s="2">
        <f t="shared" si="137"/>
        <v>110738.98362500001</v>
      </c>
      <c r="CS57" s="5">
        <f t="shared" si="151"/>
        <v>1000</v>
      </c>
      <c r="CT57" s="2">
        <f t="shared" si="152"/>
        <v>100000</v>
      </c>
      <c r="CU57" s="2">
        <f t="shared" si="153"/>
        <v>100000</v>
      </c>
      <c r="CV57" s="2">
        <f t="shared" si="154"/>
        <v>116369.71535</v>
      </c>
      <c r="CW57" s="8">
        <f t="shared" si="138"/>
        <v>5.1000000000000004E-2</v>
      </c>
      <c r="CX57" s="2">
        <f t="shared" si="139"/>
        <v>117853.4292207125</v>
      </c>
      <c r="CY57" s="2" t="str">
        <f t="shared" si="140"/>
        <v>nie</v>
      </c>
      <c r="CZ57" s="2">
        <f t="shared" si="53"/>
        <v>0</v>
      </c>
      <c r="DA57" s="2">
        <f t="shared" si="54"/>
        <v>0</v>
      </c>
      <c r="DB57" s="2">
        <f t="shared" si="55"/>
        <v>117853.4292207125</v>
      </c>
      <c r="DC57" s="2">
        <f t="shared" si="141"/>
        <v>0</v>
      </c>
      <c r="DD57" s="2">
        <f t="shared" si="56"/>
        <v>351.71113302499998</v>
      </c>
      <c r="DE57" s="2">
        <f t="shared" si="57"/>
        <v>117501.71808768749</v>
      </c>
      <c r="DF57" s="2">
        <f t="shared" si="142"/>
        <v>3000</v>
      </c>
      <c r="DG57" s="2">
        <f t="shared" si="143"/>
        <v>2822.1515519353743</v>
      </c>
      <c r="DH57" s="2">
        <f t="shared" si="58"/>
        <v>111679.56653575212</v>
      </c>
    </row>
    <row r="58" spans="2:112">
      <c r="B58" s="232"/>
      <c r="C58" s="1">
        <f t="shared" si="102"/>
        <v>21</v>
      </c>
      <c r="D58" s="2">
        <f t="shared" si="105"/>
        <v>107845.2</v>
      </c>
      <c r="E58" s="2">
        <f t="shared" si="106"/>
        <v>105544.61199999999</v>
      </c>
      <c r="F58" s="2">
        <f t="shared" si="107"/>
        <v>108367.43750000001</v>
      </c>
      <c r="G58" s="2">
        <f t="shared" si="108"/>
        <v>105081.48437500001</v>
      </c>
      <c r="H58" s="2">
        <f t="shared" si="109"/>
        <v>109379.6375</v>
      </c>
      <c r="I58" s="2">
        <f t="shared" si="110"/>
        <v>105167.506375</v>
      </c>
      <c r="J58" s="2">
        <f t="shared" si="103"/>
        <v>105228.93234657335</v>
      </c>
      <c r="K58" s="2">
        <f t="shared" si="104"/>
        <v>105497.07499999998</v>
      </c>
      <c r="W58" s="1">
        <f t="shared" si="144"/>
        <v>40</v>
      </c>
      <c r="X58" s="2">
        <f t="shared" si="121"/>
        <v>110723.72231736663</v>
      </c>
      <c r="Y58" s="8">
        <f t="shared" si="157"/>
        <v>3.9100000000000003E-2</v>
      </c>
      <c r="Z58" s="5">
        <f t="shared" si="145"/>
        <v>1133</v>
      </c>
      <c r="AA58" s="2">
        <f t="shared" si="146"/>
        <v>113186.70000000001</v>
      </c>
      <c r="AB58" s="2">
        <f t="shared" si="37"/>
        <v>113300</v>
      </c>
      <c r="AC58" s="2">
        <f t="shared" si="147"/>
        <v>113300</v>
      </c>
      <c r="AD58" s="8">
        <f t="shared" si="122"/>
        <v>4.3999999999999997E-2</v>
      </c>
      <c r="AE58" s="2">
        <f t="shared" si="2"/>
        <v>114961.73333333332</v>
      </c>
      <c r="AF58" s="2" t="str">
        <f t="shared" si="123"/>
        <v>nie</v>
      </c>
      <c r="AG58" s="2">
        <f t="shared" si="124"/>
        <v>1133</v>
      </c>
      <c r="AH58" s="1">
        <f t="shared" si="79"/>
        <v>0</v>
      </c>
      <c r="AI58" s="1">
        <f t="shared" si="111"/>
        <v>0</v>
      </c>
      <c r="AJ58" s="1">
        <f t="shared" si="155"/>
        <v>0</v>
      </c>
      <c r="AK58" s="6"/>
      <c r="AL58" s="2">
        <f t="shared" si="90"/>
        <v>0</v>
      </c>
      <c r="AM58" s="8">
        <f t="shared" si="80"/>
        <v>4.3999999999999997E-2</v>
      </c>
      <c r="AN58" s="2">
        <f t="shared" si="91"/>
        <v>0</v>
      </c>
      <c r="AO58" s="2">
        <f t="shared" si="81"/>
        <v>0</v>
      </c>
      <c r="AP58" s="2">
        <f t="shared" si="119"/>
        <v>0</v>
      </c>
      <c r="AQ58" s="8">
        <f t="shared" si="112"/>
        <v>3.9100000000000003E-2</v>
      </c>
      <c r="AR58" s="2">
        <f t="shared" si="113"/>
        <v>0</v>
      </c>
      <c r="AS58" s="2">
        <f t="shared" si="114"/>
        <v>0</v>
      </c>
      <c r="AT58" s="2">
        <f t="shared" si="39"/>
        <v>0</v>
      </c>
      <c r="AU58" s="2">
        <f t="shared" si="92"/>
        <v>0</v>
      </c>
      <c r="AV58" s="2">
        <f t="shared" si="82"/>
        <v>68.549759999979869</v>
      </c>
      <c r="AW58" s="1">
        <f t="shared" si="77"/>
        <v>0</v>
      </c>
      <c r="AX58" s="2">
        <f t="shared" si="125"/>
        <v>68.549759999979869</v>
      </c>
      <c r="AY58" s="1">
        <f t="shared" si="83"/>
        <v>0</v>
      </c>
      <c r="AZ58" s="2">
        <f t="shared" si="40"/>
        <v>68.549759999979869</v>
      </c>
      <c r="BA58" s="2">
        <f t="shared" si="93"/>
        <v>115030.2830933333</v>
      </c>
      <c r="BB58" s="2">
        <f t="shared" si="126"/>
        <v>0</v>
      </c>
      <c r="BC58" s="2">
        <f t="shared" si="41"/>
        <v>344.27263463999998</v>
      </c>
      <c r="BD58" s="2">
        <f t="shared" si="10"/>
        <v>114686.0104586933</v>
      </c>
      <c r="BE58" s="2">
        <f t="shared" si="42"/>
        <v>1133</v>
      </c>
      <c r="BF58" s="2">
        <f t="shared" si="11"/>
        <v>2640.4837877333275</v>
      </c>
      <c r="BG58" s="2">
        <f t="shared" si="12"/>
        <v>110912.52667095997</v>
      </c>
      <c r="BI58" s="8">
        <f t="shared" si="84"/>
        <v>3.1E-2</v>
      </c>
      <c r="BJ58" s="5">
        <f t="shared" si="148"/>
        <v>1000</v>
      </c>
      <c r="BK58" s="2">
        <f t="shared" si="149"/>
        <v>100000</v>
      </c>
      <c r="BL58" s="2">
        <f t="shared" si="150"/>
        <v>100000</v>
      </c>
      <c r="BM58" s="2">
        <f t="shared" si="127"/>
        <v>100000</v>
      </c>
      <c r="BN58" s="8">
        <f t="shared" si="128"/>
        <v>4.5999999999999999E-2</v>
      </c>
      <c r="BO58" s="2">
        <f t="shared" si="129"/>
        <v>101533.33333333334</v>
      </c>
      <c r="BP58" s="2" t="str">
        <f t="shared" si="130"/>
        <v>nie</v>
      </c>
      <c r="BQ58" s="2">
        <f t="shared" si="131"/>
        <v>2000</v>
      </c>
      <c r="BR58" s="1">
        <f t="shared" si="85"/>
        <v>51</v>
      </c>
      <c r="BS58" s="1">
        <f t="shared" si="115"/>
        <v>48</v>
      </c>
      <c r="BT58" s="1">
        <f t="shared" si="156"/>
        <v>47</v>
      </c>
      <c r="BU58" s="6"/>
      <c r="BV58" s="2">
        <f t="shared" si="94"/>
        <v>5100</v>
      </c>
      <c r="BW58" s="8">
        <f t="shared" si="86"/>
        <v>4.7500000000000001E-2</v>
      </c>
      <c r="BX58" s="2">
        <f t="shared" si="95"/>
        <v>5180.75</v>
      </c>
      <c r="BY58" s="2">
        <f t="shared" si="87"/>
        <v>80.75</v>
      </c>
      <c r="BZ58" s="2">
        <f t="shared" si="120"/>
        <v>9500</v>
      </c>
      <c r="CA58" s="8">
        <f t="shared" si="116"/>
        <v>4.5999999999999999E-2</v>
      </c>
      <c r="CB58" s="2">
        <f t="shared" si="117"/>
        <v>9645.6666666666679</v>
      </c>
      <c r="CC58" s="2">
        <f t="shared" si="118"/>
        <v>190</v>
      </c>
      <c r="CD58" s="2">
        <f t="shared" si="132"/>
        <v>0</v>
      </c>
      <c r="CE58" s="2">
        <f t="shared" si="96"/>
        <v>0</v>
      </c>
      <c r="CF58" s="2">
        <f t="shared" si="97"/>
        <v>17.450000000016189</v>
      </c>
      <c r="CG58" s="1">
        <f t="shared" si="78"/>
        <v>0</v>
      </c>
      <c r="CH58" s="2">
        <f t="shared" si="133"/>
        <v>17.450000000016189</v>
      </c>
      <c r="CI58" s="1">
        <f t="shared" si="89"/>
        <v>0</v>
      </c>
      <c r="CJ58" s="2">
        <f t="shared" si="98"/>
        <v>17.450000000016189</v>
      </c>
      <c r="CK58" s="2">
        <f t="shared" si="99"/>
        <v>116377.20000000003</v>
      </c>
      <c r="CL58" s="2">
        <f t="shared" si="134"/>
        <v>0</v>
      </c>
      <c r="CM58" s="2">
        <f t="shared" si="47"/>
        <v>347.24337500000007</v>
      </c>
      <c r="CN58" s="2">
        <f t="shared" si="135"/>
        <v>116029.95662500002</v>
      </c>
      <c r="CO58" s="2">
        <f t="shared" si="48"/>
        <v>2270.75</v>
      </c>
      <c r="CP58" s="2">
        <f t="shared" si="136"/>
        <v>2680.225500000005</v>
      </c>
      <c r="CQ58" s="2">
        <f t="shared" si="137"/>
        <v>111078.98112500002</v>
      </c>
      <c r="CS58" s="5">
        <f t="shared" si="151"/>
        <v>1000</v>
      </c>
      <c r="CT58" s="2">
        <f t="shared" si="152"/>
        <v>100000</v>
      </c>
      <c r="CU58" s="2">
        <f t="shared" si="153"/>
        <v>100000</v>
      </c>
      <c r="CV58" s="2">
        <f t="shared" si="154"/>
        <v>116369.71535</v>
      </c>
      <c r="CW58" s="8">
        <f t="shared" si="138"/>
        <v>5.1000000000000004E-2</v>
      </c>
      <c r="CX58" s="2">
        <f t="shared" si="139"/>
        <v>118348.00051094999</v>
      </c>
      <c r="CY58" s="2" t="str">
        <f t="shared" si="140"/>
        <v>nie</v>
      </c>
      <c r="CZ58" s="2">
        <f t="shared" si="53"/>
        <v>0</v>
      </c>
      <c r="DA58" s="2">
        <f t="shared" si="54"/>
        <v>0</v>
      </c>
      <c r="DB58" s="2">
        <f t="shared" si="55"/>
        <v>118348.00051094999</v>
      </c>
      <c r="DC58" s="2">
        <f t="shared" si="141"/>
        <v>0</v>
      </c>
      <c r="DD58" s="2">
        <f t="shared" si="56"/>
        <v>351.71113302499998</v>
      </c>
      <c r="DE58" s="2">
        <f t="shared" si="57"/>
        <v>117996.28937792499</v>
      </c>
      <c r="DF58" s="2">
        <f t="shared" si="142"/>
        <v>3000</v>
      </c>
      <c r="DG58" s="2">
        <f t="shared" si="143"/>
        <v>2916.1200970804985</v>
      </c>
      <c r="DH58" s="2">
        <f t="shared" si="58"/>
        <v>112080.16928084449</v>
      </c>
    </row>
    <row r="59" spans="2:112">
      <c r="B59" s="232"/>
      <c r="C59" s="1">
        <f t="shared" si="102"/>
        <v>22</v>
      </c>
      <c r="D59" s="2">
        <f t="shared" si="105"/>
        <v>108228</v>
      </c>
      <c r="E59" s="2">
        <f t="shared" si="106"/>
        <v>105854.68</v>
      </c>
      <c r="F59" s="2">
        <f t="shared" si="107"/>
        <v>108769.37500000001</v>
      </c>
      <c r="G59" s="2">
        <f t="shared" si="108"/>
        <v>105407.05375000001</v>
      </c>
      <c r="H59" s="2">
        <f t="shared" si="109"/>
        <v>109827.37500000001</v>
      </c>
      <c r="I59" s="2">
        <f t="shared" si="110"/>
        <v>105530.17375000002</v>
      </c>
      <c r="J59" s="2">
        <f t="shared" si="103"/>
        <v>105484.63865217552</v>
      </c>
      <c r="K59" s="2">
        <f t="shared" si="104"/>
        <v>105763.41666666666</v>
      </c>
      <c r="W59" s="1">
        <f t="shared" si="144"/>
        <v>41</v>
      </c>
      <c r="X59" s="2">
        <f t="shared" si="121"/>
        <v>111006.8331217083</v>
      </c>
      <c r="Y59" s="8">
        <f t="shared" si="157"/>
        <v>3.9100000000000003E-2</v>
      </c>
      <c r="Z59" s="5">
        <f t="shared" si="145"/>
        <v>1133</v>
      </c>
      <c r="AA59" s="2">
        <f t="shared" si="146"/>
        <v>113186.70000000001</v>
      </c>
      <c r="AB59" s="2">
        <f t="shared" si="37"/>
        <v>113300</v>
      </c>
      <c r="AC59" s="2">
        <f t="shared" si="147"/>
        <v>113300</v>
      </c>
      <c r="AD59" s="8">
        <f t="shared" si="122"/>
        <v>4.3999999999999997E-2</v>
      </c>
      <c r="AE59" s="2">
        <f t="shared" si="2"/>
        <v>115377.16666666667</v>
      </c>
      <c r="AF59" s="2" t="str">
        <f t="shared" si="123"/>
        <v>nie</v>
      </c>
      <c r="AG59" s="2">
        <f t="shared" si="124"/>
        <v>1133</v>
      </c>
      <c r="AH59" s="1">
        <f t="shared" si="79"/>
        <v>0</v>
      </c>
      <c r="AI59" s="1">
        <f t="shared" si="111"/>
        <v>0</v>
      </c>
      <c r="AJ59" s="1">
        <f t="shared" si="155"/>
        <v>0</v>
      </c>
      <c r="AK59" s="6"/>
      <c r="AL59" s="2">
        <f t="shared" si="90"/>
        <v>0</v>
      </c>
      <c r="AM59" s="8">
        <f t="shared" si="80"/>
        <v>4.3999999999999997E-2</v>
      </c>
      <c r="AN59" s="2">
        <f t="shared" si="91"/>
        <v>0</v>
      </c>
      <c r="AO59" s="2">
        <f t="shared" si="81"/>
        <v>0</v>
      </c>
      <c r="AP59" s="2">
        <f t="shared" si="119"/>
        <v>0</v>
      </c>
      <c r="AQ59" s="8">
        <f t="shared" si="112"/>
        <v>3.9100000000000003E-2</v>
      </c>
      <c r="AR59" s="2">
        <f t="shared" si="113"/>
        <v>0</v>
      </c>
      <c r="AS59" s="2">
        <f t="shared" si="114"/>
        <v>0</v>
      </c>
      <c r="AT59" s="2">
        <f t="shared" si="39"/>
        <v>0</v>
      </c>
      <c r="AU59" s="2">
        <f t="shared" si="92"/>
        <v>0</v>
      </c>
      <c r="AV59" s="2">
        <f t="shared" si="82"/>
        <v>68.549759999979869</v>
      </c>
      <c r="AW59" s="1">
        <f t="shared" si="77"/>
        <v>0</v>
      </c>
      <c r="AX59" s="2">
        <f t="shared" si="125"/>
        <v>68.549759999979869</v>
      </c>
      <c r="AY59" s="1">
        <f t="shared" si="83"/>
        <v>0</v>
      </c>
      <c r="AZ59" s="2">
        <f t="shared" si="40"/>
        <v>68.549759999979869</v>
      </c>
      <c r="BA59" s="2">
        <f t="shared" si="93"/>
        <v>115445.71642666665</v>
      </c>
      <c r="BB59" s="2">
        <f t="shared" si="126"/>
        <v>0</v>
      </c>
      <c r="BC59" s="2">
        <f t="shared" si="41"/>
        <v>344.27263463999998</v>
      </c>
      <c r="BD59" s="2">
        <f t="shared" si="10"/>
        <v>115101.44379202665</v>
      </c>
      <c r="BE59" s="2">
        <f t="shared" si="42"/>
        <v>1133</v>
      </c>
      <c r="BF59" s="2">
        <f t="shared" si="11"/>
        <v>2719.4161210666639</v>
      </c>
      <c r="BG59" s="2">
        <f t="shared" si="12"/>
        <v>111249.02767095999</v>
      </c>
      <c r="BI59" s="8">
        <f t="shared" si="84"/>
        <v>3.1E-2</v>
      </c>
      <c r="BJ59" s="5">
        <f t="shared" si="148"/>
        <v>1000</v>
      </c>
      <c r="BK59" s="2">
        <f t="shared" si="149"/>
        <v>100000</v>
      </c>
      <c r="BL59" s="2">
        <f t="shared" si="150"/>
        <v>100000</v>
      </c>
      <c r="BM59" s="2">
        <f t="shared" si="127"/>
        <v>100000</v>
      </c>
      <c r="BN59" s="8">
        <f t="shared" si="128"/>
        <v>4.5999999999999999E-2</v>
      </c>
      <c r="BO59" s="2">
        <f t="shared" si="129"/>
        <v>101916.66666666666</v>
      </c>
      <c r="BP59" s="2" t="str">
        <f t="shared" si="130"/>
        <v>nie</v>
      </c>
      <c r="BQ59" s="2">
        <f t="shared" si="131"/>
        <v>2000</v>
      </c>
      <c r="BR59" s="1">
        <f t="shared" si="85"/>
        <v>51</v>
      </c>
      <c r="BS59" s="1">
        <f t="shared" si="115"/>
        <v>48</v>
      </c>
      <c r="BT59" s="1">
        <f t="shared" si="156"/>
        <v>47</v>
      </c>
      <c r="BU59" s="6"/>
      <c r="BV59" s="2">
        <f t="shared" si="94"/>
        <v>5100</v>
      </c>
      <c r="BW59" s="8">
        <f t="shared" si="86"/>
        <v>4.7500000000000001E-2</v>
      </c>
      <c r="BX59" s="2">
        <f t="shared" si="95"/>
        <v>5200.9375</v>
      </c>
      <c r="BY59" s="2">
        <f t="shared" si="87"/>
        <v>100.9375</v>
      </c>
      <c r="BZ59" s="2">
        <f t="shared" si="120"/>
        <v>9500</v>
      </c>
      <c r="CA59" s="8">
        <f t="shared" si="116"/>
        <v>4.5999999999999999E-2</v>
      </c>
      <c r="CB59" s="2">
        <f t="shared" si="117"/>
        <v>9682.0833333333321</v>
      </c>
      <c r="CC59" s="2">
        <f t="shared" si="118"/>
        <v>190</v>
      </c>
      <c r="CD59" s="2">
        <f t="shared" si="132"/>
        <v>0</v>
      </c>
      <c r="CE59" s="2">
        <f t="shared" si="96"/>
        <v>0</v>
      </c>
      <c r="CF59" s="2">
        <f t="shared" si="97"/>
        <v>17.450000000016189</v>
      </c>
      <c r="CG59" s="1">
        <f t="shared" si="78"/>
        <v>0</v>
      </c>
      <c r="CH59" s="2">
        <f t="shared" si="133"/>
        <v>17.450000000016189</v>
      </c>
      <c r="CI59" s="1">
        <f t="shared" si="89"/>
        <v>0</v>
      </c>
      <c r="CJ59" s="2">
        <f t="shared" si="98"/>
        <v>17.450000000016189</v>
      </c>
      <c r="CK59" s="2">
        <f t="shared" si="99"/>
        <v>116817.1375</v>
      </c>
      <c r="CL59" s="2">
        <f t="shared" si="134"/>
        <v>0</v>
      </c>
      <c r="CM59" s="2">
        <f t="shared" si="47"/>
        <v>347.24337500000007</v>
      </c>
      <c r="CN59" s="2">
        <f t="shared" si="135"/>
        <v>116469.89412499999</v>
      </c>
      <c r="CO59" s="2">
        <f t="shared" si="48"/>
        <v>2290.9375</v>
      </c>
      <c r="CP59" s="2">
        <f t="shared" si="136"/>
        <v>2759.9779999999996</v>
      </c>
      <c r="CQ59" s="2">
        <f t="shared" si="137"/>
        <v>111418.97862499999</v>
      </c>
      <c r="CS59" s="5">
        <f t="shared" si="151"/>
        <v>1000</v>
      </c>
      <c r="CT59" s="2">
        <f t="shared" si="152"/>
        <v>100000</v>
      </c>
      <c r="CU59" s="2">
        <f t="shared" si="153"/>
        <v>100000</v>
      </c>
      <c r="CV59" s="2">
        <f t="shared" si="154"/>
        <v>116369.71535</v>
      </c>
      <c r="CW59" s="8">
        <f t="shared" si="138"/>
        <v>5.1000000000000004E-2</v>
      </c>
      <c r="CX59" s="2">
        <f t="shared" si="139"/>
        <v>118842.5718011875</v>
      </c>
      <c r="CY59" s="2" t="str">
        <f t="shared" si="140"/>
        <v>nie</v>
      </c>
      <c r="CZ59" s="2">
        <f t="shared" si="53"/>
        <v>0</v>
      </c>
      <c r="DA59" s="2">
        <f t="shared" si="54"/>
        <v>0</v>
      </c>
      <c r="DB59" s="2">
        <f t="shared" si="55"/>
        <v>118842.5718011875</v>
      </c>
      <c r="DC59" s="2">
        <f t="shared" si="141"/>
        <v>0</v>
      </c>
      <c r="DD59" s="2">
        <f t="shared" si="56"/>
        <v>351.71113302499998</v>
      </c>
      <c r="DE59" s="2">
        <f t="shared" si="57"/>
        <v>118490.8606681625</v>
      </c>
      <c r="DF59" s="2">
        <f t="shared" si="142"/>
        <v>3000</v>
      </c>
      <c r="DG59" s="2">
        <f t="shared" si="143"/>
        <v>3010.0886422256249</v>
      </c>
      <c r="DH59" s="2">
        <f t="shared" si="58"/>
        <v>112480.77202593687</v>
      </c>
    </row>
    <row r="60" spans="2:112">
      <c r="B60" s="233"/>
      <c r="C60" s="1">
        <f t="shared" si="102"/>
        <v>23</v>
      </c>
      <c r="D60" s="2">
        <f t="shared" si="105"/>
        <v>108610.8</v>
      </c>
      <c r="E60" s="2">
        <f t="shared" si="106"/>
        <v>106164.74800000001</v>
      </c>
      <c r="F60" s="2">
        <f t="shared" si="107"/>
        <v>109171.31250000001</v>
      </c>
      <c r="G60" s="2">
        <f t="shared" si="108"/>
        <v>105732.62312500001</v>
      </c>
      <c r="H60" s="2">
        <f t="shared" si="109"/>
        <v>110275.11250000002</v>
      </c>
      <c r="I60" s="2">
        <f t="shared" si="110"/>
        <v>105892.84112500002</v>
      </c>
      <c r="J60" s="2">
        <f t="shared" si="103"/>
        <v>105740.9663241003</v>
      </c>
      <c r="K60" s="2">
        <f t="shared" si="104"/>
        <v>106029.75833333333</v>
      </c>
      <c r="W60" s="1">
        <f t="shared" si="144"/>
        <v>42</v>
      </c>
      <c r="X60" s="2">
        <f t="shared" si="121"/>
        <v>111289.94392604998</v>
      </c>
      <c r="Y60" s="8">
        <f t="shared" si="157"/>
        <v>3.9100000000000003E-2</v>
      </c>
      <c r="Z60" s="5">
        <f t="shared" si="145"/>
        <v>1133</v>
      </c>
      <c r="AA60" s="2">
        <f t="shared" si="146"/>
        <v>113186.70000000001</v>
      </c>
      <c r="AB60" s="2">
        <f t="shared" si="37"/>
        <v>113300</v>
      </c>
      <c r="AC60" s="2">
        <f t="shared" si="147"/>
        <v>113300</v>
      </c>
      <c r="AD60" s="8">
        <f t="shared" si="122"/>
        <v>4.3999999999999997E-2</v>
      </c>
      <c r="AE60" s="2">
        <f t="shared" si="2"/>
        <v>115792.6</v>
      </c>
      <c r="AF60" s="2" t="str">
        <f t="shared" si="123"/>
        <v>nie</v>
      </c>
      <c r="AG60" s="2">
        <f t="shared" si="124"/>
        <v>1133</v>
      </c>
      <c r="AH60" s="1">
        <f t="shared" si="79"/>
        <v>0</v>
      </c>
      <c r="AI60" s="1">
        <f t="shared" si="111"/>
        <v>0</v>
      </c>
      <c r="AJ60" s="1">
        <f t="shared" si="155"/>
        <v>0</v>
      </c>
      <c r="AK60" s="6"/>
      <c r="AL60" s="2">
        <f t="shared" si="90"/>
        <v>0</v>
      </c>
      <c r="AM60" s="8">
        <f t="shared" si="80"/>
        <v>4.3999999999999997E-2</v>
      </c>
      <c r="AN60" s="2">
        <f t="shared" si="91"/>
        <v>0</v>
      </c>
      <c r="AO60" s="2">
        <f t="shared" si="81"/>
        <v>0</v>
      </c>
      <c r="AP60" s="2">
        <f t="shared" si="119"/>
        <v>0</v>
      </c>
      <c r="AQ60" s="8">
        <f t="shared" si="112"/>
        <v>3.9100000000000003E-2</v>
      </c>
      <c r="AR60" s="2">
        <f t="shared" si="113"/>
        <v>0</v>
      </c>
      <c r="AS60" s="2">
        <f t="shared" si="114"/>
        <v>0</v>
      </c>
      <c r="AT60" s="2">
        <f t="shared" si="39"/>
        <v>0</v>
      </c>
      <c r="AU60" s="2">
        <f t="shared" si="92"/>
        <v>0</v>
      </c>
      <c r="AV60" s="2">
        <f t="shared" si="82"/>
        <v>68.549759999979869</v>
      </c>
      <c r="AW60" s="1">
        <f t="shared" si="77"/>
        <v>0</v>
      </c>
      <c r="AX60" s="2">
        <f t="shared" si="125"/>
        <v>68.549759999979869</v>
      </c>
      <c r="AY60" s="1">
        <f t="shared" si="83"/>
        <v>0</v>
      </c>
      <c r="AZ60" s="2">
        <f t="shared" si="40"/>
        <v>68.549759999979869</v>
      </c>
      <c r="BA60" s="2">
        <f t="shared" si="93"/>
        <v>115861.14975999999</v>
      </c>
      <c r="BB60" s="2">
        <f t="shared" si="126"/>
        <v>0</v>
      </c>
      <c r="BC60" s="2">
        <f t="shared" si="41"/>
        <v>344.27263463999998</v>
      </c>
      <c r="BD60" s="2">
        <f t="shared" si="10"/>
        <v>115516.87712535998</v>
      </c>
      <c r="BE60" s="2">
        <f t="shared" si="42"/>
        <v>1133</v>
      </c>
      <c r="BF60" s="2">
        <f t="shared" si="11"/>
        <v>2798.3484543999975</v>
      </c>
      <c r="BG60" s="2">
        <f t="shared" si="12"/>
        <v>111585.52867095999</v>
      </c>
      <c r="BI60" s="8">
        <f t="shared" si="84"/>
        <v>3.1E-2</v>
      </c>
      <c r="BJ60" s="5">
        <f t="shared" si="148"/>
        <v>1000</v>
      </c>
      <c r="BK60" s="2">
        <f t="shared" si="149"/>
        <v>100000</v>
      </c>
      <c r="BL60" s="2">
        <f t="shared" si="150"/>
        <v>100000</v>
      </c>
      <c r="BM60" s="2">
        <f t="shared" si="127"/>
        <v>100000</v>
      </c>
      <c r="BN60" s="8">
        <f t="shared" si="128"/>
        <v>4.5999999999999999E-2</v>
      </c>
      <c r="BO60" s="2">
        <f t="shared" si="129"/>
        <v>102299.99999999999</v>
      </c>
      <c r="BP60" s="2" t="str">
        <f t="shared" si="130"/>
        <v>nie</v>
      </c>
      <c r="BQ60" s="2">
        <f t="shared" si="131"/>
        <v>2000</v>
      </c>
      <c r="BR60" s="1">
        <f t="shared" si="85"/>
        <v>51</v>
      </c>
      <c r="BS60" s="1">
        <f t="shared" si="115"/>
        <v>48</v>
      </c>
      <c r="BT60" s="1">
        <f t="shared" si="156"/>
        <v>47</v>
      </c>
      <c r="BU60" s="6"/>
      <c r="BV60" s="2">
        <f t="shared" si="94"/>
        <v>5100</v>
      </c>
      <c r="BW60" s="8">
        <f t="shared" si="86"/>
        <v>4.7500000000000001E-2</v>
      </c>
      <c r="BX60" s="2">
        <f t="shared" si="95"/>
        <v>5221.125</v>
      </c>
      <c r="BY60" s="2">
        <f t="shared" si="87"/>
        <v>102</v>
      </c>
      <c r="BZ60" s="2">
        <f t="shared" si="120"/>
        <v>9500</v>
      </c>
      <c r="CA60" s="8">
        <f t="shared" si="116"/>
        <v>4.5999999999999999E-2</v>
      </c>
      <c r="CB60" s="2">
        <f t="shared" si="117"/>
        <v>9718.5</v>
      </c>
      <c r="CC60" s="2">
        <f t="shared" si="118"/>
        <v>190</v>
      </c>
      <c r="CD60" s="2">
        <f t="shared" si="132"/>
        <v>0</v>
      </c>
      <c r="CE60" s="2">
        <f t="shared" si="96"/>
        <v>0</v>
      </c>
      <c r="CF60" s="2">
        <f t="shared" si="97"/>
        <v>17.450000000016189</v>
      </c>
      <c r="CG60" s="1">
        <f t="shared" si="78"/>
        <v>0</v>
      </c>
      <c r="CH60" s="2">
        <f t="shared" si="133"/>
        <v>17.450000000016189</v>
      </c>
      <c r="CI60" s="1">
        <f t="shared" si="89"/>
        <v>0</v>
      </c>
      <c r="CJ60" s="2">
        <f t="shared" si="98"/>
        <v>17.450000000016189</v>
      </c>
      <c r="CK60" s="2">
        <f t="shared" si="99"/>
        <v>117257.075</v>
      </c>
      <c r="CL60" s="2">
        <f t="shared" si="134"/>
        <v>0</v>
      </c>
      <c r="CM60" s="2">
        <f t="shared" si="47"/>
        <v>347.24337500000007</v>
      </c>
      <c r="CN60" s="2">
        <f t="shared" si="135"/>
        <v>116909.83162499999</v>
      </c>
      <c r="CO60" s="2">
        <f t="shared" si="48"/>
        <v>2292</v>
      </c>
      <c r="CP60" s="2">
        <f t="shared" si="136"/>
        <v>2843.3642499999996</v>
      </c>
      <c r="CQ60" s="2">
        <f t="shared" si="137"/>
        <v>111774.46737499999</v>
      </c>
      <c r="CS60" s="5">
        <f t="shared" si="151"/>
        <v>1000</v>
      </c>
      <c r="CT60" s="2">
        <f t="shared" si="152"/>
        <v>100000</v>
      </c>
      <c r="CU60" s="2">
        <f t="shared" si="153"/>
        <v>100000</v>
      </c>
      <c r="CV60" s="2">
        <f t="shared" si="154"/>
        <v>116369.71535</v>
      </c>
      <c r="CW60" s="8">
        <f t="shared" si="138"/>
        <v>5.1000000000000004E-2</v>
      </c>
      <c r="CX60" s="2">
        <f t="shared" si="139"/>
        <v>119337.14309142501</v>
      </c>
      <c r="CY60" s="2" t="str">
        <f t="shared" si="140"/>
        <v>nie</v>
      </c>
      <c r="CZ60" s="2">
        <f t="shared" si="53"/>
        <v>0</v>
      </c>
      <c r="DA60" s="2">
        <f t="shared" si="54"/>
        <v>0</v>
      </c>
      <c r="DB60" s="2">
        <f t="shared" si="55"/>
        <v>119337.14309142501</v>
      </c>
      <c r="DC60" s="2">
        <f t="shared" si="141"/>
        <v>0</v>
      </c>
      <c r="DD60" s="2">
        <f t="shared" si="56"/>
        <v>351.71113302499998</v>
      </c>
      <c r="DE60" s="2">
        <f t="shared" si="57"/>
        <v>118985.4319584</v>
      </c>
      <c r="DF60" s="2">
        <f t="shared" si="142"/>
        <v>3000</v>
      </c>
      <c r="DG60" s="2">
        <f t="shared" si="143"/>
        <v>3104.0571873707518</v>
      </c>
      <c r="DH60" s="2">
        <f t="shared" si="58"/>
        <v>112881.37477102925</v>
      </c>
    </row>
    <row r="61" spans="2:112">
      <c r="B61" s="231">
        <f>ROUNDUP(C62/12,0)</f>
        <v>3</v>
      </c>
      <c r="C61" s="3">
        <f t="shared" si="102"/>
        <v>24</v>
      </c>
      <c r="D61" s="10">
        <f t="shared" si="105"/>
        <v>108819.21024</v>
      </c>
      <c r="E61" s="10">
        <f t="shared" si="106"/>
        <v>106300.42624</v>
      </c>
      <c r="F61" s="10">
        <f t="shared" si="107"/>
        <v>109397.93280000001</v>
      </c>
      <c r="G61" s="10">
        <f t="shared" si="108"/>
        <v>105882.8753</v>
      </c>
      <c r="H61" s="10">
        <f t="shared" si="109"/>
        <v>110545.69344</v>
      </c>
      <c r="I61" s="10">
        <f t="shared" si="110"/>
        <v>106078.35194000001</v>
      </c>
      <c r="J61" s="10">
        <f t="shared" si="103"/>
        <v>105997.91687226786</v>
      </c>
      <c r="K61" s="10">
        <f t="shared" si="104"/>
        <v>106296.09999999998</v>
      </c>
      <c r="W61" s="1">
        <f t="shared" si="144"/>
        <v>43</v>
      </c>
      <c r="X61" s="2">
        <f t="shared" si="121"/>
        <v>111573.05473039162</v>
      </c>
      <c r="Y61" s="8">
        <f t="shared" si="157"/>
        <v>3.9100000000000003E-2</v>
      </c>
      <c r="Z61" s="5">
        <f t="shared" si="145"/>
        <v>1133</v>
      </c>
      <c r="AA61" s="2">
        <f t="shared" si="146"/>
        <v>113186.70000000001</v>
      </c>
      <c r="AB61" s="2">
        <f t="shared" si="37"/>
        <v>113300</v>
      </c>
      <c r="AC61" s="2">
        <f t="shared" si="147"/>
        <v>113300</v>
      </c>
      <c r="AD61" s="8">
        <f t="shared" si="122"/>
        <v>4.3999999999999997E-2</v>
      </c>
      <c r="AE61" s="2">
        <f t="shared" si="2"/>
        <v>116208.03333333334</v>
      </c>
      <c r="AF61" s="2" t="str">
        <f t="shared" si="123"/>
        <v>nie</v>
      </c>
      <c r="AG61" s="2">
        <f t="shared" si="124"/>
        <v>1133</v>
      </c>
      <c r="AH61" s="1">
        <f t="shared" si="79"/>
        <v>0</v>
      </c>
      <c r="AI61" s="1">
        <f t="shared" si="111"/>
        <v>0</v>
      </c>
      <c r="AJ61" s="1">
        <f t="shared" si="155"/>
        <v>0</v>
      </c>
      <c r="AK61" s="6"/>
      <c r="AL61" s="2">
        <f t="shared" si="90"/>
        <v>0</v>
      </c>
      <c r="AM61" s="8">
        <f t="shared" si="80"/>
        <v>4.3999999999999997E-2</v>
      </c>
      <c r="AN61" s="2">
        <f t="shared" si="91"/>
        <v>0</v>
      </c>
      <c r="AO61" s="2">
        <f t="shared" si="81"/>
        <v>0</v>
      </c>
      <c r="AP61" s="2">
        <f t="shared" si="119"/>
        <v>0</v>
      </c>
      <c r="AQ61" s="8">
        <f t="shared" si="112"/>
        <v>3.9100000000000003E-2</v>
      </c>
      <c r="AR61" s="2">
        <f t="shared" si="113"/>
        <v>0</v>
      </c>
      <c r="AS61" s="2">
        <f t="shared" si="114"/>
        <v>0</v>
      </c>
      <c r="AT61" s="2">
        <f t="shared" si="39"/>
        <v>0</v>
      </c>
      <c r="AU61" s="2">
        <f t="shared" si="92"/>
        <v>0</v>
      </c>
      <c r="AV61" s="2">
        <f t="shared" si="82"/>
        <v>68.549759999979869</v>
      </c>
      <c r="AW61" s="1">
        <f t="shared" si="77"/>
        <v>0</v>
      </c>
      <c r="AX61" s="2">
        <f t="shared" si="125"/>
        <v>68.549759999979869</v>
      </c>
      <c r="AY61" s="1">
        <f t="shared" si="83"/>
        <v>0</v>
      </c>
      <c r="AZ61" s="2">
        <f t="shared" si="40"/>
        <v>68.549759999979869</v>
      </c>
      <c r="BA61" s="2">
        <f t="shared" si="93"/>
        <v>116276.58309333332</v>
      </c>
      <c r="BB61" s="2">
        <f t="shared" si="126"/>
        <v>0</v>
      </c>
      <c r="BC61" s="2">
        <f t="shared" si="41"/>
        <v>344.27263463999998</v>
      </c>
      <c r="BD61" s="2">
        <f t="shared" si="10"/>
        <v>115932.31045869332</v>
      </c>
      <c r="BE61" s="2">
        <f t="shared" si="42"/>
        <v>1133</v>
      </c>
      <c r="BF61" s="2">
        <f t="shared" si="11"/>
        <v>2877.2807877333307</v>
      </c>
      <c r="BG61" s="2">
        <f t="shared" si="12"/>
        <v>111922.02967095999</v>
      </c>
      <c r="BI61" s="8">
        <f t="shared" si="84"/>
        <v>3.1E-2</v>
      </c>
      <c r="BJ61" s="5">
        <f t="shared" si="148"/>
        <v>1000</v>
      </c>
      <c r="BK61" s="2">
        <f t="shared" si="149"/>
        <v>100000</v>
      </c>
      <c r="BL61" s="2">
        <f t="shared" si="150"/>
        <v>100000</v>
      </c>
      <c r="BM61" s="2">
        <f t="shared" si="127"/>
        <v>100000</v>
      </c>
      <c r="BN61" s="8">
        <f t="shared" si="128"/>
        <v>4.5999999999999999E-2</v>
      </c>
      <c r="BO61" s="2">
        <f t="shared" si="129"/>
        <v>102683.33333333333</v>
      </c>
      <c r="BP61" s="2" t="str">
        <f t="shared" si="130"/>
        <v>nie</v>
      </c>
      <c r="BQ61" s="2">
        <f t="shared" si="131"/>
        <v>2000</v>
      </c>
      <c r="BR61" s="1">
        <f t="shared" si="85"/>
        <v>51</v>
      </c>
      <c r="BS61" s="1">
        <f t="shared" si="115"/>
        <v>48</v>
      </c>
      <c r="BT61" s="1">
        <f t="shared" si="156"/>
        <v>47</v>
      </c>
      <c r="BU61" s="6"/>
      <c r="BV61" s="2">
        <f t="shared" si="94"/>
        <v>5100</v>
      </c>
      <c r="BW61" s="8">
        <f t="shared" si="86"/>
        <v>4.7500000000000001E-2</v>
      </c>
      <c r="BX61" s="2">
        <f t="shared" si="95"/>
        <v>5241.3125000000009</v>
      </c>
      <c r="BY61" s="2">
        <f t="shared" si="87"/>
        <v>102</v>
      </c>
      <c r="BZ61" s="2">
        <f t="shared" si="120"/>
        <v>9500</v>
      </c>
      <c r="CA61" s="8">
        <f t="shared" si="116"/>
        <v>4.5999999999999999E-2</v>
      </c>
      <c r="CB61" s="2">
        <f t="shared" si="117"/>
        <v>9754.9166666666661</v>
      </c>
      <c r="CC61" s="2">
        <f t="shared" si="118"/>
        <v>190</v>
      </c>
      <c r="CD61" s="2">
        <f t="shared" si="132"/>
        <v>0</v>
      </c>
      <c r="CE61" s="2">
        <f t="shared" si="96"/>
        <v>0</v>
      </c>
      <c r="CF61" s="2">
        <f t="shared" si="97"/>
        <v>17.450000000016189</v>
      </c>
      <c r="CG61" s="1">
        <f t="shared" si="78"/>
        <v>0</v>
      </c>
      <c r="CH61" s="2">
        <f t="shared" si="133"/>
        <v>17.450000000016189</v>
      </c>
      <c r="CI61" s="1">
        <f t="shared" si="89"/>
        <v>0</v>
      </c>
      <c r="CJ61" s="2">
        <f t="shared" si="98"/>
        <v>17.450000000016189</v>
      </c>
      <c r="CK61" s="2">
        <f t="shared" si="99"/>
        <v>117697.01250000001</v>
      </c>
      <c r="CL61" s="2">
        <f t="shared" si="134"/>
        <v>0</v>
      </c>
      <c r="CM61" s="2">
        <f t="shared" si="47"/>
        <v>347.24337500000007</v>
      </c>
      <c r="CN61" s="2">
        <f t="shared" si="135"/>
        <v>117349.76912500001</v>
      </c>
      <c r="CO61" s="2">
        <f t="shared" si="48"/>
        <v>2292</v>
      </c>
      <c r="CP61" s="2">
        <f t="shared" si="136"/>
        <v>2926.9523750000021</v>
      </c>
      <c r="CQ61" s="2">
        <f t="shared" si="137"/>
        <v>112130.81675</v>
      </c>
      <c r="CS61" s="5">
        <f t="shared" si="151"/>
        <v>1000</v>
      </c>
      <c r="CT61" s="2">
        <f t="shared" si="152"/>
        <v>100000</v>
      </c>
      <c r="CU61" s="2">
        <f t="shared" si="153"/>
        <v>100000</v>
      </c>
      <c r="CV61" s="2">
        <f t="shared" si="154"/>
        <v>116369.71535</v>
      </c>
      <c r="CW61" s="8">
        <f t="shared" si="138"/>
        <v>5.1000000000000004E-2</v>
      </c>
      <c r="CX61" s="2">
        <f t="shared" si="139"/>
        <v>119831.71438166249</v>
      </c>
      <c r="CY61" s="2" t="str">
        <f t="shared" si="140"/>
        <v>nie</v>
      </c>
      <c r="CZ61" s="2">
        <f t="shared" si="53"/>
        <v>0</v>
      </c>
      <c r="DA61" s="2">
        <f t="shared" si="54"/>
        <v>0</v>
      </c>
      <c r="DB61" s="2">
        <f t="shared" si="55"/>
        <v>119831.71438166249</v>
      </c>
      <c r="DC61" s="2">
        <f t="shared" si="141"/>
        <v>0</v>
      </c>
      <c r="DD61" s="2">
        <f t="shared" si="56"/>
        <v>351.71113302499998</v>
      </c>
      <c r="DE61" s="2">
        <f t="shared" si="57"/>
        <v>119480.00324863748</v>
      </c>
      <c r="DF61" s="2">
        <f t="shared" si="142"/>
        <v>3000</v>
      </c>
      <c r="DG61" s="2">
        <f t="shared" si="143"/>
        <v>3198.0257325158727</v>
      </c>
      <c r="DH61" s="2">
        <f t="shared" si="58"/>
        <v>113281.97751612161</v>
      </c>
    </row>
    <row r="62" spans="2:112">
      <c r="B62" s="232"/>
      <c r="C62" s="1">
        <f t="shared" si="102"/>
        <v>25</v>
      </c>
      <c r="D62" s="2">
        <f t="shared" si="105"/>
        <v>109218.85344000001</v>
      </c>
      <c r="E62" s="2">
        <f t="shared" si="106"/>
        <v>106624.13723200001</v>
      </c>
      <c r="F62" s="2">
        <f t="shared" si="107"/>
        <v>109818.2828</v>
      </c>
      <c r="G62" s="2">
        <f t="shared" si="108"/>
        <v>106207.9688</v>
      </c>
      <c r="H62" s="2">
        <f t="shared" si="109"/>
        <v>111016.26555250002</v>
      </c>
      <c r="I62" s="2">
        <f t="shared" si="110"/>
        <v>106459.51535112501</v>
      </c>
      <c r="J62" s="2">
        <f t="shared" si="103"/>
        <v>106255.49181026746</v>
      </c>
      <c r="K62" s="2">
        <f t="shared" si="104"/>
        <v>106570.69825833332</v>
      </c>
      <c r="W62" s="1">
        <f t="shared" si="144"/>
        <v>44</v>
      </c>
      <c r="X62" s="2">
        <f t="shared" si="121"/>
        <v>111856.1655347333</v>
      </c>
      <c r="Y62" s="8">
        <f t="shared" si="157"/>
        <v>3.9100000000000003E-2</v>
      </c>
      <c r="Z62" s="5">
        <f t="shared" si="145"/>
        <v>1133</v>
      </c>
      <c r="AA62" s="2">
        <f t="shared" si="146"/>
        <v>113186.70000000001</v>
      </c>
      <c r="AB62" s="2">
        <f t="shared" si="37"/>
        <v>113300</v>
      </c>
      <c r="AC62" s="2">
        <f t="shared" si="147"/>
        <v>113300</v>
      </c>
      <c r="AD62" s="8">
        <f t="shared" si="122"/>
        <v>4.3999999999999997E-2</v>
      </c>
      <c r="AE62" s="2">
        <f t="shared" si="2"/>
        <v>116623.46666666667</v>
      </c>
      <c r="AF62" s="2" t="str">
        <f t="shared" si="123"/>
        <v>nie</v>
      </c>
      <c r="AG62" s="2">
        <f t="shared" si="124"/>
        <v>1133</v>
      </c>
      <c r="AH62" s="1">
        <f t="shared" si="79"/>
        <v>0</v>
      </c>
      <c r="AI62" s="1">
        <f t="shared" si="111"/>
        <v>0</v>
      </c>
      <c r="AJ62" s="1">
        <f t="shared" si="155"/>
        <v>0</v>
      </c>
      <c r="AK62" s="6"/>
      <c r="AL62" s="2">
        <f t="shared" si="90"/>
        <v>0</v>
      </c>
      <c r="AM62" s="8">
        <f t="shared" si="80"/>
        <v>4.3999999999999997E-2</v>
      </c>
      <c r="AN62" s="2">
        <f t="shared" si="91"/>
        <v>0</v>
      </c>
      <c r="AO62" s="2">
        <f t="shared" si="81"/>
        <v>0</v>
      </c>
      <c r="AP62" s="2">
        <f t="shared" si="119"/>
        <v>0</v>
      </c>
      <c r="AQ62" s="8">
        <f t="shared" si="112"/>
        <v>3.9100000000000003E-2</v>
      </c>
      <c r="AR62" s="2">
        <f t="shared" si="113"/>
        <v>0</v>
      </c>
      <c r="AS62" s="2">
        <f t="shared" si="114"/>
        <v>0</v>
      </c>
      <c r="AT62" s="2">
        <f t="shared" si="39"/>
        <v>0</v>
      </c>
      <c r="AU62" s="2">
        <f t="shared" si="92"/>
        <v>0</v>
      </c>
      <c r="AV62" s="2">
        <f t="shared" si="82"/>
        <v>68.549759999979869</v>
      </c>
      <c r="AW62" s="1">
        <f t="shared" ref="AW62:AW93" si="158">IF(AT62&lt;&gt;0,MIN(IF(AK62&lt;&gt;"",AK62,0),ROUNDDOWN(AV62/zamiana_TOS,0)),0)</f>
        <v>0</v>
      </c>
      <c r="AX62" s="2">
        <f t="shared" si="125"/>
        <v>68.549759999979869</v>
      </c>
      <c r="AY62" s="1">
        <f t="shared" si="83"/>
        <v>0</v>
      </c>
      <c r="AZ62" s="2">
        <f t="shared" si="40"/>
        <v>68.549759999979869</v>
      </c>
      <c r="BA62" s="2">
        <f t="shared" si="93"/>
        <v>116692.01642666665</v>
      </c>
      <c r="BB62" s="2">
        <f t="shared" si="126"/>
        <v>0</v>
      </c>
      <c r="BC62" s="2">
        <f t="shared" si="41"/>
        <v>344.27263463999998</v>
      </c>
      <c r="BD62" s="2">
        <f t="shared" si="10"/>
        <v>116347.74379202665</v>
      </c>
      <c r="BE62" s="2">
        <f t="shared" si="42"/>
        <v>1133</v>
      </c>
      <c r="BF62" s="2">
        <f t="shared" si="11"/>
        <v>2956.2131210666644</v>
      </c>
      <c r="BG62" s="2">
        <f t="shared" si="12"/>
        <v>112258.53067095998</v>
      </c>
      <c r="BI62" s="8">
        <f t="shared" si="84"/>
        <v>3.1E-2</v>
      </c>
      <c r="BJ62" s="5">
        <f t="shared" si="148"/>
        <v>1000</v>
      </c>
      <c r="BK62" s="2">
        <f t="shared" si="149"/>
        <v>100000</v>
      </c>
      <c r="BL62" s="2">
        <f t="shared" si="150"/>
        <v>100000</v>
      </c>
      <c r="BM62" s="2">
        <f t="shared" si="127"/>
        <v>100000</v>
      </c>
      <c r="BN62" s="8">
        <f t="shared" si="128"/>
        <v>4.5999999999999999E-2</v>
      </c>
      <c r="BO62" s="2">
        <f t="shared" si="129"/>
        <v>103066.66666666666</v>
      </c>
      <c r="BP62" s="2" t="str">
        <f t="shared" si="130"/>
        <v>nie</v>
      </c>
      <c r="BQ62" s="2">
        <f t="shared" si="131"/>
        <v>2000</v>
      </c>
      <c r="BR62" s="1">
        <f t="shared" si="85"/>
        <v>51</v>
      </c>
      <c r="BS62" s="1">
        <f t="shared" si="115"/>
        <v>48</v>
      </c>
      <c r="BT62" s="1">
        <f t="shared" si="156"/>
        <v>47</v>
      </c>
      <c r="BU62" s="6"/>
      <c r="BV62" s="2">
        <f t="shared" si="94"/>
        <v>5100</v>
      </c>
      <c r="BW62" s="8">
        <f t="shared" si="86"/>
        <v>4.7500000000000001E-2</v>
      </c>
      <c r="BX62" s="2">
        <f t="shared" si="95"/>
        <v>5261.5</v>
      </c>
      <c r="BY62" s="2">
        <f t="shared" si="87"/>
        <v>102</v>
      </c>
      <c r="BZ62" s="2">
        <f t="shared" si="120"/>
        <v>9500</v>
      </c>
      <c r="CA62" s="8">
        <f t="shared" si="116"/>
        <v>4.5999999999999999E-2</v>
      </c>
      <c r="CB62" s="2">
        <f t="shared" si="117"/>
        <v>9791.3333333333321</v>
      </c>
      <c r="CC62" s="2">
        <f t="shared" si="118"/>
        <v>190</v>
      </c>
      <c r="CD62" s="2">
        <f t="shared" si="132"/>
        <v>0</v>
      </c>
      <c r="CE62" s="2">
        <f t="shared" si="96"/>
        <v>0</v>
      </c>
      <c r="CF62" s="2">
        <f t="shared" si="97"/>
        <v>17.450000000016189</v>
      </c>
      <c r="CG62" s="1">
        <f t="shared" ref="CG62:CG93" si="159">IF(CD62&lt;&gt;0,MIN(IF(BU62&lt;&gt;"",BU62,0),ROUNDDOWN(CF62/zamiana_COI,0)),0)</f>
        <v>0</v>
      </c>
      <c r="CH62" s="2">
        <f t="shared" si="133"/>
        <v>17.450000000016189</v>
      </c>
      <c r="CI62" s="1">
        <f t="shared" si="89"/>
        <v>0</v>
      </c>
      <c r="CJ62" s="2">
        <f t="shared" si="98"/>
        <v>17.450000000016189</v>
      </c>
      <c r="CK62" s="2">
        <f t="shared" si="99"/>
        <v>118136.95</v>
      </c>
      <c r="CL62" s="2">
        <f t="shared" si="134"/>
        <v>0</v>
      </c>
      <c r="CM62" s="2">
        <f t="shared" si="47"/>
        <v>347.24337500000007</v>
      </c>
      <c r="CN62" s="2">
        <f t="shared" si="135"/>
        <v>117789.70662499999</v>
      </c>
      <c r="CO62" s="2">
        <f t="shared" si="48"/>
        <v>2292</v>
      </c>
      <c r="CP62" s="2">
        <f t="shared" si="136"/>
        <v>3010.5404999999996</v>
      </c>
      <c r="CQ62" s="2">
        <f t="shared" si="137"/>
        <v>112487.16612499999</v>
      </c>
      <c r="CS62" s="5">
        <f t="shared" si="151"/>
        <v>1000</v>
      </c>
      <c r="CT62" s="2">
        <f t="shared" si="152"/>
        <v>100000</v>
      </c>
      <c r="CU62" s="2">
        <f t="shared" si="153"/>
        <v>100000</v>
      </c>
      <c r="CV62" s="2">
        <f t="shared" si="154"/>
        <v>116369.71535</v>
      </c>
      <c r="CW62" s="8">
        <f t="shared" si="138"/>
        <v>5.1000000000000004E-2</v>
      </c>
      <c r="CX62" s="2">
        <f t="shared" si="139"/>
        <v>120326.2856719</v>
      </c>
      <c r="CY62" s="2" t="str">
        <f t="shared" si="140"/>
        <v>nie</v>
      </c>
      <c r="CZ62" s="2">
        <f t="shared" si="53"/>
        <v>0</v>
      </c>
      <c r="DA62" s="2">
        <f t="shared" si="54"/>
        <v>0</v>
      </c>
      <c r="DB62" s="2">
        <f t="shared" si="55"/>
        <v>120326.2856719</v>
      </c>
      <c r="DC62" s="2">
        <f t="shared" si="141"/>
        <v>0</v>
      </c>
      <c r="DD62" s="2">
        <f t="shared" si="56"/>
        <v>351.71113302499998</v>
      </c>
      <c r="DE62" s="2">
        <f t="shared" si="57"/>
        <v>119974.57453887499</v>
      </c>
      <c r="DF62" s="2">
        <f t="shared" si="142"/>
        <v>3000</v>
      </c>
      <c r="DG62" s="2">
        <f t="shared" si="143"/>
        <v>3291.9942776609996</v>
      </c>
      <c r="DH62" s="2">
        <f t="shared" si="58"/>
        <v>113682.580261214</v>
      </c>
    </row>
    <row r="63" spans="2:112">
      <c r="B63" s="232"/>
      <c r="C63" s="1">
        <f t="shared" si="102"/>
        <v>26</v>
      </c>
      <c r="D63" s="2">
        <f t="shared" si="105"/>
        <v>109618.49664000001</v>
      </c>
      <c r="E63" s="2">
        <f t="shared" si="106"/>
        <v>106947.84822400002</v>
      </c>
      <c r="F63" s="2">
        <f t="shared" si="107"/>
        <v>110238.63280000002</v>
      </c>
      <c r="G63" s="2">
        <f t="shared" si="108"/>
        <v>106533.06230000002</v>
      </c>
      <c r="H63" s="2">
        <f t="shared" si="109"/>
        <v>111486.837665</v>
      </c>
      <c r="I63" s="2">
        <f t="shared" si="110"/>
        <v>106840.67876225</v>
      </c>
      <c r="J63" s="2">
        <f t="shared" si="103"/>
        <v>106513.69265536639</v>
      </c>
      <c r="K63" s="2">
        <f t="shared" si="104"/>
        <v>106845.29651666665</v>
      </c>
      <c r="W63" s="1">
        <f t="shared" si="144"/>
        <v>45</v>
      </c>
      <c r="X63" s="2">
        <f t="shared" si="121"/>
        <v>112139.27633907498</v>
      </c>
      <c r="Y63" s="8">
        <f t="shared" si="157"/>
        <v>3.9100000000000003E-2</v>
      </c>
      <c r="Z63" s="5">
        <f t="shared" si="145"/>
        <v>1133</v>
      </c>
      <c r="AA63" s="2">
        <f t="shared" si="146"/>
        <v>113186.70000000001</v>
      </c>
      <c r="AB63" s="2">
        <f t="shared" si="37"/>
        <v>113300</v>
      </c>
      <c r="AC63" s="2">
        <f t="shared" si="147"/>
        <v>113300</v>
      </c>
      <c r="AD63" s="8">
        <f t="shared" si="122"/>
        <v>4.3999999999999997E-2</v>
      </c>
      <c r="AE63" s="2">
        <f t="shared" si="2"/>
        <v>117038.9</v>
      </c>
      <c r="AF63" s="2" t="str">
        <f t="shared" si="123"/>
        <v>nie</v>
      </c>
      <c r="AG63" s="2">
        <f t="shared" si="124"/>
        <v>1133</v>
      </c>
      <c r="AH63" s="1">
        <f t="shared" si="79"/>
        <v>0</v>
      </c>
      <c r="AI63" s="1">
        <f t="shared" si="111"/>
        <v>0</v>
      </c>
      <c r="AJ63" s="1">
        <f t="shared" si="155"/>
        <v>0</v>
      </c>
      <c r="AK63" s="6"/>
      <c r="AL63" s="2">
        <f t="shared" si="90"/>
        <v>0</v>
      </c>
      <c r="AM63" s="8">
        <f t="shared" ref="AM63:AM94" si="160">proc_I_okres_TOS</f>
        <v>4.3999999999999997E-2</v>
      </c>
      <c r="AN63" s="2">
        <f t="shared" si="91"/>
        <v>0</v>
      </c>
      <c r="AO63" s="2">
        <f t="shared" ref="AO63:AO94" si="161">MIN(AH63*koszt_wczesniejszy_wykup_TOS,AN63-AL63)</f>
        <v>0</v>
      </c>
      <c r="AP63" s="2">
        <f t="shared" si="119"/>
        <v>0</v>
      </c>
      <c r="AQ63" s="8">
        <f t="shared" si="112"/>
        <v>3.9100000000000003E-2</v>
      </c>
      <c r="AR63" s="2">
        <f t="shared" si="113"/>
        <v>0</v>
      </c>
      <c r="AS63" s="2">
        <f t="shared" si="114"/>
        <v>0</v>
      </c>
      <c r="AT63" s="2">
        <f t="shared" si="39"/>
        <v>0</v>
      </c>
      <c r="AU63" s="2">
        <f t="shared" si="92"/>
        <v>0</v>
      </c>
      <c r="AV63" s="2">
        <f t="shared" si="82"/>
        <v>68.549759999979869</v>
      </c>
      <c r="AW63" s="1">
        <f t="shared" si="158"/>
        <v>0</v>
      </c>
      <c r="AX63" s="2">
        <f t="shared" si="125"/>
        <v>68.549759999979869</v>
      </c>
      <c r="AY63" s="1">
        <f t="shared" si="83"/>
        <v>0</v>
      </c>
      <c r="AZ63" s="2">
        <f t="shared" si="40"/>
        <v>68.549759999979869</v>
      </c>
      <c r="BA63" s="2">
        <f t="shared" si="93"/>
        <v>117107.44975999997</v>
      </c>
      <c r="BB63" s="2">
        <f t="shared" si="126"/>
        <v>0</v>
      </c>
      <c r="BC63" s="2">
        <f t="shared" si="41"/>
        <v>344.27263463999998</v>
      </c>
      <c r="BD63" s="2">
        <f t="shared" si="10"/>
        <v>116763.17712535997</v>
      </c>
      <c r="BE63" s="2">
        <f t="shared" si="42"/>
        <v>1133</v>
      </c>
      <c r="BF63" s="2">
        <f t="shared" si="11"/>
        <v>3035.1454543999953</v>
      </c>
      <c r="BG63" s="2">
        <f t="shared" si="12"/>
        <v>112595.03167095997</v>
      </c>
      <c r="BI63" s="8">
        <f t="shared" ref="BI63:BI94" si="162">MAX(INDEX(scenariusz_I_inflacja,MATCH(ROUNDUP(W63/12,0)-1,scenariusz_I_rok,0)),0)</f>
        <v>3.1E-2</v>
      </c>
      <c r="BJ63" s="5">
        <f t="shared" si="148"/>
        <v>1000</v>
      </c>
      <c r="BK63" s="2">
        <f t="shared" si="149"/>
        <v>100000</v>
      </c>
      <c r="BL63" s="2">
        <f t="shared" si="150"/>
        <v>100000</v>
      </c>
      <c r="BM63" s="2">
        <f t="shared" si="127"/>
        <v>100000</v>
      </c>
      <c r="BN63" s="8">
        <f t="shared" si="128"/>
        <v>4.5999999999999999E-2</v>
      </c>
      <c r="BO63" s="2">
        <f t="shared" si="129"/>
        <v>103450</v>
      </c>
      <c r="BP63" s="2" t="str">
        <f t="shared" si="130"/>
        <v>nie</v>
      </c>
      <c r="BQ63" s="2">
        <f t="shared" si="131"/>
        <v>2000</v>
      </c>
      <c r="BR63" s="1">
        <f t="shared" ref="BR63:BR94" si="163">IF(CD62&lt;&gt;0,CG62+CI62,BR62)</f>
        <v>51</v>
      </c>
      <c r="BS63" s="1">
        <f t="shared" si="115"/>
        <v>48</v>
      </c>
      <c r="BT63" s="1">
        <f t="shared" si="156"/>
        <v>47</v>
      </c>
      <c r="BU63" s="6"/>
      <c r="BV63" s="2">
        <f t="shared" si="94"/>
        <v>5100</v>
      </c>
      <c r="BW63" s="8">
        <f t="shared" ref="BW63:BW94" si="164">proc_I_okres_COI</f>
        <v>4.7500000000000001E-2</v>
      </c>
      <c r="BX63" s="2">
        <f t="shared" si="95"/>
        <v>5281.6875</v>
      </c>
      <c r="BY63" s="2">
        <f t="shared" ref="BY63:BY94" si="165">MIN(BR63*koszt_wczesniejszy_wykup_COI,BX63-BV63)</f>
        <v>102</v>
      </c>
      <c r="BZ63" s="2">
        <f t="shared" si="120"/>
        <v>9500</v>
      </c>
      <c r="CA63" s="8">
        <f t="shared" si="116"/>
        <v>4.5999999999999999E-2</v>
      </c>
      <c r="CB63" s="2">
        <f t="shared" si="117"/>
        <v>9827.75</v>
      </c>
      <c r="CC63" s="2">
        <f t="shared" si="118"/>
        <v>190</v>
      </c>
      <c r="CD63" s="2">
        <f t="shared" si="132"/>
        <v>0</v>
      </c>
      <c r="CE63" s="2">
        <f t="shared" si="96"/>
        <v>0</v>
      </c>
      <c r="CF63" s="2">
        <f t="shared" si="97"/>
        <v>17.450000000016189</v>
      </c>
      <c r="CG63" s="1">
        <f t="shared" si="159"/>
        <v>0</v>
      </c>
      <c r="CH63" s="2">
        <f t="shared" si="133"/>
        <v>17.450000000016189</v>
      </c>
      <c r="CI63" s="1">
        <f t="shared" si="89"/>
        <v>0</v>
      </c>
      <c r="CJ63" s="2">
        <f t="shared" si="98"/>
        <v>17.450000000016189</v>
      </c>
      <c r="CK63" s="2">
        <f t="shared" si="99"/>
        <v>118576.88750000001</v>
      </c>
      <c r="CL63" s="2">
        <f t="shared" si="134"/>
        <v>0</v>
      </c>
      <c r="CM63" s="2">
        <f t="shared" si="47"/>
        <v>347.24337500000007</v>
      </c>
      <c r="CN63" s="2">
        <f t="shared" si="135"/>
        <v>118229.64412500001</v>
      </c>
      <c r="CO63" s="2">
        <f t="shared" si="48"/>
        <v>2292</v>
      </c>
      <c r="CP63" s="2">
        <f t="shared" si="136"/>
        <v>3094.1286250000021</v>
      </c>
      <c r="CQ63" s="2">
        <f t="shared" si="137"/>
        <v>112843.51550000001</v>
      </c>
      <c r="CS63" s="5">
        <f t="shared" si="151"/>
        <v>1000</v>
      </c>
      <c r="CT63" s="2">
        <f t="shared" si="152"/>
        <v>100000</v>
      </c>
      <c r="CU63" s="2">
        <f t="shared" si="153"/>
        <v>100000</v>
      </c>
      <c r="CV63" s="2">
        <f t="shared" si="154"/>
        <v>116369.71535</v>
      </c>
      <c r="CW63" s="8">
        <f t="shared" si="138"/>
        <v>5.1000000000000004E-2</v>
      </c>
      <c r="CX63" s="2">
        <f t="shared" si="139"/>
        <v>120820.85696213749</v>
      </c>
      <c r="CY63" s="2" t="str">
        <f t="shared" si="140"/>
        <v>nie</v>
      </c>
      <c r="CZ63" s="2">
        <f t="shared" si="53"/>
        <v>0</v>
      </c>
      <c r="DA63" s="2">
        <f t="shared" si="54"/>
        <v>0</v>
      </c>
      <c r="DB63" s="2">
        <f t="shared" si="55"/>
        <v>120820.85696213749</v>
      </c>
      <c r="DC63" s="2">
        <f t="shared" si="141"/>
        <v>0</v>
      </c>
      <c r="DD63" s="2">
        <f t="shared" si="56"/>
        <v>351.71113302499998</v>
      </c>
      <c r="DE63" s="2">
        <f t="shared" si="57"/>
        <v>120469.14582911249</v>
      </c>
      <c r="DF63" s="2">
        <f t="shared" si="142"/>
        <v>3000</v>
      </c>
      <c r="DG63" s="2">
        <f t="shared" si="143"/>
        <v>3385.9628228061233</v>
      </c>
      <c r="DH63" s="2">
        <f t="shared" si="58"/>
        <v>114083.18300630637</v>
      </c>
    </row>
    <row r="64" spans="2:112">
      <c r="B64" s="232"/>
      <c r="C64" s="1">
        <f t="shared" si="102"/>
        <v>27</v>
      </c>
      <c r="D64" s="2">
        <f t="shared" si="105"/>
        <v>110018.13983999999</v>
      </c>
      <c r="E64" s="2">
        <f t="shared" si="106"/>
        <v>107271.55921599999</v>
      </c>
      <c r="F64" s="2">
        <f t="shared" si="107"/>
        <v>110658.98280000001</v>
      </c>
      <c r="G64" s="2">
        <f t="shared" si="108"/>
        <v>106858.15580000001</v>
      </c>
      <c r="H64" s="2">
        <f t="shared" si="109"/>
        <v>111957.40977750001</v>
      </c>
      <c r="I64" s="2">
        <f t="shared" si="110"/>
        <v>107221.84217337501</v>
      </c>
      <c r="J64" s="2">
        <f t="shared" si="103"/>
        <v>106772.52092851893</v>
      </c>
      <c r="K64" s="2">
        <f t="shared" si="104"/>
        <v>107119.89477499996</v>
      </c>
      <c r="W64" s="1">
        <f t="shared" si="144"/>
        <v>46</v>
      </c>
      <c r="X64" s="2">
        <f t="shared" si="121"/>
        <v>112422.38714341664</v>
      </c>
      <c r="Y64" s="8">
        <f t="shared" si="157"/>
        <v>3.9100000000000003E-2</v>
      </c>
      <c r="Z64" s="5">
        <f t="shared" si="145"/>
        <v>1133</v>
      </c>
      <c r="AA64" s="2">
        <f t="shared" si="146"/>
        <v>113186.70000000001</v>
      </c>
      <c r="AB64" s="2">
        <f t="shared" si="37"/>
        <v>113300</v>
      </c>
      <c r="AC64" s="2">
        <f t="shared" si="147"/>
        <v>113300</v>
      </c>
      <c r="AD64" s="8">
        <f t="shared" si="122"/>
        <v>4.3999999999999997E-2</v>
      </c>
      <c r="AE64" s="2">
        <f t="shared" si="2"/>
        <v>117454.33333333333</v>
      </c>
      <c r="AF64" s="2" t="str">
        <f t="shared" si="123"/>
        <v>nie</v>
      </c>
      <c r="AG64" s="2">
        <f t="shared" si="124"/>
        <v>1133</v>
      </c>
      <c r="AH64" s="1">
        <f t="shared" si="79"/>
        <v>0</v>
      </c>
      <c r="AI64" s="1">
        <f t="shared" si="111"/>
        <v>0</v>
      </c>
      <c r="AJ64" s="1">
        <f t="shared" si="155"/>
        <v>0</v>
      </c>
      <c r="AK64" s="6"/>
      <c r="AL64" s="2">
        <f t="shared" si="90"/>
        <v>0</v>
      </c>
      <c r="AM64" s="8">
        <f t="shared" si="160"/>
        <v>4.3999999999999997E-2</v>
      </c>
      <c r="AN64" s="2">
        <f t="shared" si="91"/>
        <v>0</v>
      </c>
      <c r="AO64" s="2">
        <f t="shared" si="161"/>
        <v>0</v>
      </c>
      <c r="AP64" s="2">
        <f t="shared" si="119"/>
        <v>0</v>
      </c>
      <c r="AQ64" s="8">
        <f t="shared" si="112"/>
        <v>3.9100000000000003E-2</v>
      </c>
      <c r="AR64" s="2">
        <f t="shared" si="113"/>
        <v>0</v>
      </c>
      <c r="AS64" s="2">
        <f t="shared" si="114"/>
        <v>0</v>
      </c>
      <c r="AT64" s="2">
        <f t="shared" si="39"/>
        <v>0</v>
      </c>
      <c r="AU64" s="2">
        <f t="shared" si="92"/>
        <v>0</v>
      </c>
      <c r="AV64" s="2">
        <f t="shared" si="82"/>
        <v>68.549759999979869</v>
      </c>
      <c r="AW64" s="1">
        <f t="shared" si="158"/>
        <v>0</v>
      </c>
      <c r="AX64" s="2">
        <f t="shared" si="125"/>
        <v>68.549759999979869</v>
      </c>
      <c r="AY64" s="1">
        <f t="shared" si="83"/>
        <v>0</v>
      </c>
      <c r="AZ64" s="2">
        <f t="shared" si="40"/>
        <v>68.549759999979869</v>
      </c>
      <c r="BA64" s="2">
        <f t="shared" si="93"/>
        <v>117522.88309333331</v>
      </c>
      <c r="BB64" s="2">
        <f t="shared" si="126"/>
        <v>0</v>
      </c>
      <c r="BC64" s="2">
        <f t="shared" si="41"/>
        <v>344.27263463999998</v>
      </c>
      <c r="BD64" s="2">
        <f t="shared" si="10"/>
        <v>117178.61045869331</v>
      </c>
      <c r="BE64" s="2">
        <f t="shared" si="42"/>
        <v>1133</v>
      </c>
      <c r="BF64" s="2">
        <f t="shared" si="11"/>
        <v>3114.0777877333285</v>
      </c>
      <c r="BG64" s="2">
        <f t="shared" si="12"/>
        <v>112931.53267095998</v>
      </c>
      <c r="BI64" s="8">
        <f t="shared" si="162"/>
        <v>3.1E-2</v>
      </c>
      <c r="BJ64" s="5">
        <f t="shared" si="148"/>
        <v>1000</v>
      </c>
      <c r="BK64" s="2">
        <f t="shared" si="149"/>
        <v>100000</v>
      </c>
      <c r="BL64" s="2">
        <f t="shared" si="150"/>
        <v>100000</v>
      </c>
      <c r="BM64" s="2">
        <f t="shared" si="127"/>
        <v>100000</v>
      </c>
      <c r="BN64" s="8">
        <f t="shared" si="128"/>
        <v>4.5999999999999999E-2</v>
      </c>
      <c r="BO64" s="2">
        <f t="shared" si="129"/>
        <v>103833.33333333333</v>
      </c>
      <c r="BP64" s="2" t="str">
        <f t="shared" si="130"/>
        <v>nie</v>
      </c>
      <c r="BQ64" s="2">
        <f t="shared" si="131"/>
        <v>2000</v>
      </c>
      <c r="BR64" s="1">
        <f t="shared" si="163"/>
        <v>51</v>
      </c>
      <c r="BS64" s="1">
        <f t="shared" si="115"/>
        <v>48</v>
      </c>
      <c r="BT64" s="1">
        <f t="shared" si="156"/>
        <v>47</v>
      </c>
      <c r="BU64" s="6"/>
      <c r="BV64" s="2">
        <f t="shared" si="94"/>
        <v>5100</v>
      </c>
      <c r="BW64" s="8">
        <f t="shared" si="164"/>
        <v>4.7500000000000001E-2</v>
      </c>
      <c r="BX64" s="2">
        <f t="shared" si="95"/>
        <v>5301.875</v>
      </c>
      <c r="BY64" s="2">
        <f t="shared" si="165"/>
        <v>102</v>
      </c>
      <c r="BZ64" s="2">
        <f t="shared" si="120"/>
        <v>9500</v>
      </c>
      <c r="CA64" s="8">
        <f t="shared" si="116"/>
        <v>4.5999999999999999E-2</v>
      </c>
      <c r="CB64" s="2">
        <f t="shared" si="117"/>
        <v>9864.1666666666661</v>
      </c>
      <c r="CC64" s="2">
        <f t="shared" si="118"/>
        <v>190</v>
      </c>
      <c r="CD64" s="2">
        <f t="shared" si="132"/>
        <v>0</v>
      </c>
      <c r="CE64" s="2">
        <f t="shared" si="96"/>
        <v>0</v>
      </c>
      <c r="CF64" s="2">
        <f t="shared" si="97"/>
        <v>17.450000000016189</v>
      </c>
      <c r="CG64" s="1">
        <f t="shared" si="159"/>
        <v>0</v>
      </c>
      <c r="CH64" s="2">
        <f t="shared" si="133"/>
        <v>17.450000000016189</v>
      </c>
      <c r="CI64" s="1">
        <f t="shared" si="89"/>
        <v>0</v>
      </c>
      <c r="CJ64" s="2">
        <f t="shared" si="98"/>
        <v>17.450000000016189</v>
      </c>
      <c r="CK64" s="2">
        <f t="shared" si="99"/>
        <v>119016.82500000001</v>
      </c>
      <c r="CL64" s="2">
        <f t="shared" si="134"/>
        <v>0</v>
      </c>
      <c r="CM64" s="2">
        <f t="shared" si="47"/>
        <v>347.24337500000007</v>
      </c>
      <c r="CN64" s="2">
        <f t="shared" si="135"/>
        <v>118669.58162500001</v>
      </c>
      <c r="CO64" s="2">
        <f t="shared" si="48"/>
        <v>2292</v>
      </c>
      <c r="CP64" s="2">
        <f t="shared" si="136"/>
        <v>3177.7167500000023</v>
      </c>
      <c r="CQ64" s="2">
        <f t="shared" si="137"/>
        <v>113199.864875</v>
      </c>
      <c r="CS64" s="5">
        <f t="shared" si="151"/>
        <v>1000</v>
      </c>
      <c r="CT64" s="2">
        <f t="shared" si="152"/>
        <v>100000</v>
      </c>
      <c r="CU64" s="2">
        <f t="shared" si="153"/>
        <v>100000</v>
      </c>
      <c r="CV64" s="2">
        <f t="shared" si="154"/>
        <v>116369.71535</v>
      </c>
      <c r="CW64" s="8">
        <f t="shared" si="138"/>
        <v>5.1000000000000004E-2</v>
      </c>
      <c r="CX64" s="2">
        <f t="shared" si="139"/>
        <v>121315.428252375</v>
      </c>
      <c r="CY64" s="2" t="str">
        <f t="shared" si="140"/>
        <v>nie</v>
      </c>
      <c r="CZ64" s="2">
        <f t="shared" si="53"/>
        <v>0</v>
      </c>
      <c r="DA64" s="2">
        <f t="shared" si="54"/>
        <v>0</v>
      </c>
      <c r="DB64" s="2">
        <f t="shared" si="55"/>
        <v>121315.428252375</v>
      </c>
      <c r="DC64" s="2">
        <f t="shared" si="141"/>
        <v>0</v>
      </c>
      <c r="DD64" s="2">
        <f t="shared" si="56"/>
        <v>351.71113302499998</v>
      </c>
      <c r="DE64" s="2">
        <f t="shared" si="57"/>
        <v>120963.71711935</v>
      </c>
      <c r="DF64" s="2">
        <f t="shared" si="142"/>
        <v>3000</v>
      </c>
      <c r="DG64" s="2">
        <f t="shared" si="143"/>
        <v>3479.9313679512502</v>
      </c>
      <c r="DH64" s="2">
        <f t="shared" si="58"/>
        <v>114483.78575139874</v>
      </c>
    </row>
    <row r="65" spans="2:115">
      <c r="B65" s="232"/>
      <c r="C65" s="1">
        <f t="shared" si="102"/>
        <v>28</v>
      </c>
      <c r="D65" s="2">
        <f t="shared" si="105"/>
        <v>110417.78303999999</v>
      </c>
      <c r="E65" s="2">
        <f t="shared" si="106"/>
        <v>107595.270208</v>
      </c>
      <c r="F65" s="2">
        <f t="shared" si="107"/>
        <v>111079.33280000002</v>
      </c>
      <c r="G65" s="2">
        <f t="shared" si="108"/>
        <v>107183.24930000001</v>
      </c>
      <c r="H65" s="2">
        <f t="shared" si="109"/>
        <v>112427.98189</v>
      </c>
      <c r="I65" s="2">
        <f t="shared" si="110"/>
        <v>107603.0055845</v>
      </c>
      <c r="J65" s="2">
        <f t="shared" si="103"/>
        <v>107031.97815437523</v>
      </c>
      <c r="K65" s="2">
        <f t="shared" si="104"/>
        <v>107394.4930333333</v>
      </c>
      <c r="W65" s="1">
        <f t="shared" si="144"/>
        <v>47</v>
      </c>
      <c r="X65" s="2">
        <f t="shared" si="121"/>
        <v>112705.49794775831</v>
      </c>
      <c r="Y65" s="8">
        <f t="shared" si="157"/>
        <v>3.9100000000000003E-2</v>
      </c>
      <c r="Z65" s="5">
        <f t="shared" si="145"/>
        <v>1133</v>
      </c>
      <c r="AA65" s="2">
        <f t="shared" si="146"/>
        <v>113186.70000000001</v>
      </c>
      <c r="AB65" s="2">
        <f t="shared" si="37"/>
        <v>113300</v>
      </c>
      <c r="AC65" s="2">
        <f t="shared" si="147"/>
        <v>113300</v>
      </c>
      <c r="AD65" s="8">
        <f t="shared" si="122"/>
        <v>4.3999999999999997E-2</v>
      </c>
      <c r="AE65" s="2">
        <f t="shared" si="2"/>
        <v>117869.76666666666</v>
      </c>
      <c r="AF65" s="2" t="str">
        <f t="shared" si="123"/>
        <v>nie</v>
      </c>
      <c r="AG65" s="2">
        <f t="shared" si="124"/>
        <v>1133</v>
      </c>
      <c r="AH65" s="1">
        <f t="shared" si="79"/>
        <v>0</v>
      </c>
      <c r="AI65" s="1">
        <f t="shared" si="111"/>
        <v>0</v>
      </c>
      <c r="AJ65" s="1">
        <f t="shared" si="155"/>
        <v>0</v>
      </c>
      <c r="AK65" s="6"/>
      <c r="AL65" s="2">
        <f t="shared" si="90"/>
        <v>0</v>
      </c>
      <c r="AM65" s="8">
        <f t="shared" si="160"/>
        <v>4.3999999999999997E-2</v>
      </c>
      <c r="AN65" s="2">
        <f t="shared" si="91"/>
        <v>0</v>
      </c>
      <c r="AO65" s="2">
        <f t="shared" si="161"/>
        <v>0</v>
      </c>
      <c r="AP65" s="2">
        <f t="shared" si="119"/>
        <v>0</v>
      </c>
      <c r="AQ65" s="8">
        <f t="shared" si="112"/>
        <v>3.9100000000000003E-2</v>
      </c>
      <c r="AR65" s="2">
        <f t="shared" si="113"/>
        <v>0</v>
      </c>
      <c r="AS65" s="2">
        <f t="shared" si="114"/>
        <v>0</v>
      </c>
      <c r="AT65" s="2">
        <f t="shared" si="39"/>
        <v>0</v>
      </c>
      <c r="AU65" s="2">
        <f t="shared" si="92"/>
        <v>0</v>
      </c>
      <c r="AV65" s="2">
        <f t="shared" si="82"/>
        <v>68.549759999979869</v>
      </c>
      <c r="AW65" s="1">
        <f t="shared" si="158"/>
        <v>0</v>
      </c>
      <c r="AX65" s="2">
        <f t="shared" si="125"/>
        <v>68.549759999979869</v>
      </c>
      <c r="AY65" s="1">
        <f t="shared" si="83"/>
        <v>0</v>
      </c>
      <c r="AZ65" s="2">
        <f t="shared" si="40"/>
        <v>68.549759999979869</v>
      </c>
      <c r="BA65" s="2">
        <f t="shared" si="93"/>
        <v>117938.31642666664</v>
      </c>
      <c r="BB65" s="2">
        <f t="shared" si="126"/>
        <v>0</v>
      </c>
      <c r="BC65" s="2">
        <f t="shared" si="41"/>
        <v>344.27263463999998</v>
      </c>
      <c r="BD65" s="2">
        <f t="shared" si="10"/>
        <v>117594.04379202664</v>
      </c>
      <c r="BE65" s="2">
        <f t="shared" si="42"/>
        <v>1133</v>
      </c>
      <c r="BF65" s="2">
        <f t="shared" si="11"/>
        <v>3193.0101210666621</v>
      </c>
      <c r="BG65" s="2">
        <f t="shared" si="12"/>
        <v>113268.03367095998</v>
      </c>
      <c r="BI65" s="8">
        <f t="shared" si="162"/>
        <v>3.1E-2</v>
      </c>
      <c r="BJ65" s="5">
        <f t="shared" si="148"/>
        <v>1000</v>
      </c>
      <c r="BK65" s="2">
        <f t="shared" si="149"/>
        <v>100000</v>
      </c>
      <c r="BL65" s="2">
        <f t="shared" si="150"/>
        <v>100000</v>
      </c>
      <c r="BM65" s="2">
        <f t="shared" si="127"/>
        <v>100000</v>
      </c>
      <c r="BN65" s="8">
        <f t="shared" si="128"/>
        <v>4.5999999999999999E-2</v>
      </c>
      <c r="BO65" s="2">
        <f t="shared" si="129"/>
        <v>104216.66666666667</v>
      </c>
      <c r="BP65" s="2" t="str">
        <f t="shared" si="130"/>
        <v>nie</v>
      </c>
      <c r="BQ65" s="2">
        <f t="shared" si="131"/>
        <v>2000</v>
      </c>
      <c r="BR65" s="1">
        <f t="shared" si="163"/>
        <v>51</v>
      </c>
      <c r="BS65" s="1">
        <f t="shared" si="115"/>
        <v>48</v>
      </c>
      <c r="BT65" s="1">
        <f t="shared" si="156"/>
        <v>47</v>
      </c>
      <c r="BU65" s="6"/>
      <c r="BV65" s="2">
        <f t="shared" si="94"/>
        <v>5100</v>
      </c>
      <c r="BW65" s="8">
        <f t="shared" si="164"/>
        <v>4.7500000000000001E-2</v>
      </c>
      <c r="BX65" s="2">
        <f t="shared" si="95"/>
        <v>5322.0625</v>
      </c>
      <c r="BY65" s="2">
        <f t="shared" si="165"/>
        <v>102</v>
      </c>
      <c r="BZ65" s="2">
        <f t="shared" si="120"/>
        <v>9500</v>
      </c>
      <c r="CA65" s="8">
        <f t="shared" si="116"/>
        <v>4.5999999999999999E-2</v>
      </c>
      <c r="CB65" s="2">
        <f t="shared" si="117"/>
        <v>9900.5833333333339</v>
      </c>
      <c r="CC65" s="2">
        <f t="shared" si="118"/>
        <v>190</v>
      </c>
      <c r="CD65" s="2">
        <f t="shared" si="132"/>
        <v>0</v>
      </c>
      <c r="CE65" s="2">
        <f t="shared" si="96"/>
        <v>0</v>
      </c>
      <c r="CF65" s="2">
        <f t="shared" si="97"/>
        <v>17.450000000016189</v>
      </c>
      <c r="CG65" s="1">
        <f t="shared" si="159"/>
        <v>0</v>
      </c>
      <c r="CH65" s="2">
        <f t="shared" si="133"/>
        <v>17.450000000016189</v>
      </c>
      <c r="CI65" s="1">
        <f t="shared" si="89"/>
        <v>0</v>
      </c>
      <c r="CJ65" s="2">
        <f t="shared" si="98"/>
        <v>17.450000000016189</v>
      </c>
      <c r="CK65" s="2">
        <f t="shared" si="99"/>
        <v>119456.76250000001</v>
      </c>
      <c r="CL65" s="2">
        <f t="shared" si="134"/>
        <v>0</v>
      </c>
      <c r="CM65" s="2">
        <f t="shared" si="47"/>
        <v>347.24337500000007</v>
      </c>
      <c r="CN65" s="2">
        <f t="shared" si="135"/>
        <v>119109.51912500001</v>
      </c>
      <c r="CO65" s="2">
        <f t="shared" si="48"/>
        <v>2292</v>
      </c>
      <c r="CP65" s="2">
        <f t="shared" si="136"/>
        <v>3261.3048750000021</v>
      </c>
      <c r="CQ65" s="2">
        <f t="shared" si="137"/>
        <v>113556.21425</v>
      </c>
      <c r="CS65" s="5">
        <f t="shared" si="151"/>
        <v>1000</v>
      </c>
      <c r="CT65" s="2">
        <f t="shared" si="152"/>
        <v>100000</v>
      </c>
      <c r="CU65" s="2">
        <f t="shared" si="153"/>
        <v>100000</v>
      </c>
      <c r="CV65" s="2">
        <f t="shared" si="154"/>
        <v>116369.71535</v>
      </c>
      <c r="CW65" s="8">
        <f t="shared" si="138"/>
        <v>5.1000000000000004E-2</v>
      </c>
      <c r="CX65" s="2">
        <f t="shared" si="139"/>
        <v>121809.99954261251</v>
      </c>
      <c r="CY65" s="2" t="str">
        <f t="shared" si="140"/>
        <v>nie</v>
      </c>
      <c r="CZ65" s="2">
        <f t="shared" si="53"/>
        <v>0</v>
      </c>
      <c r="DA65" s="2">
        <f t="shared" si="54"/>
        <v>0</v>
      </c>
      <c r="DB65" s="2">
        <f t="shared" si="55"/>
        <v>121809.99954261251</v>
      </c>
      <c r="DC65" s="2">
        <f t="shared" si="141"/>
        <v>0</v>
      </c>
      <c r="DD65" s="2">
        <f t="shared" si="56"/>
        <v>351.71113302499998</v>
      </c>
      <c r="DE65" s="2">
        <f t="shared" si="57"/>
        <v>121458.28840958751</v>
      </c>
      <c r="DF65" s="2">
        <f t="shared" si="142"/>
        <v>3000</v>
      </c>
      <c r="DG65" s="2">
        <f t="shared" si="143"/>
        <v>3573.8999130963771</v>
      </c>
      <c r="DH65" s="2">
        <f t="shared" si="58"/>
        <v>114884.38849649113</v>
      </c>
    </row>
    <row r="66" spans="2:115">
      <c r="B66" s="232"/>
      <c r="C66" s="1">
        <f t="shared" si="102"/>
        <v>29</v>
      </c>
      <c r="D66" s="2">
        <f t="shared" si="105"/>
        <v>110817.42624</v>
      </c>
      <c r="E66" s="2">
        <f t="shared" si="106"/>
        <v>107918.98119999999</v>
      </c>
      <c r="F66" s="2">
        <f t="shared" si="107"/>
        <v>111499.6828</v>
      </c>
      <c r="G66" s="2">
        <f t="shared" si="108"/>
        <v>107508.3428</v>
      </c>
      <c r="H66" s="2">
        <f t="shared" si="109"/>
        <v>112898.55400250001</v>
      </c>
      <c r="I66" s="2">
        <f t="shared" si="110"/>
        <v>107984.168995625</v>
      </c>
      <c r="J66" s="2">
        <f t="shared" si="103"/>
        <v>107292.06586129035</v>
      </c>
      <c r="K66" s="2">
        <f t="shared" si="104"/>
        <v>107669.09129166664</v>
      </c>
      <c r="W66" s="1">
        <f t="shared" si="144"/>
        <v>48</v>
      </c>
      <c r="X66" s="2">
        <f t="shared" si="121"/>
        <v>112988.60875209997</v>
      </c>
      <c r="Y66" s="8">
        <f t="shared" si="157"/>
        <v>3.9100000000000003E-2</v>
      </c>
      <c r="Z66" s="5">
        <f t="shared" si="145"/>
        <v>1133</v>
      </c>
      <c r="AA66" s="2">
        <f t="shared" si="146"/>
        <v>113186.70000000001</v>
      </c>
      <c r="AB66" s="2">
        <f t="shared" si="37"/>
        <v>113300</v>
      </c>
      <c r="AC66" s="2">
        <f t="shared" si="147"/>
        <v>113300</v>
      </c>
      <c r="AD66" s="8">
        <f t="shared" si="122"/>
        <v>4.3999999999999997E-2</v>
      </c>
      <c r="AE66" s="2">
        <f t="shared" si="2"/>
        <v>118285.20000000001</v>
      </c>
      <c r="AF66" s="2" t="str">
        <f t="shared" si="123"/>
        <v>nie</v>
      </c>
      <c r="AG66" s="2">
        <f t="shared" si="124"/>
        <v>1133</v>
      </c>
      <c r="AH66" s="1">
        <f t="shared" si="79"/>
        <v>0</v>
      </c>
      <c r="AI66" s="1">
        <f t="shared" si="111"/>
        <v>0</v>
      </c>
      <c r="AJ66" s="1">
        <f t="shared" si="155"/>
        <v>0</v>
      </c>
      <c r="AK66" s="6"/>
      <c r="AL66" s="2">
        <f t="shared" si="90"/>
        <v>0</v>
      </c>
      <c r="AM66" s="8">
        <f t="shared" si="160"/>
        <v>4.3999999999999997E-2</v>
      </c>
      <c r="AN66" s="2">
        <f t="shared" si="91"/>
        <v>0</v>
      </c>
      <c r="AO66" s="2">
        <f t="shared" si="161"/>
        <v>0</v>
      </c>
      <c r="AP66" s="2">
        <f t="shared" si="119"/>
        <v>0</v>
      </c>
      <c r="AQ66" s="8">
        <f t="shared" si="112"/>
        <v>3.9100000000000003E-2</v>
      </c>
      <c r="AR66" s="2">
        <f t="shared" si="113"/>
        <v>0</v>
      </c>
      <c r="AS66" s="2">
        <f t="shared" si="114"/>
        <v>0</v>
      </c>
      <c r="AT66" s="2">
        <f t="shared" si="39"/>
        <v>0</v>
      </c>
      <c r="AU66" s="2">
        <f t="shared" si="92"/>
        <v>0</v>
      </c>
      <c r="AV66" s="2">
        <f t="shared" si="82"/>
        <v>68.549759999979869</v>
      </c>
      <c r="AW66" s="1">
        <f t="shared" si="158"/>
        <v>0</v>
      </c>
      <c r="AX66" s="2">
        <f t="shared" si="125"/>
        <v>68.549759999979869</v>
      </c>
      <c r="AY66" s="1">
        <f t="shared" si="83"/>
        <v>0</v>
      </c>
      <c r="AZ66" s="2">
        <f t="shared" si="40"/>
        <v>68.549759999979869</v>
      </c>
      <c r="BA66" s="2">
        <f t="shared" si="93"/>
        <v>118353.74975999999</v>
      </c>
      <c r="BB66" s="2">
        <f t="shared" si="126"/>
        <v>165.69524966399999</v>
      </c>
      <c r="BC66" s="2">
        <f t="shared" si="41"/>
        <v>509.96788430399999</v>
      </c>
      <c r="BD66" s="2">
        <f t="shared" si="10"/>
        <v>117843.78187569599</v>
      </c>
      <c r="BE66" s="2">
        <f t="shared" si="42"/>
        <v>1133</v>
      </c>
      <c r="BF66" s="2">
        <f t="shared" si="11"/>
        <v>3271.9424543999985</v>
      </c>
      <c r="BG66" s="2">
        <f t="shared" si="12"/>
        <v>113438.839421296</v>
      </c>
      <c r="BI66" s="8">
        <f t="shared" si="162"/>
        <v>3.1E-2</v>
      </c>
      <c r="BJ66" s="5">
        <f t="shared" si="148"/>
        <v>1000</v>
      </c>
      <c r="BK66" s="2">
        <f t="shared" si="149"/>
        <v>100000</v>
      </c>
      <c r="BL66" s="2">
        <f t="shared" si="150"/>
        <v>100000</v>
      </c>
      <c r="BM66" s="2">
        <f t="shared" si="127"/>
        <v>100000</v>
      </c>
      <c r="BN66" s="8">
        <f t="shared" si="128"/>
        <v>4.5999999999999999E-2</v>
      </c>
      <c r="BO66" s="2">
        <f t="shared" si="129"/>
        <v>104600</v>
      </c>
      <c r="BP66" s="2" t="str">
        <f t="shared" si="130"/>
        <v>tak</v>
      </c>
      <c r="BQ66" s="2">
        <f t="shared" si="131"/>
        <v>0</v>
      </c>
      <c r="BR66" s="1">
        <f t="shared" si="163"/>
        <v>51</v>
      </c>
      <c r="BS66" s="1">
        <f t="shared" si="115"/>
        <v>48</v>
      </c>
      <c r="BT66" s="1">
        <f t="shared" si="156"/>
        <v>47</v>
      </c>
      <c r="BU66" s="6"/>
      <c r="BV66" s="2">
        <f t="shared" si="94"/>
        <v>5100</v>
      </c>
      <c r="BW66" s="8">
        <f t="shared" si="164"/>
        <v>4.7500000000000001E-2</v>
      </c>
      <c r="BX66" s="2">
        <f t="shared" si="95"/>
        <v>5342.2500000000009</v>
      </c>
      <c r="BY66" s="2">
        <f t="shared" si="165"/>
        <v>102</v>
      </c>
      <c r="BZ66" s="2">
        <f t="shared" si="120"/>
        <v>9500</v>
      </c>
      <c r="CA66" s="8">
        <f t="shared" si="116"/>
        <v>4.5999999999999999E-2</v>
      </c>
      <c r="CB66" s="2">
        <f t="shared" si="117"/>
        <v>9937</v>
      </c>
      <c r="CC66" s="2">
        <f t="shared" si="118"/>
        <v>190</v>
      </c>
      <c r="CD66" s="2">
        <f t="shared" si="132"/>
        <v>4.6999999999970896</v>
      </c>
      <c r="CE66" s="2">
        <f t="shared" si="96"/>
        <v>679.25</v>
      </c>
      <c r="CF66" s="2">
        <f t="shared" si="97"/>
        <v>701.40000000001328</v>
      </c>
      <c r="CG66" s="1">
        <f t="shared" si="159"/>
        <v>0</v>
      </c>
      <c r="CH66" s="2">
        <f t="shared" si="133"/>
        <v>701.40000000001328</v>
      </c>
      <c r="CI66" s="1">
        <f t="shared" si="89"/>
        <v>7</v>
      </c>
      <c r="CJ66" s="2">
        <f t="shared" si="98"/>
        <v>1.4000000000132786</v>
      </c>
      <c r="CK66" s="2">
        <f t="shared" si="99"/>
        <v>119896.70000000001</v>
      </c>
      <c r="CL66" s="2">
        <f t="shared" si="134"/>
        <v>167.85538000000003</v>
      </c>
      <c r="CM66" s="2">
        <f t="shared" si="47"/>
        <v>515.0987550000001</v>
      </c>
      <c r="CN66" s="2">
        <f t="shared" si="135"/>
        <v>119381.60124500001</v>
      </c>
      <c r="CO66" s="2">
        <f t="shared" si="48"/>
        <v>292</v>
      </c>
      <c r="CP66" s="2">
        <f t="shared" si="136"/>
        <v>3724.8930000000023</v>
      </c>
      <c r="CQ66" s="2">
        <f t="shared" si="137"/>
        <v>115364.70824500002</v>
      </c>
      <c r="CS66" s="5">
        <f t="shared" si="151"/>
        <v>1000</v>
      </c>
      <c r="CT66" s="2">
        <f t="shared" si="152"/>
        <v>100000</v>
      </c>
      <c r="CU66" s="2">
        <f t="shared" si="153"/>
        <v>100000</v>
      </c>
      <c r="CV66" s="2">
        <f t="shared" si="154"/>
        <v>116369.71535</v>
      </c>
      <c r="CW66" s="8">
        <f t="shared" si="138"/>
        <v>5.1000000000000004E-2</v>
      </c>
      <c r="CX66" s="2">
        <f t="shared" si="139"/>
        <v>122304.57083284999</v>
      </c>
      <c r="CY66" s="2" t="str">
        <f t="shared" si="140"/>
        <v>nie</v>
      </c>
      <c r="CZ66" s="2">
        <f t="shared" si="53"/>
        <v>0</v>
      </c>
      <c r="DA66" s="2">
        <f t="shared" si="54"/>
        <v>0</v>
      </c>
      <c r="DB66" s="2">
        <f t="shared" si="55"/>
        <v>122304.57083284999</v>
      </c>
      <c r="DC66" s="2">
        <f t="shared" si="141"/>
        <v>171.22639916598999</v>
      </c>
      <c r="DD66" s="2">
        <f t="shared" si="56"/>
        <v>522.93753219098994</v>
      </c>
      <c r="DE66" s="2">
        <f t="shared" si="57"/>
        <v>121781.633300659</v>
      </c>
      <c r="DF66" s="2">
        <f t="shared" si="142"/>
        <v>3000</v>
      </c>
      <c r="DG66" s="2">
        <f t="shared" si="143"/>
        <v>3667.868458241498</v>
      </c>
      <c r="DH66" s="2">
        <f t="shared" si="58"/>
        <v>115113.7648424175</v>
      </c>
      <c r="DJ66" s="14"/>
      <c r="DK66" s="14"/>
    </row>
    <row r="67" spans="2:115">
      <c r="B67" s="232"/>
      <c r="C67" s="1">
        <f t="shared" si="102"/>
        <v>30</v>
      </c>
      <c r="D67" s="2">
        <f t="shared" si="105"/>
        <v>111217.06944000001</v>
      </c>
      <c r="E67" s="2">
        <f t="shared" si="106"/>
        <v>108242.692192</v>
      </c>
      <c r="F67" s="2">
        <f t="shared" si="107"/>
        <v>111920.0328</v>
      </c>
      <c r="G67" s="2">
        <f t="shared" si="108"/>
        <v>107848.0163</v>
      </c>
      <c r="H67" s="2">
        <f t="shared" si="109"/>
        <v>113369.12611500001</v>
      </c>
      <c r="I67" s="2">
        <f t="shared" si="110"/>
        <v>108365.33240675001</v>
      </c>
      <c r="J67" s="2">
        <f t="shared" si="103"/>
        <v>107552.78558133327</v>
      </c>
      <c r="K67" s="2">
        <f t="shared" si="104"/>
        <v>107943.68954999998</v>
      </c>
      <c r="W67" s="1">
        <f t="shared" si="144"/>
        <v>49</v>
      </c>
      <c r="X67" s="2">
        <f t="shared" si="121"/>
        <v>113280.49599137623</v>
      </c>
      <c r="Y67" s="8">
        <f t="shared" si="157"/>
        <v>3.9100000000000003E-2</v>
      </c>
      <c r="Z67" s="5">
        <f t="shared" si="145"/>
        <v>1133</v>
      </c>
      <c r="AA67" s="2">
        <f t="shared" si="146"/>
        <v>113186.70000000001</v>
      </c>
      <c r="AB67" s="2">
        <f t="shared" si="37"/>
        <v>113300</v>
      </c>
      <c r="AC67" s="2">
        <f t="shared" si="147"/>
        <v>118285.20000000001</v>
      </c>
      <c r="AD67" s="8">
        <f t="shared" si="122"/>
        <v>4.3999999999999997E-2</v>
      </c>
      <c r="AE67" s="2">
        <f t="shared" si="2"/>
        <v>118718.91240000002</v>
      </c>
      <c r="AF67" s="2" t="str">
        <f t="shared" si="123"/>
        <v>nie</v>
      </c>
      <c r="AG67" s="2">
        <f t="shared" si="124"/>
        <v>1133</v>
      </c>
      <c r="AH67" s="1">
        <f t="shared" si="79"/>
        <v>0</v>
      </c>
      <c r="AI67" s="1">
        <f t="shared" si="111"/>
        <v>0</v>
      </c>
      <c r="AJ67" s="1">
        <f t="shared" si="155"/>
        <v>0</v>
      </c>
      <c r="AK67" s="1">
        <f t="shared" ref="AK67:AK98" si="166">IF(zapadalnosc_TOS/12&gt;=AK$18,AJ55,0)</f>
        <v>0</v>
      </c>
      <c r="AL67" s="2">
        <f t="shared" si="90"/>
        <v>0</v>
      </c>
      <c r="AM67" s="8">
        <f t="shared" si="160"/>
        <v>4.3999999999999997E-2</v>
      </c>
      <c r="AN67" s="2">
        <f t="shared" si="91"/>
        <v>0</v>
      </c>
      <c r="AO67" s="2">
        <f t="shared" si="161"/>
        <v>0</v>
      </c>
      <c r="AP67" s="2">
        <f t="shared" si="119"/>
        <v>0</v>
      </c>
      <c r="AQ67" s="8">
        <f t="shared" si="112"/>
        <v>3.9100000000000003E-2</v>
      </c>
      <c r="AR67" s="2">
        <f t="shared" si="113"/>
        <v>0</v>
      </c>
      <c r="AS67" s="2">
        <f t="shared" si="114"/>
        <v>0</v>
      </c>
      <c r="AT67" s="2">
        <f t="shared" si="39"/>
        <v>0</v>
      </c>
      <c r="AU67" s="2">
        <f t="shared" si="92"/>
        <v>0</v>
      </c>
      <c r="AV67" s="2">
        <f t="shared" si="82"/>
        <v>68.549759999979869</v>
      </c>
      <c r="AW67" s="1">
        <f t="shared" si="158"/>
        <v>0</v>
      </c>
      <c r="AX67" s="2">
        <f t="shared" si="125"/>
        <v>68.549759999979869</v>
      </c>
      <c r="AY67" s="1">
        <f t="shared" si="83"/>
        <v>0</v>
      </c>
      <c r="AZ67" s="2">
        <f t="shared" si="40"/>
        <v>68.549759999979869</v>
      </c>
      <c r="BA67" s="2">
        <f t="shared" si="93"/>
        <v>118787.46216</v>
      </c>
      <c r="BB67" s="2">
        <f t="shared" si="126"/>
        <v>0</v>
      </c>
      <c r="BC67" s="2">
        <f t="shared" si="41"/>
        <v>509.96788430399999</v>
      </c>
      <c r="BD67" s="2">
        <f t="shared" si="10"/>
        <v>118277.49427569599</v>
      </c>
      <c r="BE67" s="2">
        <f t="shared" si="42"/>
        <v>1133</v>
      </c>
      <c r="BF67" s="2">
        <f t="shared" si="11"/>
        <v>3354.3478103999992</v>
      </c>
      <c r="BG67" s="2">
        <f t="shared" si="12"/>
        <v>113790.146465296</v>
      </c>
      <c r="BI67" s="8">
        <f t="shared" si="162"/>
        <v>3.1E-2</v>
      </c>
      <c r="BJ67" s="5">
        <f t="shared" si="148"/>
        <v>1047</v>
      </c>
      <c r="BK67" s="2">
        <f t="shared" si="149"/>
        <v>104595.3</v>
      </c>
      <c r="BL67" s="2">
        <f t="shared" si="150"/>
        <v>104700</v>
      </c>
      <c r="BM67" s="2">
        <f t="shared" si="127"/>
        <v>104700</v>
      </c>
      <c r="BN67" s="8">
        <f t="shared" si="128"/>
        <v>4.7500000000000001E-2</v>
      </c>
      <c r="BO67" s="2">
        <f t="shared" si="129"/>
        <v>105114.4375</v>
      </c>
      <c r="BP67" s="2" t="str">
        <f t="shared" si="130"/>
        <v>nie</v>
      </c>
      <c r="BQ67" s="2">
        <f t="shared" si="131"/>
        <v>414.4375</v>
      </c>
      <c r="BR67" s="1">
        <f t="shared" si="163"/>
        <v>7</v>
      </c>
      <c r="BS67" s="1">
        <f t="shared" si="115"/>
        <v>51</v>
      </c>
      <c r="BT67" s="1">
        <f t="shared" si="156"/>
        <v>48</v>
      </c>
      <c r="BU67" s="1">
        <f t="shared" ref="BU67:BU98" si="167">IF(zapadalnosc_COI/12&gt;=BU$18,BT55,0)</f>
        <v>47</v>
      </c>
      <c r="BV67" s="2">
        <f t="shared" si="94"/>
        <v>700</v>
      </c>
      <c r="BW67" s="8">
        <f t="shared" si="164"/>
        <v>4.7500000000000001E-2</v>
      </c>
      <c r="BX67" s="2">
        <f t="shared" si="95"/>
        <v>702.77083333333326</v>
      </c>
      <c r="BY67" s="2">
        <f t="shared" si="165"/>
        <v>2.7708333333332575</v>
      </c>
      <c r="BZ67" s="2">
        <f t="shared" si="120"/>
        <v>14600</v>
      </c>
      <c r="CA67" s="8">
        <f t="shared" si="116"/>
        <v>4.5999999999999999E-2</v>
      </c>
      <c r="CB67" s="2">
        <f t="shared" si="117"/>
        <v>14655.966666666667</v>
      </c>
      <c r="CC67" s="2">
        <f t="shared" si="118"/>
        <v>292</v>
      </c>
      <c r="CD67" s="2">
        <f t="shared" si="132"/>
        <v>0</v>
      </c>
      <c r="CE67" s="2">
        <f t="shared" si="96"/>
        <v>0</v>
      </c>
      <c r="CF67" s="2">
        <f t="shared" si="97"/>
        <v>1.4000000000132786</v>
      </c>
      <c r="CG67" s="1">
        <f t="shared" si="159"/>
        <v>0</v>
      </c>
      <c r="CH67" s="2">
        <f t="shared" si="133"/>
        <v>1.4000000000132786</v>
      </c>
      <c r="CI67" s="1">
        <f t="shared" si="89"/>
        <v>0</v>
      </c>
      <c r="CJ67" s="2">
        <f t="shared" si="98"/>
        <v>1.4000000000132786</v>
      </c>
      <c r="CK67" s="2">
        <f t="shared" si="99"/>
        <v>120474.575</v>
      </c>
      <c r="CL67" s="2">
        <f t="shared" si="134"/>
        <v>0</v>
      </c>
      <c r="CM67" s="2">
        <f t="shared" si="47"/>
        <v>515.0987550000001</v>
      </c>
      <c r="CN67" s="2">
        <f t="shared" si="135"/>
        <v>119959.476245</v>
      </c>
      <c r="CO67" s="2">
        <f t="shared" si="48"/>
        <v>709.20833333333326</v>
      </c>
      <c r="CP67" s="2">
        <f t="shared" si="136"/>
        <v>3755.4196666666671</v>
      </c>
      <c r="CQ67" s="2">
        <f t="shared" si="137"/>
        <v>115494.848245</v>
      </c>
      <c r="CS67" s="5">
        <f t="shared" si="151"/>
        <v>1000</v>
      </c>
      <c r="CT67" s="2">
        <f t="shared" si="152"/>
        <v>100000</v>
      </c>
      <c r="CU67" s="2">
        <f t="shared" si="153"/>
        <v>100000</v>
      </c>
      <c r="CV67" s="2">
        <f t="shared" si="154"/>
        <v>122304.57083284999</v>
      </c>
      <c r="CW67" s="8">
        <f t="shared" si="138"/>
        <v>5.1000000000000004E-2</v>
      </c>
      <c r="CX67" s="2">
        <f t="shared" si="139"/>
        <v>122824.36525888961</v>
      </c>
      <c r="CY67" s="2" t="str">
        <f t="shared" si="140"/>
        <v>nie</v>
      </c>
      <c r="CZ67" s="2">
        <f t="shared" si="53"/>
        <v>0</v>
      </c>
      <c r="DA67" s="2">
        <f t="shared" si="54"/>
        <v>0</v>
      </c>
      <c r="DB67" s="2">
        <f t="shared" si="55"/>
        <v>122824.36525888961</v>
      </c>
      <c r="DC67" s="2">
        <f t="shared" si="141"/>
        <v>0</v>
      </c>
      <c r="DD67" s="2">
        <f t="shared" si="56"/>
        <v>522.93753219098994</v>
      </c>
      <c r="DE67" s="2">
        <f t="shared" si="57"/>
        <v>122301.42772669862</v>
      </c>
      <c r="DF67" s="2">
        <f t="shared" si="142"/>
        <v>3000</v>
      </c>
      <c r="DG67" s="2">
        <f t="shared" si="143"/>
        <v>3766.6293991890257</v>
      </c>
      <c r="DH67" s="2">
        <f t="shared" si="58"/>
        <v>115534.79832750959</v>
      </c>
    </row>
    <row r="68" spans="2:115">
      <c r="B68" s="232"/>
      <c r="C68" s="1">
        <f t="shared" si="102"/>
        <v>31</v>
      </c>
      <c r="D68" s="2">
        <f t="shared" si="105"/>
        <v>111616.71264000001</v>
      </c>
      <c r="E68" s="2">
        <f t="shared" si="106"/>
        <v>108566.40318400001</v>
      </c>
      <c r="F68" s="2">
        <f t="shared" si="107"/>
        <v>112340.38280000001</v>
      </c>
      <c r="G68" s="2">
        <f t="shared" si="108"/>
        <v>108188.49980000001</v>
      </c>
      <c r="H68" s="2">
        <f t="shared" si="109"/>
        <v>113839.69822749999</v>
      </c>
      <c r="I68" s="2">
        <f t="shared" si="110"/>
        <v>108746.49581787499</v>
      </c>
      <c r="J68" s="2">
        <f t="shared" si="103"/>
        <v>107814.1388502959</v>
      </c>
      <c r="K68" s="2">
        <f t="shared" si="104"/>
        <v>108218.28780833331</v>
      </c>
      <c r="W68" s="1">
        <f t="shared" si="144"/>
        <v>50</v>
      </c>
      <c r="X68" s="2">
        <f t="shared" si="121"/>
        <v>113572.3832306525</v>
      </c>
      <c r="Y68" s="8">
        <f t="shared" si="157"/>
        <v>3.9100000000000003E-2</v>
      </c>
      <c r="Z68" s="5">
        <f t="shared" si="145"/>
        <v>1133</v>
      </c>
      <c r="AA68" s="2">
        <f t="shared" si="146"/>
        <v>113186.70000000001</v>
      </c>
      <c r="AB68" s="2">
        <f t="shared" si="37"/>
        <v>113300</v>
      </c>
      <c r="AC68" s="2">
        <f t="shared" si="147"/>
        <v>118285.20000000001</v>
      </c>
      <c r="AD68" s="8">
        <f t="shared" si="122"/>
        <v>4.3999999999999997E-2</v>
      </c>
      <c r="AE68" s="2">
        <f t="shared" si="2"/>
        <v>119152.62480000002</v>
      </c>
      <c r="AF68" s="2" t="str">
        <f t="shared" si="123"/>
        <v>nie</v>
      </c>
      <c r="AG68" s="2">
        <f t="shared" si="124"/>
        <v>1133</v>
      </c>
      <c r="AH68" s="1">
        <f t="shared" si="79"/>
        <v>0</v>
      </c>
      <c r="AI68" s="1">
        <f t="shared" si="111"/>
        <v>0</v>
      </c>
      <c r="AJ68" s="1">
        <f t="shared" si="155"/>
        <v>0</v>
      </c>
      <c r="AK68" s="1">
        <f t="shared" si="166"/>
        <v>0</v>
      </c>
      <c r="AL68" s="2">
        <f t="shared" si="90"/>
        <v>0</v>
      </c>
      <c r="AM68" s="8">
        <f t="shared" si="160"/>
        <v>4.3999999999999997E-2</v>
      </c>
      <c r="AN68" s="2">
        <f t="shared" si="91"/>
        <v>0</v>
      </c>
      <c r="AO68" s="2">
        <f t="shared" si="161"/>
        <v>0</v>
      </c>
      <c r="AP68" s="2">
        <f t="shared" si="119"/>
        <v>0</v>
      </c>
      <c r="AQ68" s="8">
        <f t="shared" si="112"/>
        <v>3.9100000000000003E-2</v>
      </c>
      <c r="AR68" s="2">
        <f t="shared" si="113"/>
        <v>0</v>
      </c>
      <c r="AS68" s="2">
        <f t="shared" si="114"/>
        <v>0</v>
      </c>
      <c r="AT68" s="2">
        <f t="shared" si="39"/>
        <v>0</v>
      </c>
      <c r="AU68" s="2">
        <f t="shared" si="92"/>
        <v>0</v>
      </c>
      <c r="AV68" s="2">
        <f t="shared" si="82"/>
        <v>68.549759999979869</v>
      </c>
      <c r="AW68" s="1">
        <f t="shared" si="158"/>
        <v>0</v>
      </c>
      <c r="AX68" s="2">
        <f t="shared" si="125"/>
        <v>68.549759999979869</v>
      </c>
      <c r="AY68" s="1">
        <f t="shared" si="83"/>
        <v>0</v>
      </c>
      <c r="AZ68" s="2">
        <f t="shared" si="40"/>
        <v>68.549759999979869</v>
      </c>
      <c r="BA68" s="2">
        <f t="shared" si="93"/>
        <v>119221.17456</v>
      </c>
      <c r="BB68" s="2">
        <f t="shared" si="126"/>
        <v>0</v>
      </c>
      <c r="BC68" s="2">
        <f t="shared" si="41"/>
        <v>509.96788430399999</v>
      </c>
      <c r="BD68" s="2">
        <f t="shared" si="10"/>
        <v>118711.206675696</v>
      </c>
      <c r="BE68" s="2">
        <f t="shared" si="42"/>
        <v>1133</v>
      </c>
      <c r="BF68" s="2">
        <f t="shared" si="11"/>
        <v>3436.7531663999998</v>
      </c>
      <c r="BG68" s="2">
        <f t="shared" si="12"/>
        <v>114141.453509296</v>
      </c>
      <c r="BI68" s="8">
        <f t="shared" si="162"/>
        <v>3.1E-2</v>
      </c>
      <c r="BJ68" s="5">
        <f t="shared" si="148"/>
        <v>1047</v>
      </c>
      <c r="BK68" s="2">
        <f t="shared" si="149"/>
        <v>104595.3</v>
      </c>
      <c r="BL68" s="2">
        <f t="shared" si="150"/>
        <v>104700</v>
      </c>
      <c r="BM68" s="2">
        <f t="shared" si="127"/>
        <v>104700</v>
      </c>
      <c r="BN68" s="8">
        <f t="shared" si="128"/>
        <v>4.7500000000000001E-2</v>
      </c>
      <c r="BO68" s="2">
        <f t="shared" si="129"/>
        <v>105528.87499999999</v>
      </c>
      <c r="BP68" s="2" t="str">
        <f t="shared" si="130"/>
        <v>nie</v>
      </c>
      <c r="BQ68" s="2">
        <f t="shared" si="131"/>
        <v>828.87499999998545</v>
      </c>
      <c r="BR68" s="1">
        <f t="shared" si="163"/>
        <v>7</v>
      </c>
      <c r="BS68" s="1">
        <f t="shared" si="115"/>
        <v>51</v>
      </c>
      <c r="BT68" s="1">
        <f t="shared" si="156"/>
        <v>48</v>
      </c>
      <c r="BU68" s="1">
        <f t="shared" si="167"/>
        <v>47</v>
      </c>
      <c r="BV68" s="2">
        <f t="shared" si="94"/>
        <v>700</v>
      </c>
      <c r="BW68" s="8">
        <f t="shared" si="164"/>
        <v>4.7500000000000001E-2</v>
      </c>
      <c r="BX68" s="2">
        <f t="shared" si="95"/>
        <v>705.54166666666663</v>
      </c>
      <c r="BY68" s="2">
        <f t="shared" si="165"/>
        <v>5.5416666666666288</v>
      </c>
      <c r="BZ68" s="2">
        <f t="shared" si="120"/>
        <v>14600</v>
      </c>
      <c r="CA68" s="8">
        <f t="shared" si="116"/>
        <v>4.5999999999999999E-2</v>
      </c>
      <c r="CB68" s="2">
        <f t="shared" si="117"/>
        <v>14711.933333333334</v>
      </c>
      <c r="CC68" s="2">
        <f t="shared" si="118"/>
        <v>292</v>
      </c>
      <c r="CD68" s="2">
        <f t="shared" si="132"/>
        <v>0</v>
      </c>
      <c r="CE68" s="2">
        <f t="shared" si="96"/>
        <v>0</v>
      </c>
      <c r="CF68" s="2">
        <f t="shared" si="97"/>
        <v>1.4000000000132786</v>
      </c>
      <c r="CG68" s="1">
        <f t="shared" si="159"/>
        <v>0</v>
      </c>
      <c r="CH68" s="2">
        <f t="shared" si="133"/>
        <v>1.4000000000132786</v>
      </c>
      <c r="CI68" s="1">
        <f t="shared" si="89"/>
        <v>0</v>
      </c>
      <c r="CJ68" s="2">
        <f t="shared" si="98"/>
        <v>1.4000000000132786</v>
      </c>
      <c r="CK68" s="2">
        <f t="shared" si="99"/>
        <v>120947.75</v>
      </c>
      <c r="CL68" s="2">
        <f t="shared" si="134"/>
        <v>0</v>
      </c>
      <c r="CM68" s="2">
        <f t="shared" si="47"/>
        <v>515.0987550000001</v>
      </c>
      <c r="CN68" s="2">
        <f t="shared" si="135"/>
        <v>120432.651245</v>
      </c>
      <c r="CO68" s="2">
        <f t="shared" si="48"/>
        <v>1126.416666666652</v>
      </c>
      <c r="CP68" s="2">
        <f t="shared" si="136"/>
        <v>3766.0533333333351</v>
      </c>
      <c r="CQ68" s="2">
        <f t="shared" si="137"/>
        <v>115540.18124500001</v>
      </c>
      <c r="CS68" s="5">
        <f t="shared" si="151"/>
        <v>1000</v>
      </c>
      <c r="CT68" s="2">
        <f t="shared" si="152"/>
        <v>100000</v>
      </c>
      <c r="CU68" s="2">
        <f t="shared" si="153"/>
        <v>100000</v>
      </c>
      <c r="CV68" s="2">
        <f t="shared" si="154"/>
        <v>122304.57083284999</v>
      </c>
      <c r="CW68" s="8">
        <f t="shared" si="138"/>
        <v>5.1000000000000004E-2</v>
      </c>
      <c r="CX68" s="2">
        <f t="shared" si="139"/>
        <v>123344.15968492921</v>
      </c>
      <c r="CY68" s="2" t="str">
        <f t="shared" si="140"/>
        <v>nie</v>
      </c>
      <c r="CZ68" s="2">
        <f t="shared" si="53"/>
        <v>0</v>
      </c>
      <c r="DA68" s="2">
        <f t="shared" si="54"/>
        <v>0</v>
      </c>
      <c r="DB68" s="2">
        <f t="shared" si="55"/>
        <v>123344.15968492921</v>
      </c>
      <c r="DC68" s="2">
        <f t="shared" si="141"/>
        <v>0</v>
      </c>
      <c r="DD68" s="2">
        <f t="shared" si="56"/>
        <v>522.93753219098994</v>
      </c>
      <c r="DE68" s="2">
        <f t="shared" si="57"/>
        <v>122821.22215273822</v>
      </c>
      <c r="DF68" s="2">
        <f t="shared" si="142"/>
        <v>3000</v>
      </c>
      <c r="DG68" s="2">
        <f t="shared" si="143"/>
        <v>3865.3903401365501</v>
      </c>
      <c r="DH68" s="2">
        <f t="shared" si="58"/>
        <v>115955.83181260167</v>
      </c>
    </row>
    <row r="69" spans="2:115">
      <c r="B69" s="232"/>
      <c r="C69" s="1">
        <f t="shared" si="102"/>
        <v>32</v>
      </c>
      <c r="D69" s="2">
        <f t="shared" si="105"/>
        <v>112016.35584000002</v>
      </c>
      <c r="E69" s="2">
        <f t="shared" si="106"/>
        <v>108890.11417600002</v>
      </c>
      <c r="F69" s="2">
        <f t="shared" si="107"/>
        <v>112760.7328</v>
      </c>
      <c r="G69" s="2">
        <f t="shared" si="108"/>
        <v>108528.98329999999</v>
      </c>
      <c r="H69" s="2">
        <f t="shared" si="109"/>
        <v>114310.27034</v>
      </c>
      <c r="I69" s="2">
        <f t="shared" si="110"/>
        <v>109127.659229</v>
      </c>
      <c r="J69" s="2">
        <f t="shared" si="103"/>
        <v>108076.12720770211</v>
      </c>
      <c r="K69" s="2">
        <f t="shared" si="104"/>
        <v>108492.88606666664</v>
      </c>
      <c r="W69" s="1">
        <f t="shared" si="144"/>
        <v>51</v>
      </c>
      <c r="X69" s="2">
        <f t="shared" si="121"/>
        <v>113864.27046992874</v>
      </c>
      <c r="Y69" s="8">
        <f t="shared" si="157"/>
        <v>3.9100000000000003E-2</v>
      </c>
      <c r="Z69" s="5">
        <f t="shared" si="145"/>
        <v>1133</v>
      </c>
      <c r="AA69" s="2">
        <f t="shared" si="146"/>
        <v>113186.70000000001</v>
      </c>
      <c r="AB69" s="2">
        <f t="shared" si="37"/>
        <v>113300</v>
      </c>
      <c r="AC69" s="2">
        <f t="shared" si="147"/>
        <v>118285.20000000001</v>
      </c>
      <c r="AD69" s="8">
        <f t="shared" si="122"/>
        <v>4.3999999999999997E-2</v>
      </c>
      <c r="AE69" s="2">
        <f t="shared" si="2"/>
        <v>119586.33719999999</v>
      </c>
      <c r="AF69" s="2" t="str">
        <f t="shared" si="123"/>
        <v>nie</v>
      </c>
      <c r="AG69" s="2">
        <f t="shared" si="124"/>
        <v>1133</v>
      </c>
      <c r="AH69" s="1">
        <f t="shared" si="79"/>
        <v>0</v>
      </c>
      <c r="AI69" s="1">
        <f t="shared" si="111"/>
        <v>0</v>
      </c>
      <c r="AJ69" s="1">
        <f t="shared" si="155"/>
        <v>0</v>
      </c>
      <c r="AK69" s="1">
        <f t="shared" si="166"/>
        <v>0</v>
      </c>
      <c r="AL69" s="2">
        <f t="shared" si="90"/>
        <v>0</v>
      </c>
      <c r="AM69" s="8">
        <f t="shared" si="160"/>
        <v>4.3999999999999997E-2</v>
      </c>
      <c r="AN69" s="2">
        <f t="shared" si="91"/>
        <v>0</v>
      </c>
      <c r="AO69" s="2">
        <f t="shared" si="161"/>
        <v>0</v>
      </c>
      <c r="AP69" s="2">
        <f t="shared" si="119"/>
        <v>0</v>
      </c>
      <c r="AQ69" s="8">
        <f t="shared" si="112"/>
        <v>3.9100000000000003E-2</v>
      </c>
      <c r="AR69" s="2">
        <f t="shared" si="113"/>
        <v>0</v>
      </c>
      <c r="AS69" s="2">
        <f t="shared" si="114"/>
        <v>0</v>
      </c>
      <c r="AT69" s="2">
        <f t="shared" si="39"/>
        <v>0</v>
      </c>
      <c r="AU69" s="2">
        <f t="shared" si="92"/>
        <v>0</v>
      </c>
      <c r="AV69" s="2">
        <f t="shared" si="82"/>
        <v>68.549759999979869</v>
      </c>
      <c r="AW69" s="1">
        <f t="shared" si="158"/>
        <v>0</v>
      </c>
      <c r="AX69" s="2">
        <f t="shared" si="125"/>
        <v>68.549759999979869</v>
      </c>
      <c r="AY69" s="1">
        <f t="shared" si="83"/>
        <v>0</v>
      </c>
      <c r="AZ69" s="2">
        <f t="shared" si="40"/>
        <v>68.549759999979869</v>
      </c>
      <c r="BA69" s="2">
        <f t="shared" si="93"/>
        <v>119654.88695999997</v>
      </c>
      <c r="BB69" s="2">
        <f t="shared" si="126"/>
        <v>0</v>
      </c>
      <c r="BC69" s="2">
        <f t="shared" si="41"/>
        <v>509.96788430399999</v>
      </c>
      <c r="BD69" s="2">
        <f t="shared" si="10"/>
        <v>119144.91907569597</v>
      </c>
      <c r="BE69" s="2">
        <f t="shared" si="42"/>
        <v>1133</v>
      </c>
      <c r="BF69" s="2">
        <f t="shared" si="11"/>
        <v>3519.158522399995</v>
      </c>
      <c r="BG69" s="2">
        <f t="shared" si="12"/>
        <v>114492.76055329597</v>
      </c>
      <c r="BI69" s="8">
        <f t="shared" si="162"/>
        <v>3.1E-2</v>
      </c>
      <c r="BJ69" s="5">
        <f t="shared" si="148"/>
        <v>1047</v>
      </c>
      <c r="BK69" s="2">
        <f t="shared" si="149"/>
        <v>104595.3</v>
      </c>
      <c r="BL69" s="2">
        <f t="shared" si="150"/>
        <v>104700</v>
      </c>
      <c r="BM69" s="2">
        <f t="shared" si="127"/>
        <v>104700</v>
      </c>
      <c r="BN69" s="8">
        <f t="shared" si="128"/>
        <v>4.7500000000000001E-2</v>
      </c>
      <c r="BO69" s="2">
        <f t="shared" si="129"/>
        <v>105943.31250000001</v>
      </c>
      <c r="BP69" s="2" t="str">
        <f t="shared" si="130"/>
        <v>nie</v>
      </c>
      <c r="BQ69" s="2">
        <f t="shared" si="131"/>
        <v>1243.3125000000146</v>
      </c>
      <c r="BR69" s="1">
        <f t="shared" si="163"/>
        <v>7</v>
      </c>
      <c r="BS69" s="1">
        <f t="shared" si="115"/>
        <v>51</v>
      </c>
      <c r="BT69" s="1">
        <f t="shared" si="156"/>
        <v>48</v>
      </c>
      <c r="BU69" s="1">
        <f t="shared" si="167"/>
        <v>47</v>
      </c>
      <c r="BV69" s="2">
        <f t="shared" si="94"/>
        <v>700</v>
      </c>
      <c r="BW69" s="8">
        <f t="shared" si="164"/>
        <v>4.7500000000000001E-2</v>
      </c>
      <c r="BX69" s="2">
        <f t="shared" si="95"/>
        <v>708.3125</v>
      </c>
      <c r="BY69" s="2">
        <f t="shared" si="165"/>
        <v>8.3125</v>
      </c>
      <c r="BZ69" s="2">
        <f t="shared" si="120"/>
        <v>14600</v>
      </c>
      <c r="CA69" s="8">
        <f t="shared" si="116"/>
        <v>4.5999999999999999E-2</v>
      </c>
      <c r="CB69" s="2">
        <f t="shared" si="117"/>
        <v>14767.900000000001</v>
      </c>
      <c r="CC69" s="2">
        <f t="shared" si="118"/>
        <v>292</v>
      </c>
      <c r="CD69" s="2">
        <f t="shared" si="132"/>
        <v>0</v>
      </c>
      <c r="CE69" s="2">
        <f t="shared" si="96"/>
        <v>0</v>
      </c>
      <c r="CF69" s="2">
        <f t="shared" si="97"/>
        <v>1.4000000000132786</v>
      </c>
      <c r="CG69" s="1">
        <f t="shared" si="159"/>
        <v>0</v>
      </c>
      <c r="CH69" s="2">
        <f t="shared" si="133"/>
        <v>1.4000000000132786</v>
      </c>
      <c r="CI69" s="1">
        <f t="shared" si="89"/>
        <v>0</v>
      </c>
      <c r="CJ69" s="2">
        <f t="shared" si="98"/>
        <v>1.4000000000132786</v>
      </c>
      <c r="CK69" s="2">
        <f t="shared" si="99"/>
        <v>121420.92500000003</v>
      </c>
      <c r="CL69" s="2">
        <f t="shared" si="134"/>
        <v>0</v>
      </c>
      <c r="CM69" s="2">
        <f t="shared" si="47"/>
        <v>515.0987550000001</v>
      </c>
      <c r="CN69" s="2">
        <f t="shared" si="135"/>
        <v>120905.82624500003</v>
      </c>
      <c r="CO69" s="2">
        <f t="shared" si="48"/>
        <v>1543.6250000000146</v>
      </c>
      <c r="CP69" s="2">
        <f t="shared" si="136"/>
        <v>3776.6870000000035</v>
      </c>
      <c r="CQ69" s="2">
        <f t="shared" si="137"/>
        <v>115585.51424500001</v>
      </c>
      <c r="CS69" s="5">
        <f t="shared" si="151"/>
        <v>1000</v>
      </c>
      <c r="CT69" s="2">
        <f t="shared" si="152"/>
        <v>100000</v>
      </c>
      <c r="CU69" s="2">
        <f t="shared" si="153"/>
        <v>100000</v>
      </c>
      <c r="CV69" s="2">
        <f t="shared" si="154"/>
        <v>122304.57083284999</v>
      </c>
      <c r="CW69" s="8">
        <f t="shared" si="138"/>
        <v>5.1000000000000004E-2</v>
      </c>
      <c r="CX69" s="2">
        <f t="shared" si="139"/>
        <v>123863.95411096883</v>
      </c>
      <c r="CY69" s="2" t="str">
        <f t="shared" si="140"/>
        <v>nie</v>
      </c>
      <c r="CZ69" s="2">
        <f t="shared" si="53"/>
        <v>0</v>
      </c>
      <c r="DA69" s="2">
        <f t="shared" si="54"/>
        <v>0</v>
      </c>
      <c r="DB69" s="2">
        <f t="shared" si="55"/>
        <v>123863.95411096883</v>
      </c>
      <c r="DC69" s="2">
        <f t="shared" si="141"/>
        <v>0</v>
      </c>
      <c r="DD69" s="2">
        <f t="shared" si="56"/>
        <v>522.93753219098994</v>
      </c>
      <c r="DE69" s="2">
        <f t="shared" si="57"/>
        <v>123341.01657877784</v>
      </c>
      <c r="DF69" s="2">
        <f t="shared" si="142"/>
        <v>3000</v>
      </c>
      <c r="DG69" s="2">
        <f t="shared" si="143"/>
        <v>3964.1512810840777</v>
      </c>
      <c r="DH69" s="2">
        <f t="shared" si="58"/>
        <v>116376.86529769376</v>
      </c>
    </row>
    <row r="70" spans="2:115">
      <c r="B70" s="232"/>
      <c r="C70" s="1">
        <f t="shared" ref="C70:C101" si="168">W51</f>
        <v>33</v>
      </c>
      <c r="D70" s="2">
        <f t="shared" si="105"/>
        <v>112415.99904</v>
      </c>
      <c r="E70" s="2">
        <f t="shared" si="106"/>
        <v>109213.825168</v>
      </c>
      <c r="F70" s="2">
        <f t="shared" si="107"/>
        <v>113181.0828</v>
      </c>
      <c r="G70" s="2">
        <f t="shared" si="108"/>
        <v>108869.46679999999</v>
      </c>
      <c r="H70" s="2">
        <f t="shared" si="109"/>
        <v>114780.84245249999</v>
      </c>
      <c r="I70" s="2">
        <f t="shared" si="110"/>
        <v>109508.82264012498</v>
      </c>
      <c r="J70" s="2">
        <f t="shared" ref="J70:J101" si="169">FV(INDEX(scenariusz_I_konto,MATCH(ROUNDUP(C70/12,0),scenariusz_I_rok,0))/12*(1-podatek_Belki),1,0,-J69,1)</f>
        <v>108338.75219681681</v>
      </c>
      <c r="K70" s="2">
        <f t="shared" ref="K70:K101" si="170">X51</f>
        <v>108767.48432499997</v>
      </c>
      <c r="W70" s="1">
        <f t="shared" si="144"/>
        <v>52</v>
      </c>
      <c r="X70" s="2">
        <f t="shared" si="121"/>
        <v>114156.157709205</v>
      </c>
      <c r="Y70" s="8">
        <f t="shared" si="157"/>
        <v>3.9100000000000003E-2</v>
      </c>
      <c r="Z70" s="5">
        <f t="shared" si="145"/>
        <v>1133</v>
      </c>
      <c r="AA70" s="2">
        <f t="shared" si="146"/>
        <v>113186.70000000001</v>
      </c>
      <c r="AB70" s="2">
        <f t="shared" si="37"/>
        <v>113300</v>
      </c>
      <c r="AC70" s="2">
        <f t="shared" si="147"/>
        <v>118285.20000000001</v>
      </c>
      <c r="AD70" s="8">
        <f t="shared" si="122"/>
        <v>4.3999999999999997E-2</v>
      </c>
      <c r="AE70" s="2">
        <f t="shared" si="2"/>
        <v>120020.0496</v>
      </c>
      <c r="AF70" s="2" t="str">
        <f t="shared" si="123"/>
        <v>nie</v>
      </c>
      <c r="AG70" s="2">
        <f t="shared" si="124"/>
        <v>1133</v>
      </c>
      <c r="AH70" s="1">
        <f t="shared" si="79"/>
        <v>0</v>
      </c>
      <c r="AI70" s="1">
        <f t="shared" si="111"/>
        <v>0</v>
      </c>
      <c r="AJ70" s="1">
        <f t="shared" si="155"/>
        <v>0</v>
      </c>
      <c r="AK70" s="1">
        <f t="shared" si="166"/>
        <v>0</v>
      </c>
      <c r="AL70" s="2">
        <f t="shared" si="90"/>
        <v>0</v>
      </c>
      <c r="AM70" s="8">
        <f t="shared" si="160"/>
        <v>4.3999999999999997E-2</v>
      </c>
      <c r="AN70" s="2">
        <f t="shared" si="91"/>
        <v>0</v>
      </c>
      <c r="AO70" s="2">
        <f t="shared" si="161"/>
        <v>0</v>
      </c>
      <c r="AP70" s="2">
        <f t="shared" si="119"/>
        <v>0</v>
      </c>
      <c r="AQ70" s="8">
        <f t="shared" si="112"/>
        <v>3.9100000000000003E-2</v>
      </c>
      <c r="AR70" s="2">
        <f t="shared" si="113"/>
        <v>0</v>
      </c>
      <c r="AS70" s="2">
        <f t="shared" si="114"/>
        <v>0</v>
      </c>
      <c r="AT70" s="2">
        <f t="shared" si="39"/>
        <v>0</v>
      </c>
      <c r="AU70" s="2">
        <f t="shared" si="92"/>
        <v>0</v>
      </c>
      <c r="AV70" s="2">
        <f t="shared" si="82"/>
        <v>68.549759999979869</v>
      </c>
      <c r="AW70" s="1">
        <f t="shared" si="158"/>
        <v>0</v>
      </c>
      <c r="AX70" s="2">
        <f t="shared" si="125"/>
        <v>68.549759999979869</v>
      </c>
      <c r="AY70" s="1">
        <f t="shared" si="83"/>
        <v>0</v>
      </c>
      <c r="AZ70" s="2">
        <f t="shared" si="40"/>
        <v>68.549759999979869</v>
      </c>
      <c r="BA70" s="2">
        <f t="shared" si="93"/>
        <v>120088.59935999998</v>
      </c>
      <c r="BB70" s="2">
        <f t="shared" si="126"/>
        <v>0</v>
      </c>
      <c r="BC70" s="2">
        <f t="shared" si="41"/>
        <v>509.96788430399999</v>
      </c>
      <c r="BD70" s="2">
        <f t="shared" si="10"/>
        <v>119578.63147569598</v>
      </c>
      <c r="BE70" s="2">
        <f t="shared" si="42"/>
        <v>1133</v>
      </c>
      <c r="BF70" s="2">
        <f t="shared" si="11"/>
        <v>3601.5638783999957</v>
      </c>
      <c r="BG70" s="2">
        <f t="shared" si="12"/>
        <v>114844.06759729599</v>
      </c>
      <c r="BI70" s="8">
        <f t="shared" si="162"/>
        <v>3.1E-2</v>
      </c>
      <c r="BJ70" s="5">
        <f t="shared" si="148"/>
        <v>1047</v>
      </c>
      <c r="BK70" s="2">
        <f t="shared" si="149"/>
        <v>104595.3</v>
      </c>
      <c r="BL70" s="2">
        <f t="shared" si="150"/>
        <v>104700</v>
      </c>
      <c r="BM70" s="2">
        <f t="shared" si="127"/>
        <v>104700</v>
      </c>
      <c r="BN70" s="8">
        <f t="shared" si="128"/>
        <v>4.7500000000000001E-2</v>
      </c>
      <c r="BO70" s="2">
        <f t="shared" si="129"/>
        <v>106357.75</v>
      </c>
      <c r="BP70" s="2" t="str">
        <f t="shared" si="130"/>
        <v>nie</v>
      </c>
      <c r="BQ70" s="2">
        <f t="shared" si="131"/>
        <v>1657.75</v>
      </c>
      <c r="BR70" s="1">
        <f t="shared" si="163"/>
        <v>7</v>
      </c>
      <c r="BS70" s="1">
        <f t="shared" si="115"/>
        <v>51</v>
      </c>
      <c r="BT70" s="1">
        <f t="shared" si="156"/>
        <v>48</v>
      </c>
      <c r="BU70" s="1">
        <f t="shared" si="167"/>
        <v>47</v>
      </c>
      <c r="BV70" s="2">
        <f t="shared" si="94"/>
        <v>700</v>
      </c>
      <c r="BW70" s="8">
        <f t="shared" si="164"/>
        <v>4.7500000000000001E-2</v>
      </c>
      <c r="BX70" s="2">
        <f t="shared" si="95"/>
        <v>711.08333333333337</v>
      </c>
      <c r="BY70" s="2">
        <f t="shared" si="165"/>
        <v>11.083333333333371</v>
      </c>
      <c r="BZ70" s="2">
        <f t="shared" si="120"/>
        <v>14600</v>
      </c>
      <c r="CA70" s="8">
        <f t="shared" si="116"/>
        <v>4.5999999999999999E-2</v>
      </c>
      <c r="CB70" s="2">
        <f t="shared" si="117"/>
        <v>14823.866666666669</v>
      </c>
      <c r="CC70" s="2">
        <f t="shared" si="118"/>
        <v>292</v>
      </c>
      <c r="CD70" s="2">
        <f t="shared" si="132"/>
        <v>0</v>
      </c>
      <c r="CE70" s="2">
        <f t="shared" si="96"/>
        <v>0</v>
      </c>
      <c r="CF70" s="2">
        <f t="shared" si="97"/>
        <v>1.4000000000132786</v>
      </c>
      <c r="CG70" s="1">
        <f t="shared" si="159"/>
        <v>0</v>
      </c>
      <c r="CH70" s="2">
        <f t="shared" si="133"/>
        <v>1.4000000000132786</v>
      </c>
      <c r="CI70" s="1">
        <f t="shared" si="89"/>
        <v>0</v>
      </c>
      <c r="CJ70" s="2">
        <f t="shared" si="98"/>
        <v>1.4000000000132786</v>
      </c>
      <c r="CK70" s="2">
        <f t="shared" si="99"/>
        <v>121894.1</v>
      </c>
      <c r="CL70" s="2">
        <f t="shared" si="134"/>
        <v>0</v>
      </c>
      <c r="CM70" s="2">
        <f t="shared" si="47"/>
        <v>515.0987550000001</v>
      </c>
      <c r="CN70" s="2">
        <f t="shared" si="135"/>
        <v>121379.00124500001</v>
      </c>
      <c r="CO70" s="2">
        <f t="shared" si="48"/>
        <v>1960.8333333333335</v>
      </c>
      <c r="CP70" s="2">
        <f t="shared" si="136"/>
        <v>3787.3206666666688</v>
      </c>
      <c r="CQ70" s="2">
        <f t="shared" si="137"/>
        <v>115630.84724500001</v>
      </c>
      <c r="CS70" s="5">
        <f t="shared" si="151"/>
        <v>1000</v>
      </c>
      <c r="CT70" s="2">
        <f t="shared" si="152"/>
        <v>100000</v>
      </c>
      <c r="CU70" s="2">
        <f t="shared" si="153"/>
        <v>100000</v>
      </c>
      <c r="CV70" s="2">
        <f t="shared" si="154"/>
        <v>122304.57083284999</v>
      </c>
      <c r="CW70" s="8">
        <f t="shared" si="138"/>
        <v>5.1000000000000004E-2</v>
      </c>
      <c r="CX70" s="2">
        <f t="shared" si="139"/>
        <v>124383.74853700843</v>
      </c>
      <c r="CY70" s="2" t="str">
        <f t="shared" si="140"/>
        <v>nie</v>
      </c>
      <c r="CZ70" s="2">
        <f t="shared" si="53"/>
        <v>0</v>
      </c>
      <c r="DA70" s="2">
        <f t="shared" si="54"/>
        <v>0</v>
      </c>
      <c r="DB70" s="2">
        <f t="shared" si="55"/>
        <v>124383.74853700843</v>
      </c>
      <c r="DC70" s="2">
        <f t="shared" si="141"/>
        <v>0</v>
      </c>
      <c r="DD70" s="2">
        <f t="shared" si="56"/>
        <v>522.93753219098994</v>
      </c>
      <c r="DE70" s="2">
        <f t="shared" si="57"/>
        <v>123860.81100481744</v>
      </c>
      <c r="DF70" s="2">
        <f t="shared" si="142"/>
        <v>3000</v>
      </c>
      <c r="DG70" s="2">
        <f t="shared" si="143"/>
        <v>4062.9122220316021</v>
      </c>
      <c r="DH70" s="2">
        <f t="shared" si="58"/>
        <v>116797.89878278584</v>
      </c>
    </row>
    <row r="71" spans="2:115">
      <c r="B71" s="232"/>
      <c r="C71" s="1">
        <f t="shared" si="168"/>
        <v>34</v>
      </c>
      <c r="D71" s="2">
        <f t="shared" si="105"/>
        <v>112815.64224</v>
      </c>
      <c r="E71" s="2">
        <f t="shared" si="106"/>
        <v>109537.53616</v>
      </c>
      <c r="F71" s="2">
        <f t="shared" si="107"/>
        <v>113601.43280000001</v>
      </c>
      <c r="G71" s="2">
        <f t="shared" si="108"/>
        <v>109209.95030000001</v>
      </c>
      <c r="H71" s="2">
        <f t="shared" si="109"/>
        <v>115251.414565</v>
      </c>
      <c r="I71" s="2">
        <f t="shared" si="110"/>
        <v>109889.98605125</v>
      </c>
      <c r="J71" s="2">
        <f t="shared" si="169"/>
        <v>108602.01536465508</v>
      </c>
      <c r="K71" s="2">
        <f t="shared" si="170"/>
        <v>109042.08258333331</v>
      </c>
      <c r="W71" s="1">
        <f t="shared" si="144"/>
        <v>53</v>
      </c>
      <c r="X71" s="2">
        <f t="shared" si="121"/>
        <v>114448.04494848127</v>
      </c>
      <c r="Y71" s="8">
        <f t="shared" si="157"/>
        <v>3.9100000000000003E-2</v>
      </c>
      <c r="Z71" s="5">
        <f t="shared" si="145"/>
        <v>1133</v>
      </c>
      <c r="AA71" s="2">
        <f t="shared" si="146"/>
        <v>113186.70000000001</v>
      </c>
      <c r="AB71" s="2">
        <f t="shared" si="37"/>
        <v>113300</v>
      </c>
      <c r="AC71" s="2">
        <f t="shared" si="147"/>
        <v>118285.20000000001</v>
      </c>
      <c r="AD71" s="8">
        <f t="shared" si="122"/>
        <v>4.3999999999999997E-2</v>
      </c>
      <c r="AE71" s="2">
        <f t="shared" si="2"/>
        <v>120453.762</v>
      </c>
      <c r="AF71" s="2" t="str">
        <f t="shared" si="123"/>
        <v>nie</v>
      </c>
      <c r="AG71" s="2">
        <f t="shared" si="124"/>
        <v>1133</v>
      </c>
      <c r="AH71" s="1">
        <f t="shared" si="79"/>
        <v>0</v>
      </c>
      <c r="AI71" s="1">
        <f t="shared" si="111"/>
        <v>0</v>
      </c>
      <c r="AJ71" s="1">
        <f t="shared" si="155"/>
        <v>0</v>
      </c>
      <c r="AK71" s="1">
        <f t="shared" si="166"/>
        <v>0</v>
      </c>
      <c r="AL71" s="2">
        <f t="shared" si="90"/>
        <v>0</v>
      </c>
      <c r="AM71" s="8">
        <f t="shared" si="160"/>
        <v>4.3999999999999997E-2</v>
      </c>
      <c r="AN71" s="2">
        <f t="shared" si="91"/>
        <v>0</v>
      </c>
      <c r="AO71" s="2">
        <f t="shared" si="161"/>
        <v>0</v>
      </c>
      <c r="AP71" s="2">
        <f t="shared" si="119"/>
        <v>0</v>
      </c>
      <c r="AQ71" s="8">
        <f t="shared" si="112"/>
        <v>3.9100000000000003E-2</v>
      </c>
      <c r="AR71" s="2">
        <f t="shared" si="113"/>
        <v>0</v>
      </c>
      <c r="AS71" s="2">
        <f t="shared" si="114"/>
        <v>0</v>
      </c>
      <c r="AT71" s="2">
        <f t="shared" si="39"/>
        <v>0</v>
      </c>
      <c r="AU71" s="2">
        <f t="shared" si="92"/>
        <v>0</v>
      </c>
      <c r="AV71" s="2">
        <f t="shared" si="82"/>
        <v>68.549759999979869</v>
      </c>
      <c r="AW71" s="1">
        <f t="shared" si="158"/>
        <v>0</v>
      </c>
      <c r="AX71" s="2">
        <f t="shared" si="125"/>
        <v>68.549759999979869</v>
      </c>
      <c r="AY71" s="1">
        <f t="shared" si="83"/>
        <v>0</v>
      </c>
      <c r="AZ71" s="2">
        <f t="shared" si="40"/>
        <v>68.549759999979869</v>
      </c>
      <c r="BA71" s="2">
        <f t="shared" si="93"/>
        <v>120522.31175999998</v>
      </c>
      <c r="BB71" s="2">
        <f t="shared" si="126"/>
        <v>0</v>
      </c>
      <c r="BC71" s="2">
        <f t="shared" si="41"/>
        <v>509.96788430399999</v>
      </c>
      <c r="BD71" s="2">
        <f t="shared" si="10"/>
        <v>120012.34387569598</v>
      </c>
      <c r="BE71" s="2">
        <f t="shared" si="42"/>
        <v>1133</v>
      </c>
      <c r="BF71" s="2">
        <f t="shared" si="11"/>
        <v>3683.9692343999968</v>
      </c>
      <c r="BG71" s="2">
        <f t="shared" si="12"/>
        <v>115195.37464129599</v>
      </c>
      <c r="BI71" s="8">
        <f t="shared" si="162"/>
        <v>3.1E-2</v>
      </c>
      <c r="BJ71" s="5">
        <f t="shared" si="148"/>
        <v>1047</v>
      </c>
      <c r="BK71" s="2">
        <f t="shared" si="149"/>
        <v>104595.3</v>
      </c>
      <c r="BL71" s="2">
        <f t="shared" si="150"/>
        <v>104700</v>
      </c>
      <c r="BM71" s="2">
        <f t="shared" si="127"/>
        <v>104700</v>
      </c>
      <c r="BN71" s="8">
        <f t="shared" si="128"/>
        <v>4.7500000000000001E-2</v>
      </c>
      <c r="BO71" s="2">
        <f t="shared" si="129"/>
        <v>106772.1875</v>
      </c>
      <c r="BP71" s="2" t="str">
        <f t="shared" si="130"/>
        <v>nie</v>
      </c>
      <c r="BQ71" s="2">
        <f t="shared" si="131"/>
        <v>2072.1875</v>
      </c>
      <c r="BR71" s="1">
        <f t="shared" si="163"/>
        <v>7</v>
      </c>
      <c r="BS71" s="1">
        <f t="shared" si="115"/>
        <v>51</v>
      </c>
      <c r="BT71" s="1">
        <f t="shared" si="156"/>
        <v>48</v>
      </c>
      <c r="BU71" s="1">
        <f t="shared" si="167"/>
        <v>47</v>
      </c>
      <c r="BV71" s="2">
        <f t="shared" si="94"/>
        <v>700</v>
      </c>
      <c r="BW71" s="8">
        <f t="shared" si="164"/>
        <v>4.7500000000000001E-2</v>
      </c>
      <c r="BX71" s="2">
        <f t="shared" si="95"/>
        <v>713.85416666666663</v>
      </c>
      <c r="BY71" s="2">
        <f t="shared" si="165"/>
        <v>13.854166666666629</v>
      </c>
      <c r="BZ71" s="2">
        <f t="shared" si="120"/>
        <v>14600</v>
      </c>
      <c r="CA71" s="8">
        <f t="shared" si="116"/>
        <v>4.5999999999999999E-2</v>
      </c>
      <c r="CB71" s="2">
        <f t="shared" si="117"/>
        <v>14879.833333333332</v>
      </c>
      <c r="CC71" s="2">
        <f t="shared" si="118"/>
        <v>292</v>
      </c>
      <c r="CD71" s="2">
        <f t="shared" si="132"/>
        <v>0</v>
      </c>
      <c r="CE71" s="2">
        <f t="shared" si="96"/>
        <v>0</v>
      </c>
      <c r="CF71" s="2">
        <f t="shared" si="97"/>
        <v>1.4000000000132786</v>
      </c>
      <c r="CG71" s="1">
        <f t="shared" si="159"/>
        <v>0</v>
      </c>
      <c r="CH71" s="2">
        <f t="shared" si="133"/>
        <v>1.4000000000132786</v>
      </c>
      <c r="CI71" s="1">
        <f t="shared" si="89"/>
        <v>0</v>
      </c>
      <c r="CJ71" s="2">
        <f t="shared" si="98"/>
        <v>1.4000000000132786</v>
      </c>
      <c r="CK71" s="2">
        <f t="shared" si="99"/>
        <v>122367.27500000001</v>
      </c>
      <c r="CL71" s="2">
        <f t="shared" si="134"/>
        <v>0</v>
      </c>
      <c r="CM71" s="2">
        <f t="shared" si="47"/>
        <v>515.0987550000001</v>
      </c>
      <c r="CN71" s="2">
        <f t="shared" si="135"/>
        <v>121852.17624500001</v>
      </c>
      <c r="CO71" s="2">
        <f t="shared" si="48"/>
        <v>2378.0416666666665</v>
      </c>
      <c r="CP71" s="2">
        <f t="shared" si="136"/>
        <v>3797.954333333334</v>
      </c>
      <c r="CQ71" s="2">
        <f t="shared" si="137"/>
        <v>115676.18024500001</v>
      </c>
      <c r="CS71" s="5">
        <f t="shared" si="151"/>
        <v>1000</v>
      </c>
      <c r="CT71" s="2">
        <f t="shared" si="152"/>
        <v>100000</v>
      </c>
      <c r="CU71" s="2">
        <f t="shared" si="153"/>
        <v>100000</v>
      </c>
      <c r="CV71" s="2">
        <f t="shared" si="154"/>
        <v>122304.57083284999</v>
      </c>
      <c r="CW71" s="8">
        <f t="shared" si="138"/>
        <v>5.1000000000000004E-2</v>
      </c>
      <c r="CX71" s="2">
        <f t="shared" si="139"/>
        <v>124903.54296304805</v>
      </c>
      <c r="CY71" s="2" t="str">
        <f t="shared" si="140"/>
        <v>nie</v>
      </c>
      <c r="CZ71" s="2">
        <f t="shared" si="53"/>
        <v>0</v>
      </c>
      <c r="DA71" s="2">
        <f t="shared" si="54"/>
        <v>0</v>
      </c>
      <c r="DB71" s="2">
        <f t="shared" si="55"/>
        <v>124903.54296304805</v>
      </c>
      <c r="DC71" s="2">
        <f t="shared" si="141"/>
        <v>0</v>
      </c>
      <c r="DD71" s="2">
        <f t="shared" si="56"/>
        <v>522.93753219098994</v>
      </c>
      <c r="DE71" s="2">
        <f t="shared" si="57"/>
        <v>124380.60543085706</v>
      </c>
      <c r="DF71" s="2">
        <f t="shared" si="142"/>
        <v>3000</v>
      </c>
      <c r="DG71" s="2">
        <f t="shared" si="143"/>
        <v>4161.6731629791293</v>
      </c>
      <c r="DH71" s="2">
        <f t="shared" si="58"/>
        <v>117218.93226787793</v>
      </c>
    </row>
    <row r="72" spans="2:115">
      <c r="B72" s="233"/>
      <c r="C72" s="1">
        <f t="shared" si="168"/>
        <v>35</v>
      </c>
      <c r="D72" s="2">
        <f t="shared" si="105"/>
        <v>113215.28544000001</v>
      </c>
      <c r="E72" s="2">
        <f t="shared" si="106"/>
        <v>109861.24715200001</v>
      </c>
      <c r="F72" s="2">
        <f t="shared" si="107"/>
        <v>114021.78280000002</v>
      </c>
      <c r="G72" s="2">
        <f t="shared" si="108"/>
        <v>109550.43380000001</v>
      </c>
      <c r="H72" s="2">
        <f t="shared" si="109"/>
        <v>115721.98667750001</v>
      </c>
      <c r="I72" s="2">
        <f t="shared" si="110"/>
        <v>110271.149462375</v>
      </c>
      <c r="J72" s="2">
        <f t="shared" si="169"/>
        <v>108865.91826199117</v>
      </c>
      <c r="K72" s="2">
        <f t="shared" si="170"/>
        <v>109316.68084166665</v>
      </c>
      <c r="W72" s="1">
        <f t="shared" si="144"/>
        <v>54</v>
      </c>
      <c r="X72" s="2">
        <f t="shared" si="121"/>
        <v>114739.93218775753</v>
      </c>
      <c r="Y72" s="8">
        <f t="shared" si="157"/>
        <v>3.9100000000000003E-2</v>
      </c>
      <c r="Z72" s="5">
        <f t="shared" si="145"/>
        <v>1133</v>
      </c>
      <c r="AA72" s="2">
        <f t="shared" si="146"/>
        <v>113186.70000000001</v>
      </c>
      <c r="AB72" s="2">
        <f t="shared" si="37"/>
        <v>113300</v>
      </c>
      <c r="AC72" s="2">
        <f t="shared" si="147"/>
        <v>118285.20000000001</v>
      </c>
      <c r="AD72" s="8">
        <f t="shared" si="122"/>
        <v>4.3999999999999997E-2</v>
      </c>
      <c r="AE72" s="2">
        <f t="shared" si="2"/>
        <v>120887.47440000002</v>
      </c>
      <c r="AF72" s="2" t="str">
        <f t="shared" si="123"/>
        <v>nie</v>
      </c>
      <c r="AG72" s="2">
        <f t="shared" si="124"/>
        <v>1133</v>
      </c>
      <c r="AH72" s="1">
        <f t="shared" si="79"/>
        <v>0</v>
      </c>
      <c r="AI72" s="1">
        <f t="shared" si="111"/>
        <v>0</v>
      </c>
      <c r="AJ72" s="1">
        <f t="shared" si="155"/>
        <v>0</v>
      </c>
      <c r="AK72" s="1">
        <f t="shared" si="166"/>
        <v>0</v>
      </c>
      <c r="AL72" s="2">
        <f t="shared" si="90"/>
        <v>0</v>
      </c>
      <c r="AM72" s="8">
        <f t="shared" si="160"/>
        <v>4.3999999999999997E-2</v>
      </c>
      <c r="AN72" s="2">
        <f t="shared" si="91"/>
        <v>0</v>
      </c>
      <c r="AO72" s="2">
        <f t="shared" si="161"/>
        <v>0</v>
      </c>
      <c r="AP72" s="2">
        <f t="shared" si="119"/>
        <v>0</v>
      </c>
      <c r="AQ72" s="8">
        <f t="shared" si="112"/>
        <v>3.9100000000000003E-2</v>
      </c>
      <c r="AR72" s="2">
        <f t="shared" si="113"/>
        <v>0</v>
      </c>
      <c r="AS72" s="2">
        <f t="shared" si="114"/>
        <v>0</v>
      </c>
      <c r="AT72" s="2">
        <f t="shared" si="39"/>
        <v>0</v>
      </c>
      <c r="AU72" s="2">
        <f t="shared" si="92"/>
        <v>0</v>
      </c>
      <c r="AV72" s="2">
        <f t="shared" si="82"/>
        <v>68.549759999979869</v>
      </c>
      <c r="AW72" s="1">
        <f t="shared" si="158"/>
        <v>0</v>
      </c>
      <c r="AX72" s="2">
        <f t="shared" si="125"/>
        <v>68.549759999979869</v>
      </c>
      <c r="AY72" s="1">
        <f t="shared" si="83"/>
        <v>0</v>
      </c>
      <c r="AZ72" s="2">
        <f t="shared" si="40"/>
        <v>68.549759999979869</v>
      </c>
      <c r="BA72" s="2">
        <f t="shared" si="93"/>
        <v>120956.02416</v>
      </c>
      <c r="BB72" s="2">
        <f t="shared" si="126"/>
        <v>0</v>
      </c>
      <c r="BC72" s="2">
        <f t="shared" si="41"/>
        <v>509.96788430399999</v>
      </c>
      <c r="BD72" s="2">
        <f t="shared" si="10"/>
        <v>120446.056275696</v>
      </c>
      <c r="BE72" s="2">
        <f t="shared" si="42"/>
        <v>1133</v>
      </c>
      <c r="BF72" s="2">
        <f t="shared" si="11"/>
        <v>3766.3745904000002</v>
      </c>
      <c r="BG72" s="2">
        <f t="shared" si="12"/>
        <v>115546.681685296</v>
      </c>
      <c r="BI72" s="8">
        <f t="shared" si="162"/>
        <v>3.1E-2</v>
      </c>
      <c r="BJ72" s="5">
        <f t="shared" si="148"/>
        <v>1047</v>
      </c>
      <c r="BK72" s="2">
        <f t="shared" si="149"/>
        <v>104595.3</v>
      </c>
      <c r="BL72" s="2">
        <f t="shared" si="150"/>
        <v>104700</v>
      </c>
      <c r="BM72" s="2">
        <f t="shared" si="127"/>
        <v>104700</v>
      </c>
      <c r="BN72" s="8">
        <f t="shared" si="128"/>
        <v>4.7500000000000001E-2</v>
      </c>
      <c r="BO72" s="2">
        <f t="shared" si="129"/>
        <v>107186.625</v>
      </c>
      <c r="BP72" s="2" t="str">
        <f t="shared" si="130"/>
        <v>nie</v>
      </c>
      <c r="BQ72" s="2">
        <f t="shared" si="131"/>
        <v>2094</v>
      </c>
      <c r="BR72" s="1">
        <f t="shared" si="163"/>
        <v>7</v>
      </c>
      <c r="BS72" s="1">
        <f t="shared" si="115"/>
        <v>51</v>
      </c>
      <c r="BT72" s="1">
        <f t="shared" si="156"/>
        <v>48</v>
      </c>
      <c r="BU72" s="1">
        <f t="shared" si="167"/>
        <v>47</v>
      </c>
      <c r="BV72" s="2">
        <f t="shared" si="94"/>
        <v>700</v>
      </c>
      <c r="BW72" s="8">
        <f t="shared" si="164"/>
        <v>4.7500000000000001E-2</v>
      </c>
      <c r="BX72" s="2">
        <f t="shared" si="95"/>
        <v>716.625</v>
      </c>
      <c r="BY72" s="2">
        <f t="shared" si="165"/>
        <v>14</v>
      </c>
      <c r="BZ72" s="2">
        <f t="shared" si="120"/>
        <v>14600</v>
      </c>
      <c r="CA72" s="8">
        <f t="shared" si="116"/>
        <v>4.5999999999999999E-2</v>
      </c>
      <c r="CB72" s="2">
        <f t="shared" si="117"/>
        <v>14935.8</v>
      </c>
      <c r="CC72" s="2">
        <f t="shared" si="118"/>
        <v>292</v>
      </c>
      <c r="CD72" s="2">
        <f t="shared" si="132"/>
        <v>0</v>
      </c>
      <c r="CE72" s="2">
        <f t="shared" si="96"/>
        <v>0</v>
      </c>
      <c r="CF72" s="2">
        <f t="shared" si="97"/>
        <v>1.4000000000132786</v>
      </c>
      <c r="CG72" s="1">
        <f t="shared" si="159"/>
        <v>0</v>
      </c>
      <c r="CH72" s="2">
        <f t="shared" si="133"/>
        <v>1.4000000000132786</v>
      </c>
      <c r="CI72" s="1">
        <f t="shared" si="89"/>
        <v>0</v>
      </c>
      <c r="CJ72" s="2">
        <f t="shared" si="98"/>
        <v>1.4000000000132786</v>
      </c>
      <c r="CK72" s="2">
        <f t="shared" si="99"/>
        <v>122840.45000000001</v>
      </c>
      <c r="CL72" s="2">
        <f t="shared" si="134"/>
        <v>0</v>
      </c>
      <c r="CM72" s="2">
        <f t="shared" si="47"/>
        <v>515.0987550000001</v>
      </c>
      <c r="CN72" s="2">
        <f t="shared" si="135"/>
        <v>122325.35124500001</v>
      </c>
      <c r="CO72" s="2">
        <f t="shared" si="48"/>
        <v>2400</v>
      </c>
      <c r="CP72" s="2">
        <f t="shared" si="136"/>
        <v>3883.6855000000023</v>
      </c>
      <c r="CQ72" s="2">
        <f t="shared" si="137"/>
        <v>116041.66574500001</v>
      </c>
      <c r="CS72" s="5">
        <f t="shared" si="151"/>
        <v>1000</v>
      </c>
      <c r="CT72" s="2">
        <f t="shared" si="152"/>
        <v>100000</v>
      </c>
      <c r="CU72" s="2">
        <f t="shared" si="153"/>
        <v>100000</v>
      </c>
      <c r="CV72" s="2">
        <f t="shared" si="154"/>
        <v>122304.57083284999</v>
      </c>
      <c r="CW72" s="8">
        <f t="shared" si="138"/>
        <v>5.1000000000000004E-2</v>
      </c>
      <c r="CX72" s="2">
        <f t="shared" si="139"/>
        <v>125423.33738908767</v>
      </c>
      <c r="CY72" s="2" t="str">
        <f t="shared" si="140"/>
        <v>nie</v>
      </c>
      <c r="CZ72" s="2">
        <f t="shared" si="53"/>
        <v>0</v>
      </c>
      <c r="DA72" s="2">
        <f t="shared" si="54"/>
        <v>0</v>
      </c>
      <c r="DB72" s="2">
        <f t="shared" si="55"/>
        <v>125423.33738908767</v>
      </c>
      <c r="DC72" s="2">
        <f t="shared" si="141"/>
        <v>0</v>
      </c>
      <c r="DD72" s="2">
        <f t="shared" si="56"/>
        <v>522.93753219098994</v>
      </c>
      <c r="DE72" s="2">
        <f t="shared" si="57"/>
        <v>124900.39985689668</v>
      </c>
      <c r="DF72" s="2">
        <f t="shared" si="142"/>
        <v>3000</v>
      </c>
      <c r="DG72" s="2">
        <f t="shared" si="143"/>
        <v>4260.4341039266574</v>
      </c>
      <c r="DH72" s="2">
        <f t="shared" si="58"/>
        <v>117639.96575297002</v>
      </c>
    </row>
    <row r="73" spans="2:115">
      <c r="B73" s="231">
        <f>ROUNDUP(C74/12,0)</f>
        <v>4</v>
      </c>
      <c r="C73" s="3">
        <f t="shared" si="168"/>
        <v>36</v>
      </c>
      <c r="D73" s="10">
        <f t="shared" si="105"/>
        <v>112910.97712535999</v>
      </c>
      <c r="E73" s="10">
        <f t="shared" si="106"/>
        <v>110392.47967095999</v>
      </c>
      <c r="F73" s="10">
        <f t="shared" si="107"/>
        <v>114270.20662500001</v>
      </c>
      <c r="G73" s="10">
        <f t="shared" si="108"/>
        <v>109718.991125</v>
      </c>
      <c r="H73" s="10">
        <f t="shared" si="109"/>
        <v>116018.00421697499</v>
      </c>
      <c r="I73" s="10">
        <f t="shared" si="110"/>
        <v>110477.75830047499</v>
      </c>
      <c r="J73" s="10">
        <f t="shared" si="169"/>
        <v>109130.46244336781</v>
      </c>
      <c r="K73" s="10">
        <f t="shared" si="170"/>
        <v>109591.27909999997</v>
      </c>
      <c r="W73" s="1">
        <f t="shared" si="144"/>
        <v>55</v>
      </c>
      <c r="X73" s="2">
        <f t="shared" si="121"/>
        <v>115031.81942703377</v>
      </c>
      <c r="Y73" s="8">
        <f t="shared" si="157"/>
        <v>3.9100000000000003E-2</v>
      </c>
      <c r="Z73" s="5">
        <f t="shared" si="145"/>
        <v>1133</v>
      </c>
      <c r="AA73" s="2">
        <f t="shared" si="146"/>
        <v>113186.70000000001</v>
      </c>
      <c r="AB73" s="2">
        <f t="shared" si="37"/>
        <v>113300</v>
      </c>
      <c r="AC73" s="2">
        <f t="shared" si="147"/>
        <v>118285.20000000001</v>
      </c>
      <c r="AD73" s="8">
        <f t="shared" si="122"/>
        <v>4.3999999999999997E-2</v>
      </c>
      <c r="AE73" s="2">
        <f t="shared" si="2"/>
        <v>121321.18680000002</v>
      </c>
      <c r="AF73" s="2" t="str">
        <f t="shared" si="123"/>
        <v>nie</v>
      </c>
      <c r="AG73" s="2">
        <f t="shared" si="124"/>
        <v>1133</v>
      </c>
      <c r="AH73" s="1">
        <f t="shared" si="79"/>
        <v>0</v>
      </c>
      <c r="AI73" s="1">
        <f t="shared" si="111"/>
        <v>0</v>
      </c>
      <c r="AJ73" s="1">
        <f t="shared" si="155"/>
        <v>0</v>
      </c>
      <c r="AK73" s="1">
        <f t="shared" si="166"/>
        <v>0</v>
      </c>
      <c r="AL73" s="2">
        <f t="shared" si="90"/>
        <v>0</v>
      </c>
      <c r="AM73" s="8">
        <f t="shared" si="160"/>
        <v>4.3999999999999997E-2</v>
      </c>
      <c r="AN73" s="2">
        <f t="shared" si="91"/>
        <v>0</v>
      </c>
      <c r="AO73" s="2">
        <f t="shared" si="161"/>
        <v>0</v>
      </c>
      <c r="AP73" s="2">
        <f t="shared" si="119"/>
        <v>0</v>
      </c>
      <c r="AQ73" s="8">
        <f t="shared" si="112"/>
        <v>3.9100000000000003E-2</v>
      </c>
      <c r="AR73" s="2">
        <f t="shared" si="113"/>
        <v>0</v>
      </c>
      <c r="AS73" s="2">
        <f t="shared" si="114"/>
        <v>0</v>
      </c>
      <c r="AT73" s="2">
        <f t="shared" si="39"/>
        <v>0</v>
      </c>
      <c r="AU73" s="2">
        <f t="shared" si="92"/>
        <v>0</v>
      </c>
      <c r="AV73" s="2">
        <f t="shared" si="82"/>
        <v>68.549759999979869</v>
      </c>
      <c r="AW73" s="1">
        <f t="shared" si="158"/>
        <v>0</v>
      </c>
      <c r="AX73" s="2">
        <f t="shared" si="125"/>
        <v>68.549759999979869</v>
      </c>
      <c r="AY73" s="1">
        <f t="shared" si="83"/>
        <v>0</v>
      </c>
      <c r="AZ73" s="2">
        <f t="shared" si="40"/>
        <v>68.549759999979869</v>
      </c>
      <c r="BA73" s="2">
        <f t="shared" si="93"/>
        <v>121389.73656</v>
      </c>
      <c r="BB73" s="2">
        <f t="shared" si="126"/>
        <v>0</v>
      </c>
      <c r="BC73" s="2">
        <f t="shared" si="41"/>
        <v>509.96788430399999</v>
      </c>
      <c r="BD73" s="2">
        <f t="shared" si="10"/>
        <v>120879.768675696</v>
      </c>
      <c r="BE73" s="2">
        <f t="shared" si="42"/>
        <v>1133</v>
      </c>
      <c r="BF73" s="2">
        <f t="shared" si="11"/>
        <v>3848.7799464000009</v>
      </c>
      <c r="BG73" s="2">
        <f t="shared" si="12"/>
        <v>115897.988729296</v>
      </c>
      <c r="BI73" s="8">
        <f t="shared" si="162"/>
        <v>3.1E-2</v>
      </c>
      <c r="BJ73" s="5">
        <f t="shared" si="148"/>
        <v>1047</v>
      </c>
      <c r="BK73" s="2">
        <f t="shared" si="149"/>
        <v>104595.3</v>
      </c>
      <c r="BL73" s="2">
        <f t="shared" si="150"/>
        <v>104700</v>
      </c>
      <c r="BM73" s="2">
        <f t="shared" si="127"/>
        <v>104700</v>
      </c>
      <c r="BN73" s="8">
        <f t="shared" si="128"/>
        <v>4.7500000000000001E-2</v>
      </c>
      <c r="BO73" s="2">
        <f t="shared" si="129"/>
        <v>107601.06250000001</v>
      </c>
      <c r="BP73" s="2" t="str">
        <f t="shared" si="130"/>
        <v>nie</v>
      </c>
      <c r="BQ73" s="2">
        <f t="shared" si="131"/>
        <v>2094</v>
      </c>
      <c r="BR73" s="1">
        <f t="shared" si="163"/>
        <v>7</v>
      </c>
      <c r="BS73" s="1">
        <f t="shared" si="115"/>
        <v>51</v>
      </c>
      <c r="BT73" s="1">
        <f t="shared" si="156"/>
        <v>48</v>
      </c>
      <c r="BU73" s="1">
        <f t="shared" si="167"/>
        <v>47</v>
      </c>
      <c r="BV73" s="2">
        <f t="shared" si="94"/>
        <v>700</v>
      </c>
      <c r="BW73" s="8">
        <f t="shared" si="164"/>
        <v>4.7500000000000001E-2</v>
      </c>
      <c r="BX73" s="2">
        <f t="shared" si="95"/>
        <v>719.39583333333337</v>
      </c>
      <c r="BY73" s="2">
        <f t="shared" si="165"/>
        <v>14</v>
      </c>
      <c r="BZ73" s="2">
        <f t="shared" si="120"/>
        <v>14600</v>
      </c>
      <c r="CA73" s="8">
        <f t="shared" si="116"/>
        <v>4.5999999999999999E-2</v>
      </c>
      <c r="CB73" s="2">
        <f t="shared" si="117"/>
        <v>14991.766666666666</v>
      </c>
      <c r="CC73" s="2">
        <f t="shared" si="118"/>
        <v>292</v>
      </c>
      <c r="CD73" s="2">
        <f t="shared" si="132"/>
        <v>0</v>
      </c>
      <c r="CE73" s="2">
        <f t="shared" si="96"/>
        <v>0</v>
      </c>
      <c r="CF73" s="2">
        <f t="shared" si="97"/>
        <v>1.4000000000132786</v>
      </c>
      <c r="CG73" s="1">
        <f t="shared" si="159"/>
        <v>0</v>
      </c>
      <c r="CH73" s="2">
        <f t="shared" si="133"/>
        <v>1.4000000000132786</v>
      </c>
      <c r="CI73" s="1">
        <f t="shared" si="89"/>
        <v>0</v>
      </c>
      <c r="CJ73" s="2">
        <f t="shared" si="98"/>
        <v>1.4000000000132786</v>
      </c>
      <c r="CK73" s="2">
        <f t="shared" si="99"/>
        <v>123313.62500000001</v>
      </c>
      <c r="CL73" s="2">
        <f t="shared" si="134"/>
        <v>0</v>
      </c>
      <c r="CM73" s="2">
        <f t="shared" si="47"/>
        <v>515.0987550000001</v>
      </c>
      <c r="CN73" s="2">
        <f t="shared" si="135"/>
        <v>122798.52624500002</v>
      </c>
      <c r="CO73" s="2">
        <f t="shared" si="48"/>
        <v>2400</v>
      </c>
      <c r="CP73" s="2">
        <f t="shared" si="136"/>
        <v>3973.5887500000026</v>
      </c>
      <c r="CQ73" s="2">
        <f t="shared" si="137"/>
        <v>116424.93749500002</v>
      </c>
      <c r="CS73" s="5">
        <f t="shared" si="151"/>
        <v>1000</v>
      </c>
      <c r="CT73" s="2">
        <f t="shared" si="152"/>
        <v>100000</v>
      </c>
      <c r="CU73" s="2">
        <f t="shared" si="153"/>
        <v>100000</v>
      </c>
      <c r="CV73" s="2">
        <f t="shared" si="154"/>
        <v>122304.57083284999</v>
      </c>
      <c r="CW73" s="8">
        <f t="shared" si="138"/>
        <v>5.1000000000000004E-2</v>
      </c>
      <c r="CX73" s="2">
        <f t="shared" si="139"/>
        <v>125943.13181512727</v>
      </c>
      <c r="CY73" s="2" t="str">
        <f t="shared" si="140"/>
        <v>nie</v>
      </c>
      <c r="CZ73" s="2">
        <f t="shared" si="53"/>
        <v>0</v>
      </c>
      <c r="DA73" s="2">
        <f t="shared" si="54"/>
        <v>0</v>
      </c>
      <c r="DB73" s="2">
        <f t="shared" si="55"/>
        <v>125943.13181512727</v>
      </c>
      <c r="DC73" s="2">
        <f t="shared" si="141"/>
        <v>0</v>
      </c>
      <c r="DD73" s="2">
        <f t="shared" si="56"/>
        <v>522.93753219098994</v>
      </c>
      <c r="DE73" s="2">
        <f t="shared" si="57"/>
        <v>125420.19428293628</v>
      </c>
      <c r="DF73" s="2">
        <f t="shared" si="142"/>
        <v>3000</v>
      </c>
      <c r="DG73" s="2">
        <f t="shared" si="143"/>
        <v>4359.1950448741818</v>
      </c>
      <c r="DH73" s="2">
        <f t="shared" si="58"/>
        <v>118060.9992380621</v>
      </c>
    </row>
    <row r="74" spans="2:115">
      <c r="B74" s="232"/>
      <c r="C74" s="1">
        <f t="shared" si="168"/>
        <v>37</v>
      </c>
      <c r="D74" s="2">
        <f t="shared" si="105"/>
        <v>113439.71045869331</v>
      </c>
      <c r="E74" s="2">
        <f t="shared" si="106"/>
        <v>110484.25267095998</v>
      </c>
      <c r="F74" s="2">
        <f t="shared" si="107"/>
        <v>114710.14412500001</v>
      </c>
      <c r="G74" s="2">
        <f t="shared" si="108"/>
        <v>110058.988625</v>
      </c>
      <c r="H74" s="2">
        <f t="shared" si="109"/>
        <v>116512.5755072125</v>
      </c>
      <c r="I74" s="2">
        <f t="shared" si="110"/>
        <v>110878.36104556738</v>
      </c>
      <c r="J74" s="2">
        <f t="shared" si="169"/>
        <v>109395.64946710519</v>
      </c>
      <c r="K74" s="2">
        <f t="shared" si="170"/>
        <v>109874.38990434165</v>
      </c>
      <c r="W74" s="1">
        <f t="shared" si="144"/>
        <v>56</v>
      </c>
      <c r="X74" s="2">
        <f t="shared" si="121"/>
        <v>115323.70666631003</v>
      </c>
      <c r="Y74" s="8">
        <f t="shared" si="157"/>
        <v>3.9100000000000003E-2</v>
      </c>
      <c r="Z74" s="5">
        <f t="shared" si="145"/>
        <v>1133</v>
      </c>
      <c r="AA74" s="2">
        <f t="shared" si="146"/>
        <v>113186.70000000001</v>
      </c>
      <c r="AB74" s="2">
        <f t="shared" si="37"/>
        <v>113300</v>
      </c>
      <c r="AC74" s="2">
        <f t="shared" si="147"/>
        <v>118285.20000000001</v>
      </c>
      <c r="AD74" s="8">
        <f t="shared" si="122"/>
        <v>4.3999999999999997E-2</v>
      </c>
      <c r="AE74" s="2">
        <f t="shared" si="2"/>
        <v>121754.89920000003</v>
      </c>
      <c r="AF74" s="2" t="str">
        <f t="shared" si="123"/>
        <v>nie</v>
      </c>
      <c r="AG74" s="2">
        <f t="shared" si="124"/>
        <v>1133</v>
      </c>
      <c r="AH74" s="1">
        <f t="shared" si="79"/>
        <v>0</v>
      </c>
      <c r="AI74" s="1">
        <f t="shared" si="111"/>
        <v>0</v>
      </c>
      <c r="AJ74" s="1">
        <f t="shared" si="155"/>
        <v>0</v>
      </c>
      <c r="AK74" s="1">
        <f t="shared" si="166"/>
        <v>0</v>
      </c>
      <c r="AL74" s="2">
        <f t="shared" si="90"/>
        <v>0</v>
      </c>
      <c r="AM74" s="8">
        <f t="shared" si="160"/>
        <v>4.3999999999999997E-2</v>
      </c>
      <c r="AN74" s="2">
        <f t="shared" si="91"/>
        <v>0</v>
      </c>
      <c r="AO74" s="2">
        <f t="shared" si="161"/>
        <v>0</v>
      </c>
      <c r="AP74" s="2">
        <f t="shared" si="119"/>
        <v>0</v>
      </c>
      <c r="AQ74" s="8">
        <f t="shared" si="112"/>
        <v>3.9100000000000003E-2</v>
      </c>
      <c r="AR74" s="2">
        <f t="shared" si="113"/>
        <v>0</v>
      </c>
      <c r="AS74" s="2">
        <f t="shared" si="114"/>
        <v>0</v>
      </c>
      <c r="AT74" s="2">
        <f t="shared" si="39"/>
        <v>0</v>
      </c>
      <c r="AU74" s="2">
        <f t="shared" si="92"/>
        <v>0</v>
      </c>
      <c r="AV74" s="2">
        <f t="shared" si="82"/>
        <v>68.549759999979869</v>
      </c>
      <c r="AW74" s="1">
        <f t="shared" si="158"/>
        <v>0</v>
      </c>
      <c r="AX74" s="2">
        <f t="shared" si="125"/>
        <v>68.549759999979869</v>
      </c>
      <c r="AY74" s="1">
        <f t="shared" si="83"/>
        <v>0</v>
      </c>
      <c r="AZ74" s="2">
        <f t="shared" si="40"/>
        <v>68.549759999979869</v>
      </c>
      <c r="BA74" s="2">
        <f t="shared" si="93"/>
        <v>121823.44896000001</v>
      </c>
      <c r="BB74" s="2">
        <f t="shared" si="126"/>
        <v>0</v>
      </c>
      <c r="BC74" s="2">
        <f t="shared" si="41"/>
        <v>509.96788430399999</v>
      </c>
      <c r="BD74" s="2">
        <f t="shared" si="10"/>
        <v>121313.48107569601</v>
      </c>
      <c r="BE74" s="2">
        <f t="shared" si="42"/>
        <v>1133</v>
      </c>
      <c r="BF74" s="2">
        <f t="shared" si="11"/>
        <v>3931.1853024000015</v>
      </c>
      <c r="BG74" s="2">
        <f t="shared" si="12"/>
        <v>116249.29577329601</v>
      </c>
      <c r="BI74" s="8">
        <f t="shared" si="162"/>
        <v>3.1E-2</v>
      </c>
      <c r="BJ74" s="5">
        <f t="shared" si="148"/>
        <v>1047</v>
      </c>
      <c r="BK74" s="2">
        <f t="shared" si="149"/>
        <v>104595.3</v>
      </c>
      <c r="BL74" s="2">
        <f t="shared" si="150"/>
        <v>104700</v>
      </c>
      <c r="BM74" s="2">
        <f t="shared" si="127"/>
        <v>104700</v>
      </c>
      <c r="BN74" s="8">
        <f t="shared" si="128"/>
        <v>4.7500000000000001E-2</v>
      </c>
      <c r="BO74" s="2">
        <f t="shared" si="129"/>
        <v>108015.5</v>
      </c>
      <c r="BP74" s="2" t="str">
        <f t="shared" si="130"/>
        <v>nie</v>
      </c>
      <c r="BQ74" s="2">
        <f t="shared" si="131"/>
        <v>2094</v>
      </c>
      <c r="BR74" s="1">
        <f t="shared" si="163"/>
        <v>7</v>
      </c>
      <c r="BS74" s="1">
        <f t="shared" si="115"/>
        <v>51</v>
      </c>
      <c r="BT74" s="1">
        <f t="shared" si="156"/>
        <v>48</v>
      </c>
      <c r="BU74" s="1">
        <f t="shared" si="167"/>
        <v>47</v>
      </c>
      <c r="BV74" s="2">
        <f t="shared" si="94"/>
        <v>700</v>
      </c>
      <c r="BW74" s="8">
        <f t="shared" si="164"/>
        <v>4.7500000000000001E-2</v>
      </c>
      <c r="BX74" s="2">
        <f t="shared" si="95"/>
        <v>722.16666666666674</v>
      </c>
      <c r="BY74" s="2">
        <f t="shared" si="165"/>
        <v>14</v>
      </c>
      <c r="BZ74" s="2">
        <f t="shared" si="120"/>
        <v>14600</v>
      </c>
      <c r="CA74" s="8">
        <f t="shared" si="116"/>
        <v>4.5999999999999999E-2</v>
      </c>
      <c r="CB74" s="2">
        <f t="shared" si="117"/>
        <v>15047.733333333332</v>
      </c>
      <c r="CC74" s="2">
        <f t="shared" si="118"/>
        <v>292</v>
      </c>
      <c r="CD74" s="2">
        <f t="shared" si="132"/>
        <v>0</v>
      </c>
      <c r="CE74" s="2">
        <f t="shared" si="96"/>
        <v>0</v>
      </c>
      <c r="CF74" s="2">
        <f t="shared" si="97"/>
        <v>1.4000000000132786</v>
      </c>
      <c r="CG74" s="1">
        <f t="shared" si="159"/>
        <v>0</v>
      </c>
      <c r="CH74" s="2">
        <f t="shared" si="133"/>
        <v>1.4000000000132786</v>
      </c>
      <c r="CI74" s="1">
        <f t="shared" si="89"/>
        <v>0</v>
      </c>
      <c r="CJ74" s="2">
        <f t="shared" si="98"/>
        <v>1.4000000000132786</v>
      </c>
      <c r="CK74" s="2">
        <f t="shared" si="99"/>
        <v>123786.80000000002</v>
      </c>
      <c r="CL74" s="2">
        <f t="shared" si="134"/>
        <v>0</v>
      </c>
      <c r="CM74" s="2">
        <f t="shared" si="47"/>
        <v>515.0987550000001</v>
      </c>
      <c r="CN74" s="2">
        <f t="shared" si="135"/>
        <v>123271.70124500002</v>
      </c>
      <c r="CO74" s="2">
        <f t="shared" si="48"/>
        <v>2400</v>
      </c>
      <c r="CP74" s="2">
        <f t="shared" si="136"/>
        <v>4063.4920000000034</v>
      </c>
      <c r="CQ74" s="2">
        <f t="shared" si="137"/>
        <v>116808.20924500002</v>
      </c>
      <c r="CS74" s="5">
        <f t="shared" si="151"/>
        <v>1000</v>
      </c>
      <c r="CT74" s="2">
        <f t="shared" si="152"/>
        <v>100000</v>
      </c>
      <c r="CU74" s="2">
        <f t="shared" si="153"/>
        <v>100000</v>
      </c>
      <c r="CV74" s="2">
        <f t="shared" si="154"/>
        <v>122304.57083284999</v>
      </c>
      <c r="CW74" s="8">
        <f t="shared" si="138"/>
        <v>5.1000000000000004E-2</v>
      </c>
      <c r="CX74" s="2">
        <f t="shared" si="139"/>
        <v>126462.92624116689</v>
      </c>
      <c r="CY74" s="2" t="str">
        <f t="shared" si="140"/>
        <v>nie</v>
      </c>
      <c r="CZ74" s="2">
        <f t="shared" si="53"/>
        <v>0</v>
      </c>
      <c r="DA74" s="2">
        <f t="shared" si="54"/>
        <v>0</v>
      </c>
      <c r="DB74" s="2">
        <f t="shared" si="55"/>
        <v>126462.92624116689</v>
      </c>
      <c r="DC74" s="2">
        <f t="shared" si="141"/>
        <v>0</v>
      </c>
      <c r="DD74" s="2">
        <f t="shared" si="56"/>
        <v>522.93753219098994</v>
      </c>
      <c r="DE74" s="2">
        <f t="shared" si="57"/>
        <v>125939.9887089759</v>
      </c>
      <c r="DF74" s="2">
        <f t="shared" si="142"/>
        <v>3000</v>
      </c>
      <c r="DG74" s="2">
        <f t="shared" si="143"/>
        <v>4457.955985821709</v>
      </c>
      <c r="DH74" s="2">
        <f t="shared" si="58"/>
        <v>118482.03272315419</v>
      </c>
    </row>
    <row r="75" spans="2:115">
      <c r="B75" s="232"/>
      <c r="C75" s="1">
        <f t="shared" si="168"/>
        <v>38</v>
      </c>
      <c r="D75" s="2">
        <f t="shared" si="105"/>
        <v>113855.14379202665</v>
      </c>
      <c r="E75" s="2">
        <f t="shared" si="106"/>
        <v>110484.25267095998</v>
      </c>
      <c r="F75" s="2">
        <f t="shared" si="107"/>
        <v>115150.08162500001</v>
      </c>
      <c r="G75" s="2">
        <f t="shared" si="108"/>
        <v>110398.98612500001</v>
      </c>
      <c r="H75" s="2">
        <f t="shared" si="109"/>
        <v>117007.14679744998</v>
      </c>
      <c r="I75" s="2">
        <f t="shared" si="110"/>
        <v>111278.96379065973</v>
      </c>
      <c r="J75" s="2">
        <f t="shared" si="169"/>
        <v>109661.48089531025</v>
      </c>
      <c r="K75" s="2">
        <f t="shared" si="170"/>
        <v>110157.50070868332</v>
      </c>
      <c r="W75" s="1">
        <f t="shared" si="144"/>
        <v>57</v>
      </c>
      <c r="X75" s="2">
        <f t="shared" si="121"/>
        <v>115615.5939055863</v>
      </c>
      <c r="Y75" s="8">
        <f t="shared" si="157"/>
        <v>3.9100000000000003E-2</v>
      </c>
      <c r="Z75" s="5">
        <f t="shared" si="145"/>
        <v>1133</v>
      </c>
      <c r="AA75" s="2">
        <f t="shared" si="146"/>
        <v>113186.70000000001</v>
      </c>
      <c r="AB75" s="2">
        <f t="shared" si="37"/>
        <v>113300</v>
      </c>
      <c r="AC75" s="2">
        <f t="shared" si="147"/>
        <v>118285.20000000001</v>
      </c>
      <c r="AD75" s="8">
        <f t="shared" si="122"/>
        <v>4.3999999999999997E-2</v>
      </c>
      <c r="AE75" s="2">
        <f t="shared" si="2"/>
        <v>122188.6116</v>
      </c>
      <c r="AF75" s="2" t="str">
        <f t="shared" si="123"/>
        <v>nie</v>
      </c>
      <c r="AG75" s="2">
        <f t="shared" si="124"/>
        <v>1133</v>
      </c>
      <c r="AH75" s="1">
        <f t="shared" si="79"/>
        <v>0</v>
      </c>
      <c r="AI75" s="1">
        <f t="shared" ref="AI75:AI106" si="171">IF(zapadalnosc_TOS/12&gt;=AI$18,AH63,0)</f>
        <v>0</v>
      </c>
      <c r="AJ75" s="1">
        <f t="shared" si="155"/>
        <v>0</v>
      </c>
      <c r="AK75" s="1">
        <f t="shared" si="166"/>
        <v>0</v>
      </c>
      <c r="AL75" s="2">
        <f t="shared" si="90"/>
        <v>0</v>
      </c>
      <c r="AM75" s="8">
        <f t="shared" si="160"/>
        <v>4.3999999999999997E-2</v>
      </c>
      <c r="AN75" s="2">
        <f t="shared" si="91"/>
        <v>0</v>
      </c>
      <c r="AO75" s="2">
        <f t="shared" si="161"/>
        <v>0</v>
      </c>
      <c r="AP75" s="2">
        <f t="shared" si="119"/>
        <v>0</v>
      </c>
      <c r="AQ75" s="8">
        <f t="shared" ref="AQ75:AQ106" si="172">marza_TOS+Y75</f>
        <v>3.9100000000000003E-2</v>
      </c>
      <c r="AR75" s="2">
        <f t="shared" si="113"/>
        <v>0</v>
      </c>
      <c r="AS75" s="2">
        <f t="shared" ref="AS75:AS106" si="173">SUM(AI75:AK75)*koszt_wczesniejszy_wykup_TOS</f>
        <v>0</v>
      </c>
      <c r="AT75" s="2">
        <f t="shared" si="39"/>
        <v>0</v>
      </c>
      <c r="AU75" s="2">
        <f t="shared" si="92"/>
        <v>0</v>
      </c>
      <c r="AV75" s="2">
        <f t="shared" si="82"/>
        <v>68.549759999979869</v>
      </c>
      <c r="AW75" s="1">
        <f t="shared" si="158"/>
        <v>0</v>
      </c>
      <c r="AX75" s="2">
        <f t="shared" si="125"/>
        <v>68.549759999979869</v>
      </c>
      <c r="AY75" s="1">
        <f t="shared" si="83"/>
        <v>0</v>
      </c>
      <c r="AZ75" s="2">
        <f t="shared" si="40"/>
        <v>68.549759999979869</v>
      </c>
      <c r="BA75" s="2">
        <f t="shared" si="93"/>
        <v>122257.16135999998</v>
      </c>
      <c r="BB75" s="2">
        <f t="shared" si="126"/>
        <v>0</v>
      </c>
      <c r="BC75" s="2">
        <f t="shared" si="41"/>
        <v>509.96788430399999</v>
      </c>
      <c r="BD75" s="2">
        <f t="shared" si="10"/>
        <v>121747.19347569598</v>
      </c>
      <c r="BE75" s="2">
        <f t="shared" si="42"/>
        <v>1133</v>
      </c>
      <c r="BF75" s="2">
        <f t="shared" si="11"/>
        <v>4013.5906583999968</v>
      </c>
      <c r="BG75" s="2">
        <f t="shared" si="12"/>
        <v>116600.60281729599</v>
      </c>
      <c r="BI75" s="8">
        <f t="shared" si="162"/>
        <v>3.1E-2</v>
      </c>
      <c r="BJ75" s="5">
        <f t="shared" si="148"/>
        <v>1047</v>
      </c>
      <c r="BK75" s="2">
        <f t="shared" si="149"/>
        <v>104595.3</v>
      </c>
      <c r="BL75" s="2">
        <f t="shared" si="150"/>
        <v>104700</v>
      </c>
      <c r="BM75" s="2">
        <f t="shared" si="127"/>
        <v>104700</v>
      </c>
      <c r="BN75" s="8">
        <f t="shared" si="128"/>
        <v>4.7500000000000001E-2</v>
      </c>
      <c r="BO75" s="2">
        <f t="shared" si="129"/>
        <v>108429.9375</v>
      </c>
      <c r="BP75" s="2" t="str">
        <f t="shared" si="130"/>
        <v>nie</v>
      </c>
      <c r="BQ75" s="2">
        <f t="shared" si="131"/>
        <v>2094</v>
      </c>
      <c r="BR75" s="1">
        <f t="shared" si="163"/>
        <v>7</v>
      </c>
      <c r="BS75" s="1">
        <f t="shared" ref="BS75:BS106" si="174">IF(zapadalnosc_COI/12&gt;=BS$18,BR63,0)</f>
        <v>51</v>
      </c>
      <c r="BT75" s="1">
        <f t="shared" si="156"/>
        <v>48</v>
      </c>
      <c r="BU75" s="1">
        <f t="shared" si="167"/>
        <v>47</v>
      </c>
      <c r="BV75" s="2">
        <f t="shared" si="94"/>
        <v>700</v>
      </c>
      <c r="BW75" s="8">
        <f t="shared" si="164"/>
        <v>4.7500000000000001E-2</v>
      </c>
      <c r="BX75" s="2">
        <f t="shared" si="95"/>
        <v>724.9375</v>
      </c>
      <c r="BY75" s="2">
        <f t="shared" si="165"/>
        <v>14</v>
      </c>
      <c r="BZ75" s="2">
        <f t="shared" si="120"/>
        <v>14600</v>
      </c>
      <c r="CA75" s="8">
        <f t="shared" ref="CA75:CA106" si="175">marza_COI+BI75</f>
        <v>4.5999999999999999E-2</v>
      </c>
      <c r="CB75" s="2">
        <f t="shared" si="117"/>
        <v>15103.699999999999</v>
      </c>
      <c r="CC75" s="2">
        <f t="shared" ref="CC75:CC106" si="176">SUM(BS75:BU75)*koszt_wczesniejszy_wykup_COI</f>
        <v>292</v>
      </c>
      <c r="CD75" s="2">
        <f t="shared" si="132"/>
        <v>0</v>
      </c>
      <c r="CE75" s="2">
        <f t="shared" si="96"/>
        <v>0</v>
      </c>
      <c r="CF75" s="2">
        <f t="shared" si="97"/>
        <v>1.4000000000132786</v>
      </c>
      <c r="CG75" s="1">
        <f t="shared" si="159"/>
        <v>0</v>
      </c>
      <c r="CH75" s="2">
        <f t="shared" si="133"/>
        <v>1.4000000000132786</v>
      </c>
      <c r="CI75" s="1">
        <f t="shared" si="89"/>
        <v>0</v>
      </c>
      <c r="CJ75" s="2">
        <f t="shared" si="98"/>
        <v>1.4000000000132786</v>
      </c>
      <c r="CK75" s="2">
        <f t="shared" si="99"/>
        <v>124259.97500000001</v>
      </c>
      <c r="CL75" s="2">
        <f t="shared" si="134"/>
        <v>0</v>
      </c>
      <c r="CM75" s="2">
        <f t="shared" si="47"/>
        <v>515.0987550000001</v>
      </c>
      <c r="CN75" s="2">
        <f t="shared" si="135"/>
        <v>123744.87624500001</v>
      </c>
      <c r="CO75" s="2">
        <f t="shared" si="48"/>
        <v>2400</v>
      </c>
      <c r="CP75" s="2">
        <f t="shared" si="136"/>
        <v>4153.3952500000014</v>
      </c>
      <c r="CQ75" s="2">
        <f t="shared" si="137"/>
        <v>117191.48099500001</v>
      </c>
      <c r="CS75" s="5">
        <f t="shared" si="151"/>
        <v>1000</v>
      </c>
      <c r="CT75" s="2">
        <f t="shared" si="152"/>
        <v>100000</v>
      </c>
      <c r="CU75" s="2">
        <f t="shared" si="153"/>
        <v>100000</v>
      </c>
      <c r="CV75" s="2">
        <f t="shared" si="154"/>
        <v>122304.57083284999</v>
      </c>
      <c r="CW75" s="8">
        <f t="shared" si="138"/>
        <v>5.1000000000000004E-2</v>
      </c>
      <c r="CX75" s="2">
        <f t="shared" si="139"/>
        <v>126982.72066720649</v>
      </c>
      <c r="CY75" s="2" t="str">
        <f t="shared" si="140"/>
        <v>nie</v>
      </c>
      <c r="CZ75" s="2">
        <f t="shared" si="53"/>
        <v>0</v>
      </c>
      <c r="DA75" s="2">
        <f t="shared" si="54"/>
        <v>0</v>
      </c>
      <c r="DB75" s="2">
        <f t="shared" si="55"/>
        <v>126982.72066720649</v>
      </c>
      <c r="DC75" s="2">
        <f t="shared" si="141"/>
        <v>0</v>
      </c>
      <c r="DD75" s="2">
        <f t="shared" si="56"/>
        <v>522.93753219098994</v>
      </c>
      <c r="DE75" s="2">
        <f t="shared" si="57"/>
        <v>126459.7831350155</v>
      </c>
      <c r="DF75" s="2">
        <f t="shared" si="142"/>
        <v>3000</v>
      </c>
      <c r="DG75" s="2">
        <f t="shared" si="143"/>
        <v>4556.7169267692334</v>
      </c>
      <c r="DH75" s="2">
        <f t="shared" si="58"/>
        <v>118903.06620824627</v>
      </c>
    </row>
    <row r="76" spans="2:115">
      <c r="B76" s="232"/>
      <c r="C76" s="1">
        <f t="shared" si="168"/>
        <v>39</v>
      </c>
      <c r="D76" s="2">
        <f t="shared" si="105"/>
        <v>114270.57712535997</v>
      </c>
      <c r="E76" s="2">
        <f t="shared" si="106"/>
        <v>110576.02567095998</v>
      </c>
      <c r="F76" s="2">
        <f t="shared" si="107"/>
        <v>115590.01912500001</v>
      </c>
      <c r="G76" s="2">
        <f t="shared" si="108"/>
        <v>110738.98362500001</v>
      </c>
      <c r="H76" s="2">
        <f t="shared" si="109"/>
        <v>117501.71808768749</v>
      </c>
      <c r="I76" s="2">
        <f t="shared" si="110"/>
        <v>111679.56653575212</v>
      </c>
      <c r="J76" s="2">
        <f t="shared" si="169"/>
        <v>109927.95829388585</v>
      </c>
      <c r="K76" s="2">
        <f t="shared" si="170"/>
        <v>110440.61151302497</v>
      </c>
      <c r="W76" s="1">
        <f t="shared" si="144"/>
        <v>58</v>
      </c>
      <c r="X76" s="2">
        <f t="shared" si="121"/>
        <v>115907.48114486256</v>
      </c>
      <c r="Y76" s="8">
        <f t="shared" si="157"/>
        <v>3.9100000000000003E-2</v>
      </c>
      <c r="Z76" s="5">
        <f t="shared" si="145"/>
        <v>1133</v>
      </c>
      <c r="AA76" s="2">
        <f t="shared" si="146"/>
        <v>113186.70000000001</v>
      </c>
      <c r="AB76" s="2">
        <f t="shared" si="37"/>
        <v>113300</v>
      </c>
      <c r="AC76" s="2">
        <f t="shared" si="147"/>
        <v>118285.20000000001</v>
      </c>
      <c r="AD76" s="8">
        <f t="shared" si="122"/>
        <v>4.3999999999999997E-2</v>
      </c>
      <c r="AE76" s="2">
        <f t="shared" si="2"/>
        <v>122622.32400000001</v>
      </c>
      <c r="AF76" s="2" t="str">
        <f t="shared" si="123"/>
        <v>nie</v>
      </c>
      <c r="AG76" s="2">
        <f t="shared" si="124"/>
        <v>1133</v>
      </c>
      <c r="AH76" s="1">
        <f t="shared" si="79"/>
        <v>0</v>
      </c>
      <c r="AI76" s="1">
        <f t="shared" si="171"/>
        <v>0</v>
      </c>
      <c r="AJ76" s="1">
        <f t="shared" si="155"/>
        <v>0</v>
      </c>
      <c r="AK76" s="1">
        <f t="shared" si="166"/>
        <v>0</v>
      </c>
      <c r="AL76" s="2">
        <f t="shared" si="90"/>
        <v>0</v>
      </c>
      <c r="AM76" s="8">
        <f t="shared" si="160"/>
        <v>4.3999999999999997E-2</v>
      </c>
      <c r="AN76" s="2">
        <f t="shared" si="91"/>
        <v>0</v>
      </c>
      <c r="AO76" s="2">
        <f t="shared" si="161"/>
        <v>0</v>
      </c>
      <c r="AP76" s="2">
        <f t="shared" si="119"/>
        <v>0</v>
      </c>
      <c r="AQ76" s="8">
        <f t="shared" si="172"/>
        <v>3.9100000000000003E-2</v>
      </c>
      <c r="AR76" s="2">
        <f t="shared" si="113"/>
        <v>0</v>
      </c>
      <c r="AS76" s="2">
        <f t="shared" si="173"/>
        <v>0</v>
      </c>
      <c r="AT76" s="2">
        <f t="shared" si="39"/>
        <v>0</v>
      </c>
      <c r="AU76" s="2">
        <f t="shared" si="92"/>
        <v>0</v>
      </c>
      <c r="AV76" s="2">
        <f t="shared" si="82"/>
        <v>68.549759999979869</v>
      </c>
      <c r="AW76" s="1">
        <f t="shared" si="158"/>
        <v>0</v>
      </c>
      <c r="AX76" s="2">
        <f t="shared" si="125"/>
        <v>68.549759999979869</v>
      </c>
      <c r="AY76" s="1">
        <f t="shared" si="83"/>
        <v>0</v>
      </c>
      <c r="AZ76" s="2">
        <f t="shared" si="40"/>
        <v>68.549759999979869</v>
      </c>
      <c r="BA76" s="2">
        <f t="shared" si="93"/>
        <v>122690.87375999999</v>
      </c>
      <c r="BB76" s="2">
        <f t="shared" si="126"/>
        <v>0</v>
      </c>
      <c r="BC76" s="2">
        <f t="shared" si="41"/>
        <v>509.96788430399999</v>
      </c>
      <c r="BD76" s="2">
        <f t="shared" si="10"/>
        <v>122180.90587569599</v>
      </c>
      <c r="BE76" s="2">
        <f t="shared" si="42"/>
        <v>1133</v>
      </c>
      <c r="BF76" s="2">
        <f t="shared" si="11"/>
        <v>4095.9960143999979</v>
      </c>
      <c r="BG76" s="2">
        <f t="shared" si="12"/>
        <v>116951.90986129599</v>
      </c>
      <c r="BI76" s="8">
        <f t="shared" si="162"/>
        <v>3.1E-2</v>
      </c>
      <c r="BJ76" s="5">
        <f t="shared" si="148"/>
        <v>1047</v>
      </c>
      <c r="BK76" s="2">
        <f t="shared" si="149"/>
        <v>104595.3</v>
      </c>
      <c r="BL76" s="2">
        <f t="shared" si="150"/>
        <v>104700</v>
      </c>
      <c r="BM76" s="2">
        <f t="shared" si="127"/>
        <v>104700</v>
      </c>
      <c r="BN76" s="8">
        <f t="shared" si="128"/>
        <v>4.7500000000000001E-2</v>
      </c>
      <c r="BO76" s="2">
        <f t="shared" si="129"/>
        <v>108844.375</v>
      </c>
      <c r="BP76" s="2" t="str">
        <f t="shared" si="130"/>
        <v>nie</v>
      </c>
      <c r="BQ76" s="2">
        <f t="shared" si="131"/>
        <v>2094</v>
      </c>
      <c r="BR76" s="1">
        <f t="shared" si="163"/>
        <v>7</v>
      </c>
      <c r="BS76" s="1">
        <f t="shared" si="174"/>
        <v>51</v>
      </c>
      <c r="BT76" s="1">
        <f t="shared" si="156"/>
        <v>48</v>
      </c>
      <c r="BU76" s="1">
        <f t="shared" si="167"/>
        <v>47</v>
      </c>
      <c r="BV76" s="2">
        <f t="shared" si="94"/>
        <v>700</v>
      </c>
      <c r="BW76" s="8">
        <f t="shared" si="164"/>
        <v>4.7500000000000001E-2</v>
      </c>
      <c r="BX76" s="2">
        <f t="shared" si="95"/>
        <v>727.70833333333326</v>
      </c>
      <c r="BY76" s="2">
        <f t="shared" si="165"/>
        <v>14</v>
      </c>
      <c r="BZ76" s="2">
        <f t="shared" si="120"/>
        <v>14600</v>
      </c>
      <c r="CA76" s="8">
        <f t="shared" si="175"/>
        <v>4.5999999999999999E-2</v>
      </c>
      <c r="CB76" s="2">
        <f t="shared" si="117"/>
        <v>15159.666666666666</v>
      </c>
      <c r="CC76" s="2">
        <f t="shared" si="176"/>
        <v>292</v>
      </c>
      <c r="CD76" s="2">
        <f t="shared" si="132"/>
        <v>0</v>
      </c>
      <c r="CE76" s="2">
        <f t="shared" si="96"/>
        <v>0</v>
      </c>
      <c r="CF76" s="2">
        <f t="shared" si="97"/>
        <v>1.4000000000132786</v>
      </c>
      <c r="CG76" s="1">
        <f t="shared" si="159"/>
        <v>0</v>
      </c>
      <c r="CH76" s="2">
        <f t="shared" si="133"/>
        <v>1.4000000000132786</v>
      </c>
      <c r="CI76" s="1">
        <f t="shared" si="89"/>
        <v>0</v>
      </c>
      <c r="CJ76" s="2">
        <f t="shared" si="98"/>
        <v>1.4000000000132786</v>
      </c>
      <c r="CK76" s="2">
        <f t="shared" si="99"/>
        <v>124733.15000000001</v>
      </c>
      <c r="CL76" s="2">
        <f t="shared" si="134"/>
        <v>0</v>
      </c>
      <c r="CM76" s="2">
        <f t="shared" si="47"/>
        <v>515.0987550000001</v>
      </c>
      <c r="CN76" s="2">
        <f t="shared" si="135"/>
        <v>124218.05124500001</v>
      </c>
      <c r="CO76" s="2">
        <f t="shared" si="48"/>
        <v>2400</v>
      </c>
      <c r="CP76" s="2">
        <f t="shared" si="136"/>
        <v>4243.2985000000017</v>
      </c>
      <c r="CQ76" s="2">
        <f t="shared" si="137"/>
        <v>117574.75274500001</v>
      </c>
      <c r="CS76" s="5">
        <f t="shared" si="151"/>
        <v>1000</v>
      </c>
      <c r="CT76" s="2">
        <f t="shared" si="152"/>
        <v>100000</v>
      </c>
      <c r="CU76" s="2">
        <f t="shared" si="153"/>
        <v>100000</v>
      </c>
      <c r="CV76" s="2">
        <f t="shared" si="154"/>
        <v>122304.57083284999</v>
      </c>
      <c r="CW76" s="8">
        <f t="shared" si="138"/>
        <v>5.1000000000000004E-2</v>
      </c>
      <c r="CX76" s="2">
        <f t="shared" si="139"/>
        <v>127502.51509324611</v>
      </c>
      <c r="CY76" s="2" t="str">
        <f t="shared" si="140"/>
        <v>nie</v>
      </c>
      <c r="CZ76" s="2">
        <f t="shared" si="53"/>
        <v>0</v>
      </c>
      <c r="DA76" s="2">
        <f t="shared" si="54"/>
        <v>0</v>
      </c>
      <c r="DB76" s="2">
        <f t="shared" si="55"/>
        <v>127502.51509324611</v>
      </c>
      <c r="DC76" s="2">
        <f t="shared" si="141"/>
        <v>0</v>
      </c>
      <c r="DD76" s="2">
        <f t="shared" si="56"/>
        <v>522.93753219098994</v>
      </c>
      <c r="DE76" s="2">
        <f t="shared" si="57"/>
        <v>126979.57756105512</v>
      </c>
      <c r="DF76" s="2">
        <f t="shared" si="142"/>
        <v>3000</v>
      </c>
      <c r="DG76" s="2">
        <f t="shared" si="143"/>
        <v>4655.4778677167615</v>
      </c>
      <c r="DH76" s="2">
        <f t="shared" si="58"/>
        <v>119324.09969333836</v>
      </c>
    </row>
    <row r="77" spans="2:115">
      <c r="B77" s="232"/>
      <c r="C77" s="1">
        <f t="shared" si="168"/>
        <v>40</v>
      </c>
      <c r="D77" s="2">
        <f t="shared" si="105"/>
        <v>114686.0104586933</v>
      </c>
      <c r="E77" s="2">
        <f t="shared" si="106"/>
        <v>110912.52667095997</v>
      </c>
      <c r="F77" s="2">
        <f t="shared" si="107"/>
        <v>116029.95662500002</v>
      </c>
      <c r="G77" s="2">
        <f t="shared" si="108"/>
        <v>111078.98112500002</v>
      </c>
      <c r="H77" s="2">
        <f t="shared" si="109"/>
        <v>117996.28937792499</v>
      </c>
      <c r="I77" s="2">
        <f t="shared" si="110"/>
        <v>112080.16928084449</v>
      </c>
      <c r="J77" s="2">
        <f t="shared" si="169"/>
        <v>110195.08323253998</v>
      </c>
      <c r="K77" s="2">
        <f t="shared" si="170"/>
        <v>110723.72231736663</v>
      </c>
      <c r="W77" s="1">
        <f t="shared" si="144"/>
        <v>59</v>
      </c>
      <c r="X77" s="2">
        <f t="shared" si="121"/>
        <v>116199.36838413883</v>
      </c>
      <c r="Y77" s="8">
        <f t="shared" si="157"/>
        <v>3.9100000000000003E-2</v>
      </c>
      <c r="Z77" s="5">
        <f t="shared" si="145"/>
        <v>1133</v>
      </c>
      <c r="AA77" s="2">
        <f t="shared" si="146"/>
        <v>113186.70000000001</v>
      </c>
      <c r="AB77" s="2">
        <f t="shared" si="37"/>
        <v>113300</v>
      </c>
      <c r="AC77" s="2">
        <f t="shared" si="147"/>
        <v>118285.20000000001</v>
      </c>
      <c r="AD77" s="8">
        <f t="shared" si="122"/>
        <v>4.3999999999999997E-2</v>
      </c>
      <c r="AE77" s="2">
        <f t="shared" si="2"/>
        <v>123056.03640000001</v>
      </c>
      <c r="AF77" s="2" t="str">
        <f t="shared" si="123"/>
        <v>nie</v>
      </c>
      <c r="AG77" s="2">
        <f t="shared" si="124"/>
        <v>1133</v>
      </c>
      <c r="AH77" s="1">
        <f t="shared" si="79"/>
        <v>0</v>
      </c>
      <c r="AI77" s="1">
        <f t="shared" si="171"/>
        <v>0</v>
      </c>
      <c r="AJ77" s="1">
        <f t="shared" si="155"/>
        <v>0</v>
      </c>
      <c r="AK77" s="1">
        <f t="shared" si="166"/>
        <v>0</v>
      </c>
      <c r="AL77" s="2">
        <f t="shared" si="90"/>
        <v>0</v>
      </c>
      <c r="AM77" s="8">
        <f t="shared" si="160"/>
        <v>4.3999999999999997E-2</v>
      </c>
      <c r="AN77" s="2">
        <f t="shared" si="91"/>
        <v>0</v>
      </c>
      <c r="AO77" s="2">
        <f t="shared" si="161"/>
        <v>0</v>
      </c>
      <c r="AP77" s="2">
        <f t="shared" si="119"/>
        <v>0</v>
      </c>
      <c r="AQ77" s="8">
        <f t="shared" si="172"/>
        <v>3.9100000000000003E-2</v>
      </c>
      <c r="AR77" s="2">
        <f t="shared" si="113"/>
        <v>0</v>
      </c>
      <c r="AS77" s="2">
        <f t="shared" si="173"/>
        <v>0</v>
      </c>
      <c r="AT77" s="2">
        <f t="shared" si="39"/>
        <v>0</v>
      </c>
      <c r="AU77" s="2">
        <f t="shared" si="92"/>
        <v>0</v>
      </c>
      <c r="AV77" s="2">
        <f t="shared" si="82"/>
        <v>68.549759999979869</v>
      </c>
      <c r="AW77" s="1">
        <f t="shared" si="158"/>
        <v>0</v>
      </c>
      <c r="AX77" s="2">
        <f t="shared" si="125"/>
        <v>68.549759999979869</v>
      </c>
      <c r="AY77" s="1">
        <f t="shared" si="83"/>
        <v>0</v>
      </c>
      <c r="AZ77" s="2">
        <f t="shared" si="40"/>
        <v>68.549759999979869</v>
      </c>
      <c r="BA77" s="2">
        <f t="shared" si="93"/>
        <v>123124.58615999999</v>
      </c>
      <c r="BB77" s="2">
        <f t="shared" si="126"/>
        <v>0</v>
      </c>
      <c r="BC77" s="2">
        <f t="shared" si="41"/>
        <v>509.96788430399999</v>
      </c>
      <c r="BD77" s="2">
        <f t="shared" si="10"/>
        <v>122614.61827569599</v>
      </c>
      <c r="BE77" s="2">
        <f t="shared" si="42"/>
        <v>1133</v>
      </c>
      <c r="BF77" s="2">
        <f t="shared" si="11"/>
        <v>4178.4013703999981</v>
      </c>
      <c r="BG77" s="2">
        <f t="shared" si="12"/>
        <v>117303.21690529599</v>
      </c>
      <c r="BI77" s="8">
        <f t="shared" si="162"/>
        <v>3.1E-2</v>
      </c>
      <c r="BJ77" s="5">
        <f t="shared" si="148"/>
        <v>1047</v>
      </c>
      <c r="BK77" s="2">
        <f t="shared" si="149"/>
        <v>104595.3</v>
      </c>
      <c r="BL77" s="2">
        <f t="shared" si="150"/>
        <v>104700</v>
      </c>
      <c r="BM77" s="2">
        <f t="shared" si="127"/>
        <v>104700</v>
      </c>
      <c r="BN77" s="8">
        <f t="shared" si="128"/>
        <v>4.7500000000000001E-2</v>
      </c>
      <c r="BO77" s="2">
        <f t="shared" si="129"/>
        <v>109258.81249999999</v>
      </c>
      <c r="BP77" s="2" t="str">
        <f t="shared" si="130"/>
        <v>nie</v>
      </c>
      <c r="BQ77" s="2">
        <f t="shared" si="131"/>
        <v>2094</v>
      </c>
      <c r="BR77" s="1">
        <f t="shared" si="163"/>
        <v>7</v>
      </c>
      <c r="BS77" s="1">
        <f t="shared" si="174"/>
        <v>51</v>
      </c>
      <c r="BT77" s="1">
        <f t="shared" si="156"/>
        <v>48</v>
      </c>
      <c r="BU77" s="1">
        <f t="shared" si="167"/>
        <v>47</v>
      </c>
      <c r="BV77" s="2">
        <f t="shared" si="94"/>
        <v>700</v>
      </c>
      <c r="BW77" s="8">
        <f t="shared" si="164"/>
        <v>4.7500000000000001E-2</v>
      </c>
      <c r="BX77" s="2">
        <f t="shared" si="95"/>
        <v>730.47916666666663</v>
      </c>
      <c r="BY77" s="2">
        <f t="shared" si="165"/>
        <v>14</v>
      </c>
      <c r="BZ77" s="2">
        <f t="shared" si="120"/>
        <v>14600</v>
      </c>
      <c r="CA77" s="8">
        <f t="shared" si="175"/>
        <v>4.5999999999999999E-2</v>
      </c>
      <c r="CB77" s="2">
        <f t="shared" si="117"/>
        <v>15215.633333333333</v>
      </c>
      <c r="CC77" s="2">
        <f t="shared" si="176"/>
        <v>292</v>
      </c>
      <c r="CD77" s="2">
        <f t="shared" si="132"/>
        <v>0</v>
      </c>
      <c r="CE77" s="2">
        <f t="shared" si="96"/>
        <v>0</v>
      </c>
      <c r="CF77" s="2">
        <f t="shared" si="97"/>
        <v>1.4000000000132786</v>
      </c>
      <c r="CG77" s="1">
        <f t="shared" si="159"/>
        <v>0</v>
      </c>
      <c r="CH77" s="2">
        <f t="shared" si="133"/>
        <v>1.4000000000132786</v>
      </c>
      <c r="CI77" s="1">
        <f t="shared" si="89"/>
        <v>0</v>
      </c>
      <c r="CJ77" s="2">
        <f t="shared" si="98"/>
        <v>1.4000000000132786</v>
      </c>
      <c r="CK77" s="2">
        <f t="shared" si="99"/>
        <v>125206.325</v>
      </c>
      <c r="CL77" s="2">
        <f t="shared" si="134"/>
        <v>0</v>
      </c>
      <c r="CM77" s="2">
        <f t="shared" si="47"/>
        <v>515.0987550000001</v>
      </c>
      <c r="CN77" s="2">
        <f t="shared" si="135"/>
        <v>124691.226245</v>
      </c>
      <c r="CO77" s="2">
        <f t="shared" si="48"/>
        <v>2400</v>
      </c>
      <c r="CP77" s="2">
        <f t="shared" si="136"/>
        <v>4333.2017499999993</v>
      </c>
      <c r="CQ77" s="2">
        <f t="shared" si="137"/>
        <v>117958.02449500001</v>
      </c>
      <c r="CS77" s="5">
        <f t="shared" si="151"/>
        <v>1000</v>
      </c>
      <c r="CT77" s="2">
        <f t="shared" si="152"/>
        <v>100000</v>
      </c>
      <c r="CU77" s="2">
        <f t="shared" si="153"/>
        <v>100000</v>
      </c>
      <c r="CV77" s="2">
        <f t="shared" si="154"/>
        <v>122304.57083284999</v>
      </c>
      <c r="CW77" s="8">
        <f t="shared" si="138"/>
        <v>5.1000000000000004E-2</v>
      </c>
      <c r="CX77" s="2">
        <f t="shared" si="139"/>
        <v>128022.30951928573</v>
      </c>
      <c r="CY77" s="2" t="str">
        <f t="shared" si="140"/>
        <v>nie</v>
      </c>
      <c r="CZ77" s="2">
        <f t="shared" si="53"/>
        <v>0</v>
      </c>
      <c r="DA77" s="2">
        <f t="shared" si="54"/>
        <v>0</v>
      </c>
      <c r="DB77" s="2">
        <f t="shared" si="55"/>
        <v>128022.30951928573</v>
      </c>
      <c r="DC77" s="2">
        <f t="shared" si="141"/>
        <v>0</v>
      </c>
      <c r="DD77" s="2">
        <f t="shared" si="56"/>
        <v>522.93753219098994</v>
      </c>
      <c r="DE77" s="2">
        <f t="shared" si="57"/>
        <v>127499.37198709474</v>
      </c>
      <c r="DF77" s="2">
        <f t="shared" si="142"/>
        <v>3000</v>
      </c>
      <c r="DG77" s="2">
        <f t="shared" si="143"/>
        <v>4754.2388086642886</v>
      </c>
      <c r="DH77" s="2">
        <f t="shared" si="58"/>
        <v>119745.13317843045</v>
      </c>
    </row>
    <row r="78" spans="2:115">
      <c r="B78" s="232"/>
      <c r="C78" s="1">
        <f t="shared" si="168"/>
        <v>41</v>
      </c>
      <c r="D78" s="2">
        <f t="shared" si="105"/>
        <v>115101.44379202665</v>
      </c>
      <c r="E78" s="2">
        <f t="shared" si="106"/>
        <v>111249.02767095999</v>
      </c>
      <c r="F78" s="2">
        <f t="shared" si="107"/>
        <v>116469.89412499999</v>
      </c>
      <c r="G78" s="2">
        <f t="shared" si="108"/>
        <v>111418.97862499999</v>
      </c>
      <c r="H78" s="2">
        <f t="shared" si="109"/>
        <v>118490.8606681625</v>
      </c>
      <c r="I78" s="2">
        <f t="shared" si="110"/>
        <v>112480.77202593687</v>
      </c>
      <c r="J78" s="2">
        <f t="shared" si="169"/>
        <v>110462.85728479504</v>
      </c>
      <c r="K78" s="2">
        <f t="shared" si="170"/>
        <v>111006.8331217083</v>
      </c>
      <c r="W78" s="1">
        <f t="shared" si="144"/>
        <v>60</v>
      </c>
      <c r="X78" s="2">
        <f t="shared" si="121"/>
        <v>116491.25562341507</v>
      </c>
      <c r="Y78" s="8">
        <f t="shared" si="157"/>
        <v>3.9100000000000003E-2</v>
      </c>
      <c r="Z78" s="5">
        <f t="shared" si="145"/>
        <v>1133</v>
      </c>
      <c r="AA78" s="2">
        <f t="shared" si="146"/>
        <v>113186.70000000001</v>
      </c>
      <c r="AB78" s="2">
        <f t="shared" si="37"/>
        <v>113300</v>
      </c>
      <c r="AC78" s="2">
        <f t="shared" si="147"/>
        <v>118285.20000000001</v>
      </c>
      <c r="AD78" s="8">
        <f t="shared" si="122"/>
        <v>4.3999999999999997E-2</v>
      </c>
      <c r="AE78" s="2">
        <f t="shared" si="2"/>
        <v>123489.74880000002</v>
      </c>
      <c r="AF78" s="2" t="str">
        <f t="shared" si="123"/>
        <v>nie</v>
      </c>
      <c r="AG78" s="2">
        <f t="shared" si="124"/>
        <v>1133</v>
      </c>
      <c r="AH78" s="1">
        <f t="shared" si="79"/>
        <v>0</v>
      </c>
      <c r="AI78" s="1">
        <f t="shared" si="171"/>
        <v>0</v>
      </c>
      <c r="AJ78" s="1">
        <f t="shared" si="155"/>
        <v>0</v>
      </c>
      <c r="AK78" s="1">
        <f t="shared" si="166"/>
        <v>0</v>
      </c>
      <c r="AL78" s="2">
        <f t="shared" si="90"/>
        <v>0</v>
      </c>
      <c r="AM78" s="8">
        <f t="shared" si="160"/>
        <v>4.3999999999999997E-2</v>
      </c>
      <c r="AN78" s="2">
        <f t="shared" si="91"/>
        <v>0</v>
      </c>
      <c r="AO78" s="2">
        <f t="shared" si="161"/>
        <v>0</v>
      </c>
      <c r="AP78" s="2">
        <f t="shared" si="119"/>
        <v>0</v>
      </c>
      <c r="AQ78" s="8">
        <f t="shared" si="172"/>
        <v>3.9100000000000003E-2</v>
      </c>
      <c r="AR78" s="2">
        <f t="shared" si="113"/>
        <v>0</v>
      </c>
      <c r="AS78" s="2">
        <f t="shared" si="173"/>
        <v>0</v>
      </c>
      <c r="AT78" s="2">
        <f t="shared" si="39"/>
        <v>0</v>
      </c>
      <c r="AU78" s="2">
        <f t="shared" si="92"/>
        <v>0</v>
      </c>
      <c r="AV78" s="2">
        <f t="shared" si="82"/>
        <v>68.549759999979869</v>
      </c>
      <c r="AW78" s="1">
        <f t="shared" si="158"/>
        <v>0</v>
      </c>
      <c r="AX78" s="2">
        <f t="shared" si="125"/>
        <v>68.549759999979869</v>
      </c>
      <c r="AY78" s="1">
        <f t="shared" si="83"/>
        <v>0</v>
      </c>
      <c r="AZ78" s="2">
        <f t="shared" si="40"/>
        <v>68.549759999979869</v>
      </c>
      <c r="BA78" s="2">
        <f t="shared" si="93"/>
        <v>123558.29856</v>
      </c>
      <c r="BB78" s="2">
        <f t="shared" si="126"/>
        <v>160.62578812799998</v>
      </c>
      <c r="BC78" s="2">
        <f t="shared" si="41"/>
        <v>670.59367243199995</v>
      </c>
      <c r="BD78" s="2">
        <f t="shared" si="10"/>
        <v>122887.70488756799</v>
      </c>
      <c r="BE78" s="2">
        <f t="shared" si="42"/>
        <v>1133</v>
      </c>
      <c r="BF78" s="2">
        <f t="shared" si="11"/>
        <v>4260.8067263999992</v>
      </c>
      <c r="BG78" s="2">
        <f t="shared" si="12"/>
        <v>117493.89816116799</v>
      </c>
      <c r="BI78" s="8">
        <f t="shared" si="162"/>
        <v>3.1E-2</v>
      </c>
      <c r="BJ78" s="5">
        <f t="shared" si="148"/>
        <v>1047</v>
      </c>
      <c r="BK78" s="2">
        <f t="shared" si="149"/>
        <v>104595.3</v>
      </c>
      <c r="BL78" s="2">
        <f t="shared" si="150"/>
        <v>104700</v>
      </c>
      <c r="BM78" s="2">
        <f t="shared" si="127"/>
        <v>104700</v>
      </c>
      <c r="BN78" s="8">
        <f t="shared" si="128"/>
        <v>4.7500000000000001E-2</v>
      </c>
      <c r="BO78" s="2">
        <f t="shared" si="129"/>
        <v>109673.25000000001</v>
      </c>
      <c r="BP78" s="2" t="str">
        <f t="shared" si="130"/>
        <v>nie</v>
      </c>
      <c r="BQ78" s="2">
        <f t="shared" si="131"/>
        <v>2094</v>
      </c>
      <c r="BR78" s="1">
        <f t="shared" si="163"/>
        <v>7</v>
      </c>
      <c r="BS78" s="1">
        <f t="shared" si="174"/>
        <v>51</v>
      </c>
      <c r="BT78" s="1">
        <f t="shared" si="156"/>
        <v>48</v>
      </c>
      <c r="BU78" s="1">
        <f t="shared" si="167"/>
        <v>47</v>
      </c>
      <c r="BV78" s="2">
        <f t="shared" si="94"/>
        <v>700</v>
      </c>
      <c r="BW78" s="8">
        <f t="shared" si="164"/>
        <v>4.7500000000000001E-2</v>
      </c>
      <c r="BX78" s="2">
        <f t="shared" si="95"/>
        <v>733.25000000000011</v>
      </c>
      <c r="BY78" s="2">
        <f t="shared" si="165"/>
        <v>14</v>
      </c>
      <c r="BZ78" s="2">
        <f t="shared" si="120"/>
        <v>14600</v>
      </c>
      <c r="CA78" s="8">
        <f t="shared" si="175"/>
        <v>4.5999999999999999E-2</v>
      </c>
      <c r="CB78" s="2">
        <f t="shared" si="117"/>
        <v>15271.6</v>
      </c>
      <c r="CC78" s="2">
        <f t="shared" si="176"/>
        <v>292</v>
      </c>
      <c r="CD78" s="2">
        <f t="shared" si="132"/>
        <v>4973.2500000000146</v>
      </c>
      <c r="CE78" s="2">
        <f t="shared" si="96"/>
        <v>5404.85</v>
      </c>
      <c r="CF78" s="2">
        <f t="shared" si="97"/>
        <v>10379.500000000029</v>
      </c>
      <c r="CG78" s="1">
        <f t="shared" si="159"/>
        <v>47</v>
      </c>
      <c r="CH78" s="2">
        <f t="shared" si="133"/>
        <v>5684.2000000000289</v>
      </c>
      <c r="CI78" s="1">
        <f t="shared" si="89"/>
        <v>56</v>
      </c>
      <c r="CJ78" s="2">
        <f t="shared" si="98"/>
        <v>84.200000000028922</v>
      </c>
      <c r="CK78" s="2">
        <f t="shared" si="99"/>
        <v>125679.50000000003</v>
      </c>
      <c r="CL78" s="2">
        <f t="shared" si="134"/>
        <v>163.38335000000004</v>
      </c>
      <c r="CM78" s="2">
        <f t="shared" si="47"/>
        <v>678.48210500000016</v>
      </c>
      <c r="CN78" s="2">
        <f t="shared" si="135"/>
        <v>125001.01789500003</v>
      </c>
      <c r="CO78" s="2">
        <f t="shared" si="48"/>
        <v>2400</v>
      </c>
      <c r="CP78" s="2">
        <f t="shared" si="136"/>
        <v>4423.1050000000059</v>
      </c>
      <c r="CQ78" s="2">
        <f t="shared" si="137"/>
        <v>118177.91289500002</v>
      </c>
      <c r="CS78" s="5">
        <f t="shared" si="151"/>
        <v>1000</v>
      </c>
      <c r="CT78" s="2">
        <f t="shared" si="152"/>
        <v>100000</v>
      </c>
      <c r="CU78" s="2">
        <f t="shared" si="153"/>
        <v>100000</v>
      </c>
      <c r="CV78" s="2">
        <f t="shared" si="154"/>
        <v>122304.57083284999</v>
      </c>
      <c r="CW78" s="8">
        <f t="shared" si="138"/>
        <v>5.1000000000000004E-2</v>
      </c>
      <c r="CX78" s="2">
        <f t="shared" si="139"/>
        <v>128542.10394532533</v>
      </c>
      <c r="CY78" s="2" t="str">
        <f t="shared" si="140"/>
        <v>nie</v>
      </c>
      <c r="CZ78" s="2">
        <f t="shared" si="53"/>
        <v>0</v>
      </c>
      <c r="DA78" s="2">
        <f t="shared" si="54"/>
        <v>0</v>
      </c>
      <c r="DB78" s="2">
        <f t="shared" si="55"/>
        <v>128542.10394532533</v>
      </c>
      <c r="DC78" s="2">
        <f t="shared" si="141"/>
        <v>167.10473512892293</v>
      </c>
      <c r="DD78" s="2">
        <f t="shared" si="56"/>
        <v>690.04226731991287</v>
      </c>
      <c r="DE78" s="2">
        <f t="shared" si="57"/>
        <v>127852.06167800543</v>
      </c>
      <c r="DF78" s="2">
        <f t="shared" si="142"/>
        <v>3000</v>
      </c>
      <c r="DG78" s="2">
        <f t="shared" si="143"/>
        <v>4852.9997496118131</v>
      </c>
      <c r="DH78" s="2">
        <f t="shared" si="58"/>
        <v>119999.06192839361</v>
      </c>
    </row>
    <row r="79" spans="2:115">
      <c r="B79" s="232"/>
      <c r="C79" s="1">
        <f t="shared" si="168"/>
        <v>42</v>
      </c>
      <c r="D79" s="2">
        <f t="shared" si="105"/>
        <v>115516.87712535998</v>
      </c>
      <c r="E79" s="2">
        <f t="shared" si="106"/>
        <v>111585.52867095999</v>
      </c>
      <c r="F79" s="2">
        <f t="shared" si="107"/>
        <v>116909.83162499999</v>
      </c>
      <c r="G79" s="2">
        <f t="shared" si="108"/>
        <v>111774.46737499999</v>
      </c>
      <c r="H79" s="2">
        <f t="shared" si="109"/>
        <v>118985.4319584</v>
      </c>
      <c r="I79" s="2">
        <f t="shared" si="110"/>
        <v>112881.37477102925</v>
      </c>
      <c r="J79" s="2">
        <f t="shared" si="169"/>
        <v>110731.28202799709</v>
      </c>
      <c r="K79" s="2">
        <f t="shared" si="170"/>
        <v>111289.94392604998</v>
      </c>
      <c r="W79" s="1">
        <f t="shared" si="144"/>
        <v>61</v>
      </c>
      <c r="X79" s="2">
        <f t="shared" si="121"/>
        <v>116792.1913671089</v>
      </c>
      <c r="Y79" s="8">
        <f t="shared" si="157"/>
        <v>3.9100000000000003E-2</v>
      </c>
      <c r="Z79" s="5">
        <f t="shared" si="145"/>
        <v>1133</v>
      </c>
      <c r="AA79" s="2">
        <f t="shared" si="146"/>
        <v>113186.70000000001</v>
      </c>
      <c r="AB79" s="2">
        <f t="shared" si="37"/>
        <v>113300</v>
      </c>
      <c r="AC79" s="2">
        <f t="shared" si="147"/>
        <v>123489.74880000002</v>
      </c>
      <c r="AD79" s="8">
        <f t="shared" si="122"/>
        <v>4.3999999999999997E-2</v>
      </c>
      <c r="AE79" s="2">
        <f t="shared" si="2"/>
        <v>123942.54454560002</v>
      </c>
      <c r="AF79" s="2" t="str">
        <f t="shared" si="123"/>
        <v>nie</v>
      </c>
      <c r="AG79" s="2">
        <f t="shared" si="124"/>
        <v>1133</v>
      </c>
      <c r="AH79" s="1">
        <f t="shared" si="79"/>
        <v>0</v>
      </c>
      <c r="AI79" s="1">
        <f t="shared" si="171"/>
        <v>0</v>
      </c>
      <c r="AJ79" s="1">
        <f t="shared" si="155"/>
        <v>0</v>
      </c>
      <c r="AK79" s="1">
        <f t="shared" si="166"/>
        <v>0</v>
      </c>
      <c r="AL79" s="2">
        <f t="shared" si="90"/>
        <v>0</v>
      </c>
      <c r="AM79" s="8">
        <f t="shared" si="160"/>
        <v>4.3999999999999997E-2</v>
      </c>
      <c r="AN79" s="2">
        <f t="shared" si="91"/>
        <v>0</v>
      </c>
      <c r="AO79" s="2">
        <f t="shared" si="161"/>
        <v>0</v>
      </c>
      <c r="AP79" s="2">
        <f t="shared" si="119"/>
        <v>0</v>
      </c>
      <c r="AQ79" s="8">
        <f t="shared" si="172"/>
        <v>3.9100000000000003E-2</v>
      </c>
      <c r="AR79" s="2">
        <f t="shared" si="113"/>
        <v>0</v>
      </c>
      <c r="AS79" s="2">
        <f t="shared" si="173"/>
        <v>0</v>
      </c>
      <c r="AT79" s="2">
        <f t="shared" si="39"/>
        <v>0</v>
      </c>
      <c r="AU79" s="2">
        <f t="shared" si="92"/>
        <v>0</v>
      </c>
      <c r="AV79" s="2">
        <f t="shared" si="82"/>
        <v>68.549759999979869</v>
      </c>
      <c r="AW79" s="1">
        <f t="shared" si="158"/>
        <v>0</v>
      </c>
      <c r="AX79" s="2">
        <f t="shared" si="125"/>
        <v>68.549759999979869</v>
      </c>
      <c r="AY79" s="1">
        <f t="shared" si="83"/>
        <v>0</v>
      </c>
      <c r="AZ79" s="2">
        <f t="shared" si="40"/>
        <v>68.549759999979869</v>
      </c>
      <c r="BA79" s="2">
        <f t="shared" si="93"/>
        <v>124011.0943056</v>
      </c>
      <c r="BB79" s="2">
        <f t="shared" si="126"/>
        <v>0</v>
      </c>
      <c r="BC79" s="2">
        <f t="shared" si="41"/>
        <v>670.59367243199995</v>
      </c>
      <c r="BD79" s="2">
        <f t="shared" si="10"/>
        <v>123340.50063316799</v>
      </c>
      <c r="BE79" s="2">
        <f t="shared" si="42"/>
        <v>1133</v>
      </c>
      <c r="BF79" s="2">
        <f t="shared" si="11"/>
        <v>4346.8379180639995</v>
      </c>
      <c r="BG79" s="2">
        <f t="shared" si="12"/>
        <v>117860.66271510399</v>
      </c>
      <c r="BI79" s="8">
        <f t="shared" si="162"/>
        <v>3.1E-2</v>
      </c>
      <c r="BJ79" s="5">
        <f t="shared" si="148"/>
        <v>1047</v>
      </c>
      <c r="BK79" s="2">
        <f t="shared" si="149"/>
        <v>104595.3</v>
      </c>
      <c r="BL79" s="2">
        <f t="shared" si="150"/>
        <v>104700</v>
      </c>
      <c r="BM79" s="2">
        <f t="shared" si="127"/>
        <v>104700</v>
      </c>
      <c r="BN79" s="8">
        <f t="shared" si="128"/>
        <v>4.5999999999999999E-2</v>
      </c>
      <c r="BO79" s="2">
        <f t="shared" si="129"/>
        <v>105101.35</v>
      </c>
      <c r="BP79" s="2" t="str">
        <f t="shared" si="130"/>
        <v>nie</v>
      </c>
      <c r="BQ79" s="2">
        <f t="shared" si="131"/>
        <v>2094</v>
      </c>
      <c r="BR79" s="1">
        <f t="shared" si="163"/>
        <v>103</v>
      </c>
      <c r="BS79" s="1">
        <f t="shared" si="174"/>
        <v>7</v>
      </c>
      <c r="BT79" s="1">
        <f t="shared" si="156"/>
        <v>51</v>
      </c>
      <c r="BU79" s="1">
        <f t="shared" si="167"/>
        <v>48</v>
      </c>
      <c r="BV79" s="2">
        <f t="shared" si="94"/>
        <v>10300</v>
      </c>
      <c r="BW79" s="8">
        <f t="shared" si="164"/>
        <v>4.7500000000000001E-2</v>
      </c>
      <c r="BX79" s="2">
        <f t="shared" si="95"/>
        <v>10340.770833333332</v>
      </c>
      <c r="BY79" s="2">
        <f t="shared" si="165"/>
        <v>40.770833333332121</v>
      </c>
      <c r="BZ79" s="2">
        <f t="shared" si="120"/>
        <v>10600</v>
      </c>
      <c r="CA79" s="8">
        <f t="shared" si="175"/>
        <v>4.5999999999999999E-2</v>
      </c>
      <c r="CB79" s="2">
        <f t="shared" si="117"/>
        <v>10640.633333333333</v>
      </c>
      <c r="CC79" s="2">
        <f t="shared" si="176"/>
        <v>212</v>
      </c>
      <c r="CD79" s="2">
        <f t="shared" si="132"/>
        <v>0</v>
      </c>
      <c r="CE79" s="2">
        <f t="shared" si="96"/>
        <v>0</v>
      </c>
      <c r="CF79" s="2">
        <f t="shared" si="97"/>
        <v>84.200000000028922</v>
      </c>
      <c r="CG79" s="1">
        <f t="shared" si="159"/>
        <v>0</v>
      </c>
      <c r="CH79" s="2">
        <f t="shared" si="133"/>
        <v>84.200000000028922</v>
      </c>
      <c r="CI79" s="1">
        <f t="shared" si="89"/>
        <v>0</v>
      </c>
      <c r="CJ79" s="2">
        <f t="shared" si="98"/>
        <v>84.200000000028922</v>
      </c>
      <c r="CK79" s="2">
        <f t="shared" si="99"/>
        <v>126166.95416666669</v>
      </c>
      <c r="CL79" s="2">
        <f t="shared" si="134"/>
        <v>0</v>
      </c>
      <c r="CM79" s="2">
        <f t="shared" si="47"/>
        <v>678.48210500000016</v>
      </c>
      <c r="CN79" s="2">
        <f t="shared" si="135"/>
        <v>125488.47206166669</v>
      </c>
      <c r="CO79" s="2">
        <f t="shared" si="48"/>
        <v>2346.7708333333321</v>
      </c>
      <c r="CP79" s="2">
        <f t="shared" si="136"/>
        <v>4525.8348333333388</v>
      </c>
      <c r="CQ79" s="2">
        <f t="shared" si="137"/>
        <v>118615.86639500002</v>
      </c>
      <c r="CS79" s="5">
        <f t="shared" si="151"/>
        <v>1000</v>
      </c>
      <c r="CT79" s="2">
        <f t="shared" si="152"/>
        <v>100000</v>
      </c>
      <c r="CU79" s="2">
        <f t="shared" si="153"/>
        <v>100000</v>
      </c>
      <c r="CV79" s="2">
        <f t="shared" si="154"/>
        <v>128542.10394532533</v>
      </c>
      <c r="CW79" s="8">
        <f t="shared" si="138"/>
        <v>5.1000000000000004E-2</v>
      </c>
      <c r="CX79" s="2">
        <f t="shared" si="139"/>
        <v>129088.40788709298</v>
      </c>
      <c r="CY79" s="2" t="str">
        <f t="shared" si="140"/>
        <v>nie</v>
      </c>
      <c r="CZ79" s="2">
        <f t="shared" si="53"/>
        <v>0</v>
      </c>
      <c r="DA79" s="2">
        <f t="shared" si="54"/>
        <v>0</v>
      </c>
      <c r="DB79" s="2">
        <f t="shared" si="55"/>
        <v>129088.40788709298</v>
      </c>
      <c r="DC79" s="2">
        <f t="shared" si="141"/>
        <v>0</v>
      </c>
      <c r="DD79" s="2">
        <f t="shared" si="56"/>
        <v>690.04226731991287</v>
      </c>
      <c r="DE79" s="2">
        <f t="shared" si="57"/>
        <v>128398.36561977307</v>
      </c>
      <c r="DF79" s="2">
        <f t="shared" si="142"/>
        <v>3000</v>
      </c>
      <c r="DG79" s="2">
        <f t="shared" si="143"/>
        <v>4956.7974985476667</v>
      </c>
      <c r="DH79" s="2">
        <f t="shared" si="58"/>
        <v>120441.56812122541</v>
      </c>
    </row>
    <row r="80" spans="2:115">
      <c r="B80" s="232"/>
      <c r="C80" s="1">
        <f t="shared" si="168"/>
        <v>43</v>
      </c>
      <c r="D80" s="2">
        <f t="shared" si="105"/>
        <v>115932.31045869332</v>
      </c>
      <c r="E80" s="2">
        <f t="shared" si="106"/>
        <v>111922.02967095999</v>
      </c>
      <c r="F80" s="2">
        <f t="shared" si="107"/>
        <v>117349.76912500001</v>
      </c>
      <c r="G80" s="2">
        <f t="shared" si="108"/>
        <v>112130.81675</v>
      </c>
      <c r="H80" s="2">
        <f t="shared" si="109"/>
        <v>119480.00324863748</v>
      </c>
      <c r="I80" s="2">
        <f t="shared" si="110"/>
        <v>113281.97751612161</v>
      </c>
      <c r="J80" s="2">
        <f t="shared" si="169"/>
        <v>111000.35904332512</v>
      </c>
      <c r="K80" s="2">
        <f t="shared" si="170"/>
        <v>111573.05473039162</v>
      </c>
      <c r="W80" s="1">
        <f t="shared" si="144"/>
        <v>62</v>
      </c>
      <c r="X80" s="2">
        <f t="shared" si="121"/>
        <v>117093.12711080273</v>
      </c>
      <c r="Y80" s="8">
        <f t="shared" si="157"/>
        <v>3.9100000000000003E-2</v>
      </c>
      <c r="Z80" s="5">
        <f t="shared" si="145"/>
        <v>1133</v>
      </c>
      <c r="AA80" s="2">
        <f t="shared" si="146"/>
        <v>113186.70000000001</v>
      </c>
      <c r="AB80" s="2">
        <f t="shared" si="37"/>
        <v>113300</v>
      </c>
      <c r="AC80" s="2">
        <f t="shared" si="147"/>
        <v>123489.74880000002</v>
      </c>
      <c r="AD80" s="8">
        <f t="shared" si="122"/>
        <v>4.3999999999999997E-2</v>
      </c>
      <c r="AE80" s="2">
        <f t="shared" si="2"/>
        <v>124395.34029120003</v>
      </c>
      <c r="AF80" s="2" t="str">
        <f t="shared" si="123"/>
        <v>nie</v>
      </c>
      <c r="AG80" s="2">
        <f t="shared" si="124"/>
        <v>1133</v>
      </c>
      <c r="AH80" s="1">
        <f t="shared" si="79"/>
        <v>0</v>
      </c>
      <c r="AI80" s="1">
        <f t="shared" si="171"/>
        <v>0</v>
      </c>
      <c r="AJ80" s="1">
        <f t="shared" si="155"/>
        <v>0</v>
      </c>
      <c r="AK80" s="1">
        <f t="shared" si="166"/>
        <v>0</v>
      </c>
      <c r="AL80" s="2">
        <f t="shared" si="90"/>
        <v>0</v>
      </c>
      <c r="AM80" s="8">
        <f t="shared" si="160"/>
        <v>4.3999999999999997E-2</v>
      </c>
      <c r="AN80" s="2">
        <f t="shared" si="91"/>
        <v>0</v>
      </c>
      <c r="AO80" s="2">
        <f t="shared" si="161"/>
        <v>0</v>
      </c>
      <c r="AP80" s="2">
        <f t="shared" si="119"/>
        <v>0</v>
      </c>
      <c r="AQ80" s="8">
        <f t="shared" si="172"/>
        <v>3.9100000000000003E-2</v>
      </c>
      <c r="AR80" s="2">
        <f t="shared" si="113"/>
        <v>0</v>
      </c>
      <c r="AS80" s="2">
        <f t="shared" si="173"/>
        <v>0</v>
      </c>
      <c r="AT80" s="2">
        <f t="shared" si="39"/>
        <v>0</v>
      </c>
      <c r="AU80" s="2">
        <f t="shared" si="92"/>
        <v>0</v>
      </c>
      <c r="AV80" s="2">
        <f t="shared" si="82"/>
        <v>68.549759999979869</v>
      </c>
      <c r="AW80" s="1">
        <f t="shared" si="158"/>
        <v>0</v>
      </c>
      <c r="AX80" s="2">
        <f t="shared" si="125"/>
        <v>68.549759999979869</v>
      </c>
      <c r="AY80" s="1">
        <f t="shared" si="83"/>
        <v>0</v>
      </c>
      <c r="AZ80" s="2">
        <f t="shared" si="40"/>
        <v>68.549759999979869</v>
      </c>
      <c r="BA80" s="2">
        <f t="shared" si="93"/>
        <v>124463.89005120001</v>
      </c>
      <c r="BB80" s="2">
        <f t="shared" si="126"/>
        <v>0</v>
      </c>
      <c r="BC80" s="2">
        <f t="shared" si="41"/>
        <v>670.59367243199995</v>
      </c>
      <c r="BD80" s="2">
        <f t="shared" si="10"/>
        <v>123793.29637876801</v>
      </c>
      <c r="BE80" s="2">
        <f t="shared" si="42"/>
        <v>1133</v>
      </c>
      <c r="BF80" s="2">
        <f t="shared" si="11"/>
        <v>4432.8691097280025</v>
      </c>
      <c r="BG80" s="2">
        <f t="shared" si="12"/>
        <v>118227.42726904</v>
      </c>
      <c r="BI80" s="8">
        <f t="shared" si="162"/>
        <v>3.1E-2</v>
      </c>
      <c r="BJ80" s="5">
        <f t="shared" si="148"/>
        <v>1047</v>
      </c>
      <c r="BK80" s="2">
        <f t="shared" si="149"/>
        <v>104595.3</v>
      </c>
      <c r="BL80" s="2">
        <f t="shared" si="150"/>
        <v>104700</v>
      </c>
      <c r="BM80" s="2">
        <f t="shared" si="127"/>
        <v>104700</v>
      </c>
      <c r="BN80" s="8">
        <f t="shared" si="128"/>
        <v>4.5999999999999999E-2</v>
      </c>
      <c r="BO80" s="2">
        <f t="shared" si="129"/>
        <v>105502.70000000001</v>
      </c>
      <c r="BP80" s="2" t="str">
        <f t="shared" si="130"/>
        <v>nie</v>
      </c>
      <c r="BQ80" s="2">
        <f t="shared" si="131"/>
        <v>2094</v>
      </c>
      <c r="BR80" s="1">
        <f t="shared" si="163"/>
        <v>103</v>
      </c>
      <c r="BS80" s="1">
        <f t="shared" si="174"/>
        <v>7</v>
      </c>
      <c r="BT80" s="1">
        <f t="shared" si="156"/>
        <v>51</v>
      </c>
      <c r="BU80" s="1">
        <f t="shared" si="167"/>
        <v>48</v>
      </c>
      <c r="BV80" s="2">
        <f t="shared" si="94"/>
        <v>10300</v>
      </c>
      <c r="BW80" s="8">
        <f t="shared" si="164"/>
        <v>4.7500000000000001E-2</v>
      </c>
      <c r="BX80" s="2">
        <f t="shared" si="95"/>
        <v>10381.541666666666</v>
      </c>
      <c r="BY80" s="2">
        <f t="shared" si="165"/>
        <v>81.54166666666606</v>
      </c>
      <c r="BZ80" s="2">
        <f t="shared" si="120"/>
        <v>10600</v>
      </c>
      <c r="CA80" s="8">
        <f t="shared" si="175"/>
        <v>4.5999999999999999E-2</v>
      </c>
      <c r="CB80" s="2">
        <f t="shared" si="117"/>
        <v>10681.266666666666</v>
      </c>
      <c r="CC80" s="2">
        <f t="shared" si="176"/>
        <v>212</v>
      </c>
      <c r="CD80" s="2">
        <f t="shared" si="132"/>
        <v>0</v>
      </c>
      <c r="CE80" s="2">
        <f t="shared" si="96"/>
        <v>0</v>
      </c>
      <c r="CF80" s="2">
        <f t="shared" si="97"/>
        <v>84.200000000028922</v>
      </c>
      <c r="CG80" s="1">
        <f t="shared" si="159"/>
        <v>0</v>
      </c>
      <c r="CH80" s="2">
        <f t="shared" si="133"/>
        <v>84.200000000028922</v>
      </c>
      <c r="CI80" s="1">
        <f t="shared" si="89"/>
        <v>0</v>
      </c>
      <c r="CJ80" s="2">
        <f t="shared" si="98"/>
        <v>84.200000000028922</v>
      </c>
      <c r="CK80" s="2">
        <f t="shared" si="99"/>
        <v>126649.70833333337</v>
      </c>
      <c r="CL80" s="2">
        <f t="shared" si="134"/>
        <v>0</v>
      </c>
      <c r="CM80" s="2">
        <f t="shared" si="47"/>
        <v>678.48210500000016</v>
      </c>
      <c r="CN80" s="2">
        <f t="shared" si="135"/>
        <v>125971.22622833337</v>
      </c>
      <c r="CO80" s="2">
        <f t="shared" si="48"/>
        <v>2387.5416666666661</v>
      </c>
      <c r="CP80" s="2">
        <f t="shared" si="136"/>
        <v>4609.8116666666729</v>
      </c>
      <c r="CQ80" s="2">
        <f t="shared" si="137"/>
        <v>118973.87289500002</v>
      </c>
      <c r="CS80" s="5">
        <f t="shared" si="151"/>
        <v>1000</v>
      </c>
      <c r="CT80" s="2">
        <f t="shared" si="152"/>
        <v>100000</v>
      </c>
      <c r="CU80" s="2">
        <f t="shared" si="153"/>
        <v>100000</v>
      </c>
      <c r="CV80" s="2">
        <f t="shared" si="154"/>
        <v>128542.10394532533</v>
      </c>
      <c r="CW80" s="8">
        <f t="shared" si="138"/>
        <v>5.1000000000000004E-2</v>
      </c>
      <c r="CX80" s="2">
        <f t="shared" si="139"/>
        <v>129634.71182886059</v>
      </c>
      <c r="CY80" s="2" t="str">
        <f t="shared" si="140"/>
        <v>nie</v>
      </c>
      <c r="CZ80" s="2">
        <f t="shared" si="53"/>
        <v>0</v>
      </c>
      <c r="DA80" s="2">
        <f t="shared" si="54"/>
        <v>0</v>
      </c>
      <c r="DB80" s="2">
        <f t="shared" si="55"/>
        <v>129634.71182886059</v>
      </c>
      <c r="DC80" s="2">
        <f t="shared" si="141"/>
        <v>0</v>
      </c>
      <c r="DD80" s="2">
        <f t="shared" si="56"/>
        <v>690.04226731991287</v>
      </c>
      <c r="DE80" s="2">
        <f t="shared" si="57"/>
        <v>128944.66956154068</v>
      </c>
      <c r="DF80" s="2">
        <f t="shared" si="142"/>
        <v>3000</v>
      </c>
      <c r="DG80" s="2">
        <f t="shared" si="143"/>
        <v>5060.5952474835112</v>
      </c>
      <c r="DH80" s="2">
        <f t="shared" si="58"/>
        <v>120884.07431405717</v>
      </c>
    </row>
    <row r="81" spans="2:112">
      <c r="B81" s="232"/>
      <c r="C81" s="1">
        <f t="shared" si="168"/>
        <v>44</v>
      </c>
      <c r="D81" s="2">
        <f t="shared" si="105"/>
        <v>116347.74379202665</v>
      </c>
      <c r="E81" s="2">
        <f t="shared" si="106"/>
        <v>112258.53067095998</v>
      </c>
      <c r="F81" s="2">
        <f t="shared" si="107"/>
        <v>117789.70662499999</v>
      </c>
      <c r="G81" s="2">
        <f t="shared" si="108"/>
        <v>112487.16612499999</v>
      </c>
      <c r="H81" s="2">
        <f t="shared" si="109"/>
        <v>119974.57453887499</v>
      </c>
      <c r="I81" s="2">
        <f t="shared" si="110"/>
        <v>113682.580261214</v>
      </c>
      <c r="J81" s="2">
        <f t="shared" si="169"/>
        <v>111270.08991580039</v>
      </c>
      <c r="K81" s="2">
        <f t="shared" si="170"/>
        <v>111856.1655347333</v>
      </c>
      <c r="W81" s="1">
        <f t="shared" si="144"/>
        <v>63</v>
      </c>
      <c r="X81" s="2">
        <f t="shared" si="121"/>
        <v>117394.06285449653</v>
      </c>
      <c r="Y81" s="8">
        <f t="shared" si="157"/>
        <v>3.9100000000000003E-2</v>
      </c>
      <c r="Z81" s="5">
        <f t="shared" si="145"/>
        <v>1133</v>
      </c>
      <c r="AA81" s="2">
        <f t="shared" si="146"/>
        <v>113186.70000000001</v>
      </c>
      <c r="AB81" s="2">
        <f t="shared" si="37"/>
        <v>113300</v>
      </c>
      <c r="AC81" s="2">
        <f t="shared" si="147"/>
        <v>123489.74880000002</v>
      </c>
      <c r="AD81" s="8">
        <f t="shared" si="122"/>
        <v>4.3999999999999997E-2</v>
      </c>
      <c r="AE81" s="2">
        <f t="shared" si="2"/>
        <v>124848.1360368</v>
      </c>
      <c r="AF81" s="2" t="str">
        <f t="shared" si="123"/>
        <v>nie</v>
      </c>
      <c r="AG81" s="2">
        <f t="shared" si="124"/>
        <v>1133</v>
      </c>
      <c r="AH81" s="1">
        <f t="shared" si="79"/>
        <v>0</v>
      </c>
      <c r="AI81" s="1">
        <f t="shared" si="171"/>
        <v>0</v>
      </c>
      <c r="AJ81" s="1">
        <f t="shared" si="155"/>
        <v>0</v>
      </c>
      <c r="AK81" s="1">
        <f t="shared" si="166"/>
        <v>0</v>
      </c>
      <c r="AL81" s="2">
        <f t="shared" si="90"/>
        <v>0</v>
      </c>
      <c r="AM81" s="8">
        <f t="shared" si="160"/>
        <v>4.3999999999999997E-2</v>
      </c>
      <c r="AN81" s="2">
        <f t="shared" si="91"/>
        <v>0</v>
      </c>
      <c r="AO81" s="2">
        <f t="shared" si="161"/>
        <v>0</v>
      </c>
      <c r="AP81" s="2">
        <f t="shared" si="119"/>
        <v>0</v>
      </c>
      <c r="AQ81" s="8">
        <f t="shared" si="172"/>
        <v>3.9100000000000003E-2</v>
      </c>
      <c r="AR81" s="2">
        <f t="shared" si="113"/>
        <v>0</v>
      </c>
      <c r="AS81" s="2">
        <f t="shared" si="173"/>
        <v>0</v>
      </c>
      <c r="AT81" s="2">
        <f t="shared" si="39"/>
        <v>0</v>
      </c>
      <c r="AU81" s="2">
        <f t="shared" si="92"/>
        <v>0</v>
      </c>
      <c r="AV81" s="2">
        <f t="shared" si="82"/>
        <v>68.549759999979869</v>
      </c>
      <c r="AW81" s="1">
        <f t="shared" si="158"/>
        <v>0</v>
      </c>
      <c r="AX81" s="2">
        <f t="shared" si="125"/>
        <v>68.549759999979869</v>
      </c>
      <c r="AY81" s="1">
        <f t="shared" si="83"/>
        <v>0</v>
      </c>
      <c r="AZ81" s="2">
        <f t="shared" si="40"/>
        <v>68.549759999979869</v>
      </c>
      <c r="BA81" s="2">
        <f t="shared" si="93"/>
        <v>124916.68579679998</v>
      </c>
      <c r="BB81" s="2">
        <f t="shared" si="126"/>
        <v>0</v>
      </c>
      <c r="BC81" s="2">
        <f t="shared" si="41"/>
        <v>670.59367243199995</v>
      </c>
      <c r="BD81" s="2">
        <f t="shared" si="10"/>
        <v>124246.09212436798</v>
      </c>
      <c r="BE81" s="2">
        <f t="shared" si="42"/>
        <v>1133</v>
      </c>
      <c r="BF81" s="2">
        <f t="shared" si="11"/>
        <v>4518.9003013919964</v>
      </c>
      <c r="BG81" s="2">
        <f t="shared" si="12"/>
        <v>118594.19182297598</v>
      </c>
      <c r="BI81" s="8">
        <f t="shared" si="162"/>
        <v>3.1E-2</v>
      </c>
      <c r="BJ81" s="5">
        <f t="shared" si="148"/>
        <v>1047</v>
      </c>
      <c r="BK81" s="2">
        <f t="shared" si="149"/>
        <v>104595.3</v>
      </c>
      <c r="BL81" s="2">
        <f t="shared" si="150"/>
        <v>104700</v>
      </c>
      <c r="BM81" s="2">
        <f t="shared" si="127"/>
        <v>104700</v>
      </c>
      <c r="BN81" s="8">
        <f t="shared" si="128"/>
        <v>4.5999999999999999E-2</v>
      </c>
      <c r="BO81" s="2">
        <f t="shared" si="129"/>
        <v>105904.05</v>
      </c>
      <c r="BP81" s="2" t="str">
        <f t="shared" si="130"/>
        <v>nie</v>
      </c>
      <c r="BQ81" s="2">
        <f t="shared" si="131"/>
        <v>2094</v>
      </c>
      <c r="BR81" s="1">
        <f t="shared" si="163"/>
        <v>103</v>
      </c>
      <c r="BS81" s="1">
        <f t="shared" si="174"/>
        <v>7</v>
      </c>
      <c r="BT81" s="1">
        <f t="shared" si="156"/>
        <v>51</v>
      </c>
      <c r="BU81" s="1">
        <f t="shared" si="167"/>
        <v>48</v>
      </c>
      <c r="BV81" s="2">
        <f t="shared" si="94"/>
        <v>10300</v>
      </c>
      <c r="BW81" s="8">
        <f t="shared" si="164"/>
        <v>4.7500000000000001E-2</v>
      </c>
      <c r="BX81" s="2">
        <f t="shared" si="95"/>
        <v>10422.3125</v>
      </c>
      <c r="BY81" s="2">
        <f t="shared" si="165"/>
        <v>122.3125</v>
      </c>
      <c r="BZ81" s="2">
        <f t="shared" si="120"/>
        <v>10600</v>
      </c>
      <c r="CA81" s="8">
        <f t="shared" si="175"/>
        <v>4.5999999999999999E-2</v>
      </c>
      <c r="CB81" s="2">
        <f t="shared" si="117"/>
        <v>10721.900000000001</v>
      </c>
      <c r="CC81" s="2">
        <f t="shared" si="176"/>
        <v>212</v>
      </c>
      <c r="CD81" s="2">
        <f t="shared" si="132"/>
        <v>0</v>
      </c>
      <c r="CE81" s="2">
        <f t="shared" si="96"/>
        <v>0</v>
      </c>
      <c r="CF81" s="2">
        <f t="shared" si="97"/>
        <v>84.200000000028922</v>
      </c>
      <c r="CG81" s="1">
        <f t="shared" si="159"/>
        <v>0</v>
      </c>
      <c r="CH81" s="2">
        <f t="shared" si="133"/>
        <v>84.200000000028922</v>
      </c>
      <c r="CI81" s="1">
        <f t="shared" si="89"/>
        <v>0</v>
      </c>
      <c r="CJ81" s="2">
        <f t="shared" si="98"/>
        <v>84.200000000028922</v>
      </c>
      <c r="CK81" s="2">
        <f t="shared" si="99"/>
        <v>127132.46250000004</v>
      </c>
      <c r="CL81" s="2">
        <f t="shared" si="134"/>
        <v>0</v>
      </c>
      <c r="CM81" s="2">
        <f t="shared" si="47"/>
        <v>678.48210500000016</v>
      </c>
      <c r="CN81" s="2">
        <f t="shared" si="135"/>
        <v>126453.98039500004</v>
      </c>
      <c r="CO81" s="2">
        <f t="shared" si="48"/>
        <v>2428.3125</v>
      </c>
      <c r="CP81" s="2">
        <f t="shared" si="136"/>
        <v>4693.7885000000069</v>
      </c>
      <c r="CQ81" s="2">
        <f t="shared" si="137"/>
        <v>119331.87939500003</v>
      </c>
      <c r="CS81" s="5">
        <f t="shared" si="151"/>
        <v>1000</v>
      </c>
      <c r="CT81" s="2">
        <f t="shared" si="152"/>
        <v>100000</v>
      </c>
      <c r="CU81" s="2">
        <f t="shared" si="153"/>
        <v>100000</v>
      </c>
      <c r="CV81" s="2">
        <f t="shared" si="154"/>
        <v>128542.10394532533</v>
      </c>
      <c r="CW81" s="8">
        <f t="shared" si="138"/>
        <v>5.1000000000000004E-2</v>
      </c>
      <c r="CX81" s="2">
        <f t="shared" si="139"/>
        <v>130181.01577062823</v>
      </c>
      <c r="CY81" s="2" t="str">
        <f t="shared" si="140"/>
        <v>nie</v>
      </c>
      <c r="CZ81" s="2">
        <f t="shared" si="53"/>
        <v>0</v>
      </c>
      <c r="DA81" s="2">
        <f t="shared" si="54"/>
        <v>0</v>
      </c>
      <c r="DB81" s="2">
        <f t="shared" si="55"/>
        <v>130181.01577062823</v>
      </c>
      <c r="DC81" s="2">
        <f t="shared" si="141"/>
        <v>0</v>
      </c>
      <c r="DD81" s="2">
        <f t="shared" si="56"/>
        <v>690.04226731991287</v>
      </c>
      <c r="DE81" s="2">
        <f t="shared" si="57"/>
        <v>129490.97350330833</v>
      </c>
      <c r="DF81" s="2">
        <f t="shared" si="142"/>
        <v>3000</v>
      </c>
      <c r="DG81" s="2">
        <f t="shared" si="143"/>
        <v>5164.3929964193649</v>
      </c>
      <c r="DH81" s="2">
        <f t="shared" si="58"/>
        <v>121326.58050688896</v>
      </c>
    </row>
    <row r="82" spans="2:112">
      <c r="B82" s="232"/>
      <c r="C82" s="1">
        <f t="shared" si="168"/>
        <v>45</v>
      </c>
      <c r="D82" s="2">
        <f t="shared" si="105"/>
        <v>116763.17712535997</v>
      </c>
      <c r="E82" s="2">
        <f t="shared" si="106"/>
        <v>112595.03167095997</v>
      </c>
      <c r="F82" s="2">
        <f t="shared" si="107"/>
        <v>118229.64412500001</v>
      </c>
      <c r="G82" s="2">
        <f t="shared" si="108"/>
        <v>112843.51550000001</v>
      </c>
      <c r="H82" s="2">
        <f t="shared" si="109"/>
        <v>120469.14582911249</v>
      </c>
      <c r="I82" s="2">
        <f t="shared" si="110"/>
        <v>114083.18300630637</v>
      </c>
      <c r="J82" s="2">
        <f t="shared" si="169"/>
        <v>111540.47623429577</v>
      </c>
      <c r="K82" s="2">
        <f t="shared" si="170"/>
        <v>112139.27633907498</v>
      </c>
      <c r="W82" s="1">
        <f t="shared" si="144"/>
        <v>64</v>
      </c>
      <c r="X82" s="2">
        <f t="shared" si="121"/>
        <v>117694.99859819036</v>
      </c>
      <c r="Y82" s="8">
        <f t="shared" si="157"/>
        <v>3.9100000000000003E-2</v>
      </c>
      <c r="Z82" s="5">
        <f t="shared" si="145"/>
        <v>1133</v>
      </c>
      <c r="AA82" s="2">
        <f t="shared" si="146"/>
        <v>113186.70000000001</v>
      </c>
      <c r="AB82" s="2">
        <f t="shared" si="37"/>
        <v>113300</v>
      </c>
      <c r="AC82" s="2">
        <f t="shared" si="147"/>
        <v>123489.74880000002</v>
      </c>
      <c r="AD82" s="8">
        <f t="shared" si="122"/>
        <v>4.3999999999999997E-2</v>
      </c>
      <c r="AE82" s="2">
        <f t="shared" si="2"/>
        <v>125300.9317824</v>
      </c>
      <c r="AF82" s="2" t="str">
        <f t="shared" si="123"/>
        <v>nie</v>
      </c>
      <c r="AG82" s="2">
        <f t="shared" si="124"/>
        <v>1133</v>
      </c>
      <c r="AH82" s="1">
        <f t="shared" si="79"/>
        <v>0</v>
      </c>
      <c r="AI82" s="1">
        <f t="shared" si="171"/>
        <v>0</v>
      </c>
      <c r="AJ82" s="1">
        <f t="shared" si="155"/>
        <v>0</v>
      </c>
      <c r="AK82" s="1">
        <f t="shared" si="166"/>
        <v>0</v>
      </c>
      <c r="AL82" s="2">
        <f t="shared" si="90"/>
        <v>0</v>
      </c>
      <c r="AM82" s="8">
        <f t="shared" si="160"/>
        <v>4.3999999999999997E-2</v>
      </c>
      <c r="AN82" s="2">
        <f t="shared" si="91"/>
        <v>0</v>
      </c>
      <c r="AO82" s="2">
        <f t="shared" si="161"/>
        <v>0</v>
      </c>
      <c r="AP82" s="2">
        <f t="shared" si="119"/>
        <v>0</v>
      </c>
      <c r="AQ82" s="8">
        <f t="shared" si="172"/>
        <v>3.9100000000000003E-2</v>
      </c>
      <c r="AR82" s="2">
        <f t="shared" si="113"/>
        <v>0</v>
      </c>
      <c r="AS82" s="2">
        <f t="shared" si="173"/>
        <v>0</v>
      </c>
      <c r="AT82" s="2">
        <f t="shared" si="39"/>
        <v>0</v>
      </c>
      <c r="AU82" s="2">
        <f t="shared" si="92"/>
        <v>0</v>
      </c>
      <c r="AV82" s="2">
        <f t="shared" si="82"/>
        <v>68.549759999979869</v>
      </c>
      <c r="AW82" s="1">
        <f t="shared" si="158"/>
        <v>0</v>
      </c>
      <c r="AX82" s="2">
        <f t="shared" si="125"/>
        <v>68.549759999979869</v>
      </c>
      <c r="AY82" s="1">
        <f t="shared" si="83"/>
        <v>0</v>
      </c>
      <c r="AZ82" s="2">
        <f t="shared" si="40"/>
        <v>68.549759999979869</v>
      </c>
      <c r="BA82" s="2">
        <f t="shared" si="93"/>
        <v>125369.48154239998</v>
      </c>
      <c r="BB82" s="2">
        <f t="shared" si="126"/>
        <v>0</v>
      </c>
      <c r="BC82" s="2">
        <f t="shared" si="41"/>
        <v>670.59367243199995</v>
      </c>
      <c r="BD82" s="2">
        <f t="shared" si="10"/>
        <v>124698.88786996798</v>
      </c>
      <c r="BE82" s="2">
        <f t="shared" si="42"/>
        <v>1133</v>
      </c>
      <c r="BF82" s="2">
        <f t="shared" si="11"/>
        <v>4604.9314930559967</v>
      </c>
      <c r="BG82" s="2">
        <f t="shared" si="12"/>
        <v>118960.95637691198</v>
      </c>
      <c r="BI82" s="8">
        <f t="shared" si="162"/>
        <v>3.1E-2</v>
      </c>
      <c r="BJ82" s="5">
        <f t="shared" si="148"/>
        <v>1047</v>
      </c>
      <c r="BK82" s="2">
        <f t="shared" si="149"/>
        <v>104595.3</v>
      </c>
      <c r="BL82" s="2">
        <f t="shared" si="150"/>
        <v>104700</v>
      </c>
      <c r="BM82" s="2">
        <f t="shared" si="127"/>
        <v>104700</v>
      </c>
      <c r="BN82" s="8">
        <f t="shared" si="128"/>
        <v>4.5999999999999999E-2</v>
      </c>
      <c r="BO82" s="2">
        <f t="shared" si="129"/>
        <v>106305.40000000001</v>
      </c>
      <c r="BP82" s="2" t="str">
        <f t="shared" si="130"/>
        <v>nie</v>
      </c>
      <c r="BQ82" s="2">
        <f t="shared" si="131"/>
        <v>2094</v>
      </c>
      <c r="BR82" s="1">
        <f t="shared" si="163"/>
        <v>103</v>
      </c>
      <c r="BS82" s="1">
        <f t="shared" si="174"/>
        <v>7</v>
      </c>
      <c r="BT82" s="1">
        <f t="shared" si="156"/>
        <v>51</v>
      </c>
      <c r="BU82" s="1">
        <f t="shared" si="167"/>
        <v>48</v>
      </c>
      <c r="BV82" s="2">
        <f t="shared" si="94"/>
        <v>10300</v>
      </c>
      <c r="BW82" s="8">
        <f t="shared" si="164"/>
        <v>4.7500000000000001E-2</v>
      </c>
      <c r="BX82" s="2">
        <f t="shared" si="95"/>
        <v>10463.083333333334</v>
      </c>
      <c r="BY82" s="2">
        <f t="shared" si="165"/>
        <v>163.08333333333394</v>
      </c>
      <c r="BZ82" s="2">
        <f t="shared" si="120"/>
        <v>10600</v>
      </c>
      <c r="CA82" s="8">
        <f t="shared" si="175"/>
        <v>4.5999999999999999E-2</v>
      </c>
      <c r="CB82" s="2">
        <f t="shared" si="117"/>
        <v>10762.533333333335</v>
      </c>
      <c r="CC82" s="2">
        <f t="shared" si="176"/>
        <v>212</v>
      </c>
      <c r="CD82" s="2">
        <f t="shared" si="132"/>
        <v>0</v>
      </c>
      <c r="CE82" s="2">
        <f t="shared" si="96"/>
        <v>0</v>
      </c>
      <c r="CF82" s="2">
        <f t="shared" si="97"/>
        <v>84.200000000028922</v>
      </c>
      <c r="CG82" s="1">
        <f t="shared" si="159"/>
        <v>0</v>
      </c>
      <c r="CH82" s="2">
        <f t="shared" si="133"/>
        <v>84.200000000028922</v>
      </c>
      <c r="CI82" s="1">
        <f t="shared" si="89"/>
        <v>0</v>
      </c>
      <c r="CJ82" s="2">
        <f t="shared" si="98"/>
        <v>84.200000000028922</v>
      </c>
      <c r="CK82" s="2">
        <f t="shared" si="99"/>
        <v>127615.2166666667</v>
      </c>
      <c r="CL82" s="2">
        <f t="shared" si="134"/>
        <v>0</v>
      </c>
      <c r="CM82" s="2">
        <f t="shared" si="47"/>
        <v>678.48210500000016</v>
      </c>
      <c r="CN82" s="2">
        <f t="shared" si="135"/>
        <v>126936.7345616667</v>
      </c>
      <c r="CO82" s="2">
        <f t="shared" si="48"/>
        <v>2469.0833333333339</v>
      </c>
      <c r="CP82" s="2">
        <f t="shared" si="136"/>
        <v>4777.765333333341</v>
      </c>
      <c r="CQ82" s="2">
        <f t="shared" si="137"/>
        <v>119689.88589500003</v>
      </c>
      <c r="CS82" s="5">
        <f t="shared" si="151"/>
        <v>1000</v>
      </c>
      <c r="CT82" s="2">
        <f t="shared" si="152"/>
        <v>100000</v>
      </c>
      <c r="CU82" s="2">
        <f t="shared" si="153"/>
        <v>100000</v>
      </c>
      <c r="CV82" s="2">
        <f t="shared" si="154"/>
        <v>128542.10394532533</v>
      </c>
      <c r="CW82" s="8">
        <f t="shared" si="138"/>
        <v>5.1000000000000004E-2</v>
      </c>
      <c r="CX82" s="2">
        <f t="shared" si="139"/>
        <v>130727.31971239585</v>
      </c>
      <c r="CY82" s="2" t="str">
        <f t="shared" si="140"/>
        <v>nie</v>
      </c>
      <c r="CZ82" s="2">
        <f t="shared" si="53"/>
        <v>0</v>
      </c>
      <c r="DA82" s="2">
        <f t="shared" si="54"/>
        <v>0</v>
      </c>
      <c r="DB82" s="2">
        <f t="shared" si="55"/>
        <v>130727.31971239585</v>
      </c>
      <c r="DC82" s="2">
        <f t="shared" si="141"/>
        <v>0</v>
      </c>
      <c r="DD82" s="2">
        <f t="shared" si="56"/>
        <v>690.04226731991287</v>
      </c>
      <c r="DE82" s="2">
        <f t="shared" si="57"/>
        <v>130037.27744507595</v>
      </c>
      <c r="DF82" s="2">
        <f t="shared" si="142"/>
        <v>3000</v>
      </c>
      <c r="DG82" s="2">
        <f t="shared" si="143"/>
        <v>5268.1907453552121</v>
      </c>
      <c r="DH82" s="2">
        <f t="shared" si="58"/>
        <v>121769.08669972073</v>
      </c>
    </row>
    <row r="83" spans="2:112">
      <c r="B83" s="232"/>
      <c r="C83" s="1">
        <f t="shared" si="168"/>
        <v>46</v>
      </c>
      <c r="D83" s="2">
        <f t="shared" si="105"/>
        <v>117178.61045869331</v>
      </c>
      <c r="E83" s="2">
        <f t="shared" si="106"/>
        <v>112931.53267095998</v>
      </c>
      <c r="F83" s="2">
        <f t="shared" si="107"/>
        <v>118669.58162500001</v>
      </c>
      <c r="G83" s="2">
        <f t="shared" si="108"/>
        <v>113199.864875</v>
      </c>
      <c r="H83" s="2">
        <f t="shared" si="109"/>
        <v>120963.71711935</v>
      </c>
      <c r="I83" s="2">
        <f t="shared" si="110"/>
        <v>114483.78575139874</v>
      </c>
      <c r="J83" s="2">
        <f t="shared" si="169"/>
        <v>111811.5195915451</v>
      </c>
      <c r="K83" s="2">
        <f t="shared" si="170"/>
        <v>112422.38714341664</v>
      </c>
      <c r="W83" s="1">
        <f t="shared" si="144"/>
        <v>65</v>
      </c>
      <c r="X83" s="2">
        <f t="shared" ref="X83:X114" si="177">zakup_domyslny_wartosc*IFERROR((INDEX(scenariusz_I_inflacja_skumulowana,MATCH(ROUNDDOWN(W83/12,0),scenariusz_I_rok,0))+1),1)
*(1+MOD(W83,12)*INDEX(scenariusz_I_inflacja,MATCH(ROUNDUP(W83/12,0),scenariusz_I_rok,0))/12)</f>
        <v>117995.93434188419</v>
      </c>
      <c r="Y83" s="8">
        <f t="shared" si="157"/>
        <v>3.9100000000000003E-2</v>
      </c>
      <c r="Z83" s="5">
        <f t="shared" si="145"/>
        <v>1133</v>
      </c>
      <c r="AA83" s="2">
        <f t="shared" si="146"/>
        <v>113186.70000000001</v>
      </c>
      <c r="AB83" s="2">
        <f t="shared" si="37"/>
        <v>113300</v>
      </c>
      <c r="AC83" s="2">
        <f t="shared" si="147"/>
        <v>123489.74880000002</v>
      </c>
      <c r="AD83" s="8">
        <f t="shared" ref="AD83:AD114" si="178">IF(AND(MOD($W83,zapadalnosc_TOS)&lt;=zmiana_oprocentowania_co_ile_mc_TOS,MOD($W83,zapadalnosc_TOS)&lt;&gt;0),proc_I_okres_TOS,(marza_TOS+$Y83))</f>
        <v>4.3999999999999997E-2</v>
      </c>
      <c r="AE83" s="2">
        <f t="shared" ref="AE83:AE146" si="179">AC83*(1+AD83*IF(MOD($W83,12)&lt;&gt;0,MOD($W83,12),12)/12)</f>
        <v>125753.72752800002</v>
      </c>
      <c r="AF83" s="2" t="str">
        <f t="shared" ref="AF83:AF114" si="180">IF(MOD($W83,zapadalnosc_TOS)=0,"tak","nie")</f>
        <v>nie</v>
      </c>
      <c r="AG83" s="2">
        <f t="shared" ref="AG83:AG114" si="181">IF(MOD($W83,zapadalnosc_TOS)=0,0,
IF(AND(MOD($W83,zapadalnosc_TOS)&lt;zapadalnosc_TOS,MOD($W83,zapadalnosc_TOS)&lt;=koszt_wczesniejszy_wykup_ochrona_TOS),
MIN(AE83-AB83,Z83*koszt_wczesniejszy_wykup_TOS),Z83*koszt_wczesniejszy_wykup_TOS))</f>
        <v>1133</v>
      </c>
      <c r="AH83" s="1">
        <f t="shared" si="79"/>
        <v>0</v>
      </c>
      <c r="AI83" s="1">
        <f t="shared" si="171"/>
        <v>0</v>
      </c>
      <c r="AJ83" s="1">
        <f t="shared" si="155"/>
        <v>0</v>
      </c>
      <c r="AK83" s="1">
        <f t="shared" si="166"/>
        <v>0</v>
      </c>
      <c r="AL83" s="2">
        <f t="shared" si="90"/>
        <v>0</v>
      </c>
      <c r="AM83" s="8">
        <f t="shared" si="160"/>
        <v>4.3999999999999997E-2</v>
      </c>
      <c r="AN83" s="2">
        <f t="shared" si="91"/>
        <v>0</v>
      </c>
      <c r="AO83" s="2">
        <f t="shared" si="161"/>
        <v>0</v>
      </c>
      <c r="AP83" s="2">
        <f t="shared" si="119"/>
        <v>0</v>
      </c>
      <c r="AQ83" s="8">
        <f t="shared" si="172"/>
        <v>3.9100000000000003E-2</v>
      </c>
      <c r="AR83" s="2">
        <f t="shared" si="113"/>
        <v>0</v>
      </c>
      <c r="AS83" s="2">
        <f t="shared" si="173"/>
        <v>0</v>
      </c>
      <c r="AT83" s="2">
        <f t="shared" si="39"/>
        <v>0</v>
      </c>
      <c r="AU83" s="2">
        <f t="shared" si="92"/>
        <v>0</v>
      </c>
      <c r="AV83" s="2">
        <f t="shared" si="82"/>
        <v>68.549759999979869</v>
      </c>
      <c r="AW83" s="1">
        <f t="shared" si="158"/>
        <v>0</v>
      </c>
      <c r="AX83" s="2">
        <f t="shared" ref="AX83:AX114" si="182">AV83-AW83*zamiana_TOS</f>
        <v>68.549759999979869</v>
      </c>
      <c r="AY83" s="1">
        <f t="shared" si="83"/>
        <v>0</v>
      </c>
      <c r="AZ83" s="2">
        <f t="shared" si="40"/>
        <v>68.549759999979869</v>
      </c>
      <c r="BA83" s="2">
        <f t="shared" si="93"/>
        <v>125822.277288</v>
      </c>
      <c r="BB83" s="2">
        <f t="shared" ref="BB83:BB114" si="183">MIN(IF(MOD($W83,12)=0,INDEX(IKE_oplata_wskaznik,MATCH(ROUNDUP($W83/12,0),IKE_oplata_rok,0)),0)*BA83,200)</f>
        <v>0</v>
      </c>
      <c r="BC83" s="2">
        <f t="shared" si="41"/>
        <v>670.59367243199995</v>
      </c>
      <c r="BD83" s="2">
        <f t="shared" ref="BD83:BD146" si="184">BA83-BC83</f>
        <v>125151.68361556799</v>
      </c>
      <c r="BE83" s="2">
        <f t="shared" si="42"/>
        <v>1133</v>
      </c>
      <c r="BF83" s="2">
        <f t="shared" ref="BF83:BF146" si="185">(BA83-BE83-zakup_domyslny_wartosc)*podatek_Belki</f>
        <v>4690.9626847199997</v>
      </c>
      <c r="BG83" s="2">
        <f t="shared" ref="BG83:BG146" si="186">BA83-BC83-BE83-BF83</f>
        <v>119327.72093084799</v>
      </c>
      <c r="BI83" s="8">
        <f t="shared" si="162"/>
        <v>3.1E-2</v>
      </c>
      <c r="BJ83" s="5">
        <f t="shared" si="148"/>
        <v>1047</v>
      </c>
      <c r="BK83" s="2">
        <f t="shared" si="149"/>
        <v>104595.3</v>
      </c>
      <c r="BL83" s="2">
        <f t="shared" si="150"/>
        <v>104700</v>
      </c>
      <c r="BM83" s="2">
        <f t="shared" ref="BM83:BM114" si="187">BL83</f>
        <v>104700</v>
      </c>
      <c r="BN83" s="8">
        <f t="shared" ref="BN83:BN114" si="188">IF(AND(MOD($W83,zapadalnosc_COI)&lt;=zmiana_oprocentowania_co_ile_mc_COI,MOD($W83,zapadalnosc_COI)&lt;&gt;0),proc_I_okres_COI,(marza_COI+$BI83))</f>
        <v>4.5999999999999999E-2</v>
      </c>
      <c r="BO83" s="2">
        <f t="shared" ref="BO83:BO114" si="189">BM83*(1+BN83*IF(MOD($W83,12)&lt;&gt;0,MOD($W83,12),12)/12)</f>
        <v>106706.74999999999</v>
      </c>
      <c r="BP83" s="2" t="str">
        <f t="shared" ref="BP83:BP114" si="190">IF(MOD($W83,zapadalnosc_COI)=0,"tak","nie")</f>
        <v>nie</v>
      </c>
      <c r="BQ83" s="2">
        <f t="shared" ref="BQ83:BQ114" si="191">IF(MOD($W83,zapadalnosc_COI)=0,0,
IF(AND(MOD($W83,zapadalnosc_COI)&lt;zapadalnosc_COI,MOD($W83,zapadalnosc_COI)&lt;=koszt_wczesniejszy_wykup_ochrona_COI),
MIN(BO83-BL83,BJ83*koszt_wczesniejszy_wykup_COI),BJ83*koszt_wczesniejszy_wykup_COI))</f>
        <v>2094</v>
      </c>
      <c r="BR83" s="1">
        <f t="shared" si="163"/>
        <v>103</v>
      </c>
      <c r="BS83" s="1">
        <f t="shared" si="174"/>
        <v>7</v>
      </c>
      <c r="BT83" s="1">
        <f t="shared" si="156"/>
        <v>51</v>
      </c>
      <c r="BU83" s="1">
        <f t="shared" si="167"/>
        <v>48</v>
      </c>
      <c r="BV83" s="2">
        <f t="shared" si="94"/>
        <v>10300</v>
      </c>
      <c r="BW83" s="8">
        <f t="shared" si="164"/>
        <v>4.7500000000000001E-2</v>
      </c>
      <c r="BX83" s="2">
        <f t="shared" si="95"/>
        <v>10503.854166666666</v>
      </c>
      <c r="BY83" s="2">
        <f t="shared" si="165"/>
        <v>203.85416666666606</v>
      </c>
      <c r="BZ83" s="2">
        <f t="shared" si="120"/>
        <v>10600</v>
      </c>
      <c r="CA83" s="8">
        <f t="shared" si="175"/>
        <v>4.5999999999999999E-2</v>
      </c>
      <c r="CB83" s="2">
        <f t="shared" si="117"/>
        <v>10803.166666666666</v>
      </c>
      <c r="CC83" s="2">
        <f t="shared" si="176"/>
        <v>212</v>
      </c>
      <c r="CD83" s="2">
        <f t="shared" ref="CD83:CD114" si="192">IF(MOD($W83,wyplata_odsetek_COI)=0, (BO83-BL83),0)
-IF(AND(BP83="tak",BK84&lt;&gt;""),BK84-BL83,0)</f>
        <v>0</v>
      </c>
      <c r="CE83" s="2">
        <f t="shared" si="96"/>
        <v>0</v>
      </c>
      <c r="CF83" s="2">
        <f t="shared" si="97"/>
        <v>84.200000000028922</v>
      </c>
      <c r="CG83" s="1">
        <f t="shared" si="159"/>
        <v>0</v>
      </c>
      <c r="CH83" s="2">
        <f t="shared" ref="CH83:CH114" si="193">CF83-CG83*zamiana_COI</f>
        <v>84.200000000028922</v>
      </c>
      <c r="CI83" s="1">
        <f t="shared" si="89"/>
        <v>0</v>
      </c>
      <c r="CJ83" s="2">
        <f t="shared" si="98"/>
        <v>84.200000000028922</v>
      </c>
      <c r="CK83" s="2">
        <f t="shared" si="99"/>
        <v>128097.97083333335</v>
      </c>
      <c r="CL83" s="2">
        <f t="shared" ref="CL83:CL114" si="194">MIN(IF(MOD($W83,12)=0,INDEX(IKE_oplata_wskaznik,MATCH(ROUNDUP($W83/12,0),IKE_oplata_rok,0)),0)*CK83,200)</f>
        <v>0</v>
      </c>
      <c r="CM83" s="2">
        <f t="shared" si="47"/>
        <v>678.48210500000016</v>
      </c>
      <c r="CN83" s="2">
        <f t="shared" ref="CN83:CN114" si="195">CK83-CM83</f>
        <v>127419.48872833335</v>
      </c>
      <c r="CO83" s="2">
        <f t="shared" si="48"/>
        <v>2509.8541666666661</v>
      </c>
      <c r="CP83" s="2">
        <f t="shared" ref="CP83:CP114" si="196">(CK83-CO83-zakup_domyslny_wartosc)*podatek_Belki</f>
        <v>4861.7421666666696</v>
      </c>
      <c r="CQ83" s="2">
        <f t="shared" ref="CQ83:CQ114" si="197">CK83-CM83-CO83-CP83</f>
        <v>120047.89239500002</v>
      </c>
      <c r="CS83" s="5">
        <f t="shared" si="151"/>
        <v>1000</v>
      </c>
      <c r="CT83" s="2">
        <f t="shared" si="152"/>
        <v>100000</v>
      </c>
      <c r="CU83" s="2">
        <f t="shared" si="153"/>
        <v>100000</v>
      </c>
      <c r="CV83" s="2">
        <f t="shared" si="154"/>
        <v>128542.10394532533</v>
      </c>
      <c r="CW83" s="8">
        <f t="shared" ref="CW83:CW114" si="198">IF(AND(MOD($W83,zapadalnosc_EDO)&lt;=12,MOD($W83,zapadalnosc_EDO)&lt;&gt;0),proc_I_okres_EDO,(marza_EDO+$BI83))</f>
        <v>5.1000000000000004E-2</v>
      </c>
      <c r="CX83" s="2">
        <f t="shared" ref="CX83:CX114" si="199">CV83*(1+CW83*IF(MOD($W83,12)&lt;&gt;0,MOD($W83,12),12)/12)</f>
        <v>131273.6236541635</v>
      </c>
      <c r="CY83" s="2" t="str">
        <f t="shared" ref="CY83:CY114" si="200">IF(MOD($W83,zapadalnosc_EDO)=0,"tak","nie")</f>
        <v>nie</v>
      </c>
      <c r="CZ83" s="2">
        <f t="shared" si="53"/>
        <v>0</v>
      </c>
      <c r="DA83" s="2">
        <f t="shared" si="54"/>
        <v>0</v>
      </c>
      <c r="DB83" s="2">
        <f t="shared" si="55"/>
        <v>131273.6236541635</v>
      </c>
      <c r="DC83" s="2">
        <f t="shared" ref="DC83:DC114" si="201">MIN(IF(MOD(W83,12)=0,INDEX(IKE_oplata_wskaznik,MATCH(ROUNDUP(W83/12,0),IKE_oplata_rok,0)),0)*DB83,200)</f>
        <v>0</v>
      </c>
      <c r="DD83" s="2">
        <f t="shared" si="56"/>
        <v>690.04226731991287</v>
      </c>
      <c r="DE83" s="2">
        <f t="shared" si="57"/>
        <v>130583.58138684359</v>
      </c>
      <c r="DF83" s="2">
        <f t="shared" ref="DF83:DF114" si="202">IF(AND(MOD($W83,zapadalnosc_EDO)&lt;zapadalnosc_EDO,MOD($W83,zapadalnosc_EDO)&lt;&gt;0),MIN(CX83-CU83,CS83*koszt_wczesniejszy_wykup_EDO),0)</f>
        <v>3000</v>
      </c>
      <c r="DG83" s="2">
        <f t="shared" ref="DG83:DG114" si="203">(CX83-DF83-zakup_domyslny_wartosc)*podatek_Belki</f>
        <v>5371.9884942910649</v>
      </c>
      <c r="DH83" s="2">
        <f t="shared" si="58"/>
        <v>122211.59289255252</v>
      </c>
    </row>
    <row r="84" spans="2:112">
      <c r="B84" s="233"/>
      <c r="C84" s="1">
        <f t="shared" si="168"/>
        <v>47</v>
      </c>
      <c r="D84" s="2">
        <f t="shared" si="105"/>
        <v>117594.04379202664</v>
      </c>
      <c r="E84" s="2">
        <f t="shared" si="106"/>
        <v>113268.03367095998</v>
      </c>
      <c r="F84" s="2">
        <f t="shared" si="107"/>
        <v>119109.51912500001</v>
      </c>
      <c r="G84" s="2">
        <f t="shared" si="108"/>
        <v>113556.21425</v>
      </c>
      <c r="H84" s="2">
        <f t="shared" si="109"/>
        <v>121458.28840958751</v>
      </c>
      <c r="I84" s="2">
        <f t="shared" si="110"/>
        <v>114884.38849649113</v>
      </c>
      <c r="J84" s="2">
        <f t="shared" si="169"/>
        <v>112083.22158415255</v>
      </c>
      <c r="K84" s="2">
        <f t="shared" si="170"/>
        <v>112705.49794775831</v>
      </c>
      <c r="W84" s="1">
        <f t="shared" ref="W84:W115" si="204">W83+1</f>
        <v>66</v>
      </c>
      <c r="X84" s="2">
        <f t="shared" si="177"/>
        <v>118296.870085578</v>
      </c>
      <c r="Y84" s="8">
        <f t="shared" si="157"/>
        <v>3.9100000000000003E-2</v>
      </c>
      <c r="Z84" s="5">
        <f t="shared" ref="Z84:Z115" si="205">IF(AF83="tak",
ROUNDDOWN(AE83/zamiana_TOS,0),
Z83)</f>
        <v>1133</v>
      </c>
      <c r="AA84" s="2">
        <f t="shared" ref="AA84:AA115" si="206">IF(AF83="tak",
Z84*zamiana_TOS,
AA83)</f>
        <v>113186.70000000001</v>
      </c>
      <c r="AB84" s="2">
        <f t="shared" ref="AB84:AB147" si="207">IF(AF83="tak",
Z84*100,
AB83)</f>
        <v>113300</v>
      </c>
      <c r="AC84" s="2">
        <f t="shared" ref="AC84:AC115" si="208">IF(AF83="tak",
 AB84,
IF(MOD($W84,kapitalizacja_odsetek_mc_TOS)&lt;&gt;1,AC83,AE83))</f>
        <v>123489.74880000002</v>
      </c>
      <c r="AD84" s="8">
        <f t="shared" si="178"/>
        <v>4.3999999999999997E-2</v>
      </c>
      <c r="AE84" s="2">
        <f t="shared" si="179"/>
        <v>126206.52327360002</v>
      </c>
      <c r="AF84" s="2" t="str">
        <f t="shared" si="180"/>
        <v>nie</v>
      </c>
      <c r="AG84" s="2">
        <f t="shared" si="181"/>
        <v>1133</v>
      </c>
      <c r="AH84" s="1">
        <f t="shared" si="79"/>
        <v>0</v>
      </c>
      <c r="AI84" s="1">
        <f t="shared" si="171"/>
        <v>0</v>
      </c>
      <c r="AJ84" s="1">
        <f t="shared" si="155"/>
        <v>0</v>
      </c>
      <c r="AK84" s="1">
        <f t="shared" si="166"/>
        <v>0</v>
      </c>
      <c r="AL84" s="2">
        <f t="shared" si="90"/>
        <v>0</v>
      </c>
      <c r="AM84" s="8">
        <f t="shared" si="160"/>
        <v>4.3999999999999997E-2</v>
      </c>
      <c r="AN84" s="2">
        <f t="shared" si="91"/>
        <v>0</v>
      </c>
      <c r="AO84" s="2">
        <f t="shared" si="161"/>
        <v>0</v>
      </c>
      <c r="AP84" s="2">
        <f t="shared" si="119"/>
        <v>0</v>
      </c>
      <c r="AQ84" s="8">
        <f t="shared" si="172"/>
        <v>3.9100000000000003E-2</v>
      </c>
      <c r="AR84" s="2">
        <f t="shared" si="113"/>
        <v>0</v>
      </c>
      <c r="AS84" s="2">
        <f t="shared" si="173"/>
        <v>0</v>
      </c>
      <c r="AT84" s="2">
        <f t="shared" ref="AT84:AT147" si="209">IF(AND(AF84="tak",AA85&lt;&gt;""),
 AE84-AA85,
0)</f>
        <v>0</v>
      </c>
      <c r="AU84" s="2">
        <f t="shared" si="92"/>
        <v>0</v>
      </c>
      <c r="AV84" s="2">
        <f t="shared" si="82"/>
        <v>68.549759999979869</v>
      </c>
      <c r="AW84" s="1">
        <f t="shared" si="158"/>
        <v>0</v>
      </c>
      <c r="AX84" s="2">
        <f t="shared" si="182"/>
        <v>68.549759999979869</v>
      </c>
      <c r="AY84" s="1">
        <f t="shared" si="83"/>
        <v>0</v>
      </c>
      <c r="AZ84" s="2">
        <f t="shared" ref="AZ84:AZ147" si="210">AX84-AY84*100</f>
        <v>68.549759999979869</v>
      </c>
      <c r="BA84" s="2">
        <f t="shared" si="93"/>
        <v>126275.0730336</v>
      </c>
      <c r="BB84" s="2">
        <f t="shared" si="183"/>
        <v>0</v>
      </c>
      <c r="BC84" s="2">
        <f t="shared" ref="BC84:BC147" si="211">BB84+BC83</f>
        <v>670.59367243199995</v>
      </c>
      <c r="BD84" s="2">
        <f t="shared" si="184"/>
        <v>125604.47936116799</v>
      </c>
      <c r="BE84" s="2">
        <f t="shared" ref="BE84:BE147" si="212">AG84+AO84+AS84</f>
        <v>1133</v>
      </c>
      <c r="BF84" s="2">
        <f t="shared" si="185"/>
        <v>4776.993876384</v>
      </c>
      <c r="BG84" s="2">
        <f t="shared" si="186"/>
        <v>119694.48548478399</v>
      </c>
      <c r="BI84" s="8">
        <f t="shared" si="162"/>
        <v>3.1E-2</v>
      </c>
      <c r="BJ84" s="5">
        <f t="shared" ref="BJ84:BJ115" si="213">IF(BP83="tak",
ROUNDDOWN(BO83/zamiana_COI,0),
BJ83)</f>
        <v>1047</v>
      </c>
      <c r="BK84" s="2">
        <f t="shared" ref="BK84:BK115" si="214">IF(BP83="tak",
BJ84*zamiana_COI,
BK83)</f>
        <v>104595.3</v>
      </c>
      <c r="BL84" s="2">
        <f t="shared" ref="BL84:BL115" si="215">IF(BP83="tak",
BJ84*100,
BL83)</f>
        <v>104700</v>
      </c>
      <c r="BM84" s="2">
        <f t="shared" si="187"/>
        <v>104700</v>
      </c>
      <c r="BN84" s="8">
        <f t="shared" si="188"/>
        <v>4.5999999999999999E-2</v>
      </c>
      <c r="BO84" s="2">
        <f t="shared" si="189"/>
        <v>107108.09999999999</v>
      </c>
      <c r="BP84" s="2" t="str">
        <f t="shared" si="190"/>
        <v>nie</v>
      </c>
      <c r="BQ84" s="2">
        <f t="shared" si="191"/>
        <v>2094</v>
      </c>
      <c r="BR84" s="1">
        <f t="shared" si="163"/>
        <v>103</v>
      </c>
      <c r="BS84" s="1">
        <f t="shared" si="174"/>
        <v>7</v>
      </c>
      <c r="BT84" s="1">
        <f t="shared" si="156"/>
        <v>51</v>
      </c>
      <c r="BU84" s="1">
        <f t="shared" si="167"/>
        <v>48</v>
      </c>
      <c r="BV84" s="2">
        <f t="shared" si="94"/>
        <v>10300</v>
      </c>
      <c r="BW84" s="8">
        <f t="shared" si="164"/>
        <v>4.7500000000000001E-2</v>
      </c>
      <c r="BX84" s="2">
        <f t="shared" si="95"/>
        <v>10544.625</v>
      </c>
      <c r="BY84" s="2">
        <f t="shared" si="165"/>
        <v>206</v>
      </c>
      <c r="BZ84" s="2">
        <f t="shared" si="120"/>
        <v>10600</v>
      </c>
      <c r="CA84" s="8">
        <f t="shared" si="175"/>
        <v>4.5999999999999999E-2</v>
      </c>
      <c r="CB84" s="2">
        <f t="shared" si="117"/>
        <v>10843.8</v>
      </c>
      <c r="CC84" s="2">
        <f t="shared" si="176"/>
        <v>212</v>
      </c>
      <c r="CD84" s="2">
        <f t="shared" si="192"/>
        <v>0</v>
      </c>
      <c r="CE84" s="2">
        <f t="shared" si="96"/>
        <v>0</v>
      </c>
      <c r="CF84" s="2">
        <f t="shared" si="97"/>
        <v>84.200000000028922</v>
      </c>
      <c r="CG84" s="1">
        <f t="shared" si="159"/>
        <v>0</v>
      </c>
      <c r="CH84" s="2">
        <f t="shared" si="193"/>
        <v>84.200000000028922</v>
      </c>
      <c r="CI84" s="1">
        <f t="shared" si="89"/>
        <v>0</v>
      </c>
      <c r="CJ84" s="2">
        <f t="shared" si="98"/>
        <v>84.200000000028922</v>
      </c>
      <c r="CK84" s="2">
        <f t="shared" si="99"/>
        <v>128580.72500000002</v>
      </c>
      <c r="CL84" s="2">
        <f t="shared" si="194"/>
        <v>0</v>
      </c>
      <c r="CM84" s="2">
        <f t="shared" ref="CM84:CM147" si="216">CL84+CM83</f>
        <v>678.48210500000016</v>
      </c>
      <c r="CN84" s="2">
        <f t="shared" si="195"/>
        <v>127902.24289500002</v>
      </c>
      <c r="CO84" s="2">
        <f t="shared" ref="CO84:CO147" si="217">BQ84+BY84+CC84</f>
        <v>2512</v>
      </c>
      <c r="CP84" s="2">
        <f t="shared" si="196"/>
        <v>4953.0577500000036</v>
      </c>
      <c r="CQ84" s="2">
        <f t="shared" si="197"/>
        <v>120437.18514500001</v>
      </c>
      <c r="CS84" s="5">
        <f t="shared" ref="CS84:CS115" si="218">IF(CY83="tak",
ROUNDDOWN(CX83/zamiana_EDO,0),
CS83)</f>
        <v>1000</v>
      </c>
      <c r="CT84" s="2">
        <f t="shared" ref="CT84:CT115" si="219">IF(CY83="tak",
CS84*zamiana_EDO,
CT83)</f>
        <v>100000</v>
      </c>
      <c r="CU84" s="2">
        <f t="shared" ref="CU84:CU115" si="220">IF(CY83="tak",
CS84*100,
CU83)</f>
        <v>100000</v>
      </c>
      <c r="CV84" s="2">
        <f t="shared" ref="CV84:CV115" si="221">IF(CY83="tak",
 CU84,
IF(MOD($W84,kapitalizacja_odsetek_mc_EDO)&lt;&gt;1,CV83,CX83))</f>
        <v>128542.10394532533</v>
      </c>
      <c r="CW84" s="8">
        <f t="shared" si="198"/>
        <v>5.1000000000000004E-2</v>
      </c>
      <c r="CX84" s="2">
        <f t="shared" si="199"/>
        <v>131819.92759593113</v>
      </c>
      <c r="CY84" s="2" t="str">
        <f t="shared" si="200"/>
        <v>nie</v>
      </c>
      <c r="CZ84" s="2">
        <f t="shared" ref="CZ84:CZ147" si="222">IF(AND(CY84="tak",CT85&lt;&gt;""),
 CX84-CT85,
0)</f>
        <v>0</v>
      </c>
      <c r="DA84" s="2">
        <f t="shared" ref="DA84:DA147" si="223">DA83+CZ84</f>
        <v>0</v>
      </c>
      <c r="DB84" s="2">
        <f t="shared" ref="DB84:DB147" si="224">DA83+CX84</f>
        <v>131819.92759593113</v>
      </c>
      <c r="DC84" s="2">
        <f t="shared" si="201"/>
        <v>0</v>
      </c>
      <c r="DD84" s="2">
        <f t="shared" ref="DD84:DD147" si="225">DC84+DD83</f>
        <v>690.04226731991287</v>
      </c>
      <c r="DE84" s="2">
        <f t="shared" ref="DE84:DE147" si="226">DB84-DD84</f>
        <v>131129.88532861121</v>
      </c>
      <c r="DF84" s="2">
        <f t="shared" si="202"/>
        <v>3000</v>
      </c>
      <c r="DG84" s="2">
        <f t="shared" si="203"/>
        <v>5475.7862432269158</v>
      </c>
      <c r="DH84" s="2">
        <f t="shared" ref="DH84:DH147" si="227">DB84-DD84-DF84-DG84</f>
        <v>122654.0990853843</v>
      </c>
    </row>
    <row r="85" spans="2:112">
      <c r="B85" s="231">
        <f>ROUNDUP(C86/12,0)</f>
        <v>5</v>
      </c>
      <c r="C85" s="3">
        <f t="shared" si="168"/>
        <v>48</v>
      </c>
      <c r="D85" s="10">
        <f t="shared" si="105"/>
        <v>117843.78187569599</v>
      </c>
      <c r="E85" s="10">
        <f t="shared" si="106"/>
        <v>113438.839421296</v>
      </c>
      <c r="F85" s="10">
        <f t="shared" si="107"/>
        <v>119381.60124500001</v>
      </c>
      <c r="G85" s="10">
        <f t="shared" si="108"/>
        <v>115364.70824500002</v>
      </c>
      <c r="H85" s="10">
        <f t="shared" si="109"/>
        <v>121781.633300659</v>
      </c>
      <c r="I85" s="10">
        <f t="shared" si="110"/>
        <v>115113.7648424175</v>
      </c>
      <c r="J85" s="10">
        <f t="shared" si="169"/>
        <v>112355.58381260202</v>
      </c>
      <c r="K85" s="10">
        <f t="shared" si="170"/>
        <v>112988.60875209997</v>
      </c>
      <c r="W85" s="1">
        <f t="shared" si="204"/>
        <v>67</v>
      </c>
      <c r="X85" s="2">
        <f t="shared" si="177"/>
        <v>118597.80582927182</v>
      </c>
      <c r="Y85" s="8">
        <f t="shared" si="157"/>
        <v>3.9100000000000003E-2</v>
      </c>
      <c r="Z85" s="5">
        <f t="shared" si="205"/>
        <v>1133</v>
      </c>
      <c r="AA85" s="2">
        <f t="shared" si="206"/>
        <v>113186.70000000001</v>
      </c>
      <c r="AB85" s="2">
        <f t="shared" si="207"/>
        <v>113300</v>
      </c>
      <c r="AC85" s="2">
        <f t="shared" si="208"/>
        <v>123489.74880000002</v>
      </c>
      <c r="AD85" s="8">
        <f t="shared" si="178"/>
        <v>4.3999999999999997E-2</v>
      </c>
      <c r="AE85" s="2">
        <f t="shared" si="179"/>
        <v>126659.31901920002</v>
      </c>
      <c r="AF85" s="2" t="str">
        <f t="shared" si="180"/>
        <v>nie</v>
      </c>
      <c r="AG85" s="2">
        <f t="shared" si="181"/>
        <v>1133</v>
      </c>
      <c r="AH85" s="1">
        <f t="shared" si="79"/>
        <v>0</v>
      </c>
      <c r="AI85" s="1">
        <f t="shared" si="171"/>
        <v>0</v>
      </c>
      <c r="AJ85" s="1">
        <f t="shared" si="155"/>
        <v>0</v>
      </c>
      <c r="AK85" s="1">
        <f t="shared" si="166"/>
        <v>0</v>
      </c>
      <c r="AL85" s="2">
        <f t="shared" si="90"/>
        <v>0</v>
      </c>
      <c r="AM85" s="8">
        <f t="shared" si="160"/>
        <v>4.3999999999999997E-2</v>
      </c>
      <c r="AN85" s="2">
        <f t="shared" si="91"/>
        <v>0</v>
      </c>
      <c r="AO85" s="2">
        <f t="shared" si="161"/>
        <v>0</v>
      </c>
      <c r="AP85" s="2">
        <f t="shared" si="119"/>
        <v>0</v>
      </c>
      <c r="AQ85" s="8">
        <f t="shared" si="172"/>
        <v>3.9100000000000003E-2</v>
      </c>
      <c r="AR85" s="2">
        <f t="shared" si="113"/>
        <v>0</v>
      </c>
      <c r="AS85" s="2">
        <f t="shared" si="173"/>
        <v>0</v>
      </c>
      <c r="AT85" s="2">
        <f t="shared" si="209"/>
        <v>0</v>
      </c>
      <c r="AU85" s="2">
        <f t="shared" si="92"/>
        <v>0</v>
      </c>
      <c r="AV85" s="2">
        <f t="shared" si="82"/>
        <v>68.549759999979869</v>
      </c>
      <c r="AW85" s="1">
        <f t="shared" si="158"/>
        <v>0</v>
      </c>
      <c r="AX85" s="2">
        <f t="shared" si="182"/>
        <v>68.549759999979869</v>
      </c>
      <c r="AY85" s="1">
        <f t="shared" si="83"/>
        <v>0</v>
      </c>
      <c r="AZ85" s="2">
        <f t="shared" si="210"/>
        <v>68.549759999979869</v>
      </c>
      <c r="BA85" s="2">
        <f t="shared" si="93"/>
        <v>126727.8687792</v>
      </c>
      <c r="BB85" s="2">
        <f t="shared" si="183"/>
        <v>0</v>
      </c>
      <c r="BC85" s="2">
        <f t="shared" si="211"/>
        <v>670.59367243199995</v>
      </c>
      <c r="BD85" s="2">
        <f t="shared" si="184"/>
        <v>126057.27510676799</v>
      </c>
      <c r="BE85" s="2">
        <f t="shared" si="212"/>
        <v>1133</v>
      </c>
      <c r="BF85" s="2">
        <f t="shared" si="185"/>
        <v>4863.0250680479994</v>
      </c>
      <c r="BG85" s="2">
        <f t="shared" si="186"/>
        <v>120061.25003872</v>
      </c>
      <c r="BI85" s="8">
        <f t="shared" si="162"/>
        <v>3.1E-2</v>
      </c>
      <c r="BJ85" s="5">
        <f t="shared" si="213"/>
        <v>1047</v>
      </c>
      <c r="BK85" s="2">
        <f t="shared" si="214"/>
        <v>104595.3</v>
      </c>
      <c r="BL85" s="2">
        <f t="shared" si="215"/>
        <v>104700</v>
      </c>
      <c r="BM85" s="2">
        <f t="shared" si="187"/>
        <v>104700</v>
      </c>
      <c r="BN85" s="8">
        <f t="shared" si="188"/>
        <v>4.5999999999999999E-2</v>
      </c>
      <c r="BO85" s="2">
        <f t="shared" si="189"/>
        <v>107509.45</v>
      </c>
      <c r="BP85" s="2" t="str">
        <f t="shared" si="190"/>
        <v>nie</v>
      </c>
      <c r="BQ85" s="2">
        <f t="shared" si="191"/>
        <v>2094</v>
      </c>
      <c r="BR85" s="1">
        <f t="shared" si="163"/>
        <v>103</v>
      </c>
      <c r="BS85" s="1">
        <f t="shared" si="174"/>
        <v>7</v>
      </c>
      <c r="BT85" s="1">
        <f t="shared" si="156"/>
        <v>51</v>
      </c>
      <c r="BU85" s="1">
        <f t="shared" si="167"/>
        <v>48</v>
      </c>
      <c r="BV85" s="2">
        <f t="shared" si="94"/>
        <v>10300</v>
      </c>
      <c r="BW85" s="8">
        <f t="shared" si="164"/>
        <v>4.7500000000000001E-2</v>
      </c>
      <c r="BX85" s="2">
        <f t="shared" si="95"/>
        <v>10585.395833333334</v>
      </c>
      <c r="BY85" s="2">
        <f t="shared" si="165"/>
        <v>206</v>
      </c>
      <c r="BZ85" s="2">
        <f t="shared" si="120"/>
        <v>10600</v>
      </c>
      <c r="CA85" s="8">
        <f t="shared" si="175"/>
        <v>4.5999999999999999E-2</v>
      </c>
      <c r="CB85" s="2">
        <f t="shared" si="117"/>
        <v>10884.433333333332</v>
      </c>
      <c r="CC85" s="2">
        <f t="shared" si="176"/>
        <v>212</v>
      </c>
      <c r="CD85" s="2">
        <f t="shared" si="192"/>
        <v>0</v>
      </c>
      <c r="CE85" s="2">
        <f t="shared" si="96"/>
        <v>0</v>
      </c>
      <c r="CF85" s="2">
        <f t="shared" si="97"/>
        <v>84.200000000028922</v>
      </c>
      <c r="CG85" s="1">
        <f t="shared" si="159"/>
        <v>0</v>
      </c>
      <c r="CH85" s="2">
        <f t="shared" si="193"/>
        <v>84.200000000028922</v>
      </c>
      <c r="CI85" s="1">
        <f t="shared" si="89"/>
        <v>0</v>
      </c>
      <c r="CJ85" s="2">
        <f t="shared" si="98"/>
        <v>84.200000000028922</v>
      </c>
      <c r="CK85" s="2">
        <f t="shared" si="99"/>
        <v>129063.47916666669</v>
      </c>
      <c r="CL85" s="2">
        <f t="shared" si="194"/>
        <v>0</v>
      </c>
      <c r="CM85" s="2">
        <f t="shared" si="216"/>
        <v>678.48210500000016</v>
      </c>
      <c r="CN85" s="2">
        <f t="shared" si="195"/>
        <v>128384.99706166668</v>
      </c>
      <c r="CO85" s="2">
        <f t="shared" si="217"/>
        <v>2512</v>
      </c>
      <c r="CP85" s="2">
        <f t="shared" si="196"/>
        <v>5044.7810416666707</v>
      </c>
      <c r="CQ85" s="2">
        <f t="shared" si="197"/>
        <v>120828.21602000001</v>
      </c>
      <c r="CS85" s="5">
        <f t="shared" si="218"/>
        <v>1000</v>
      </c>
      <c r="CT85" s="2">
        <f t="shared" si="219"/>
        <v>100000</v>
      </c>
      <c r="CU85" s="2">
        <f t="shared" si="220"/>
        <v>100000</v>
      </c>
      <c r="CV85" s="2">
        <f t="shared" si="221"/>
        <v>128542.10394532533</v>
      </c>
      <c r="CW85" s="8">
        <f t="shared" si="198"/>
        <v>5.1000000000000004E-2</v>
      </c>
      <c r="CX85" s="2">
        <f t="shared" si="199"/>
        <v>132366.23153769877</v>
      </c>
      <c r="CY85" s="2" t="str">
        <f t="shared" si="200"/>
        <v>nie</v>
      </c>
      <c r="CZ85" s="2">
        <f t="shared" si="222"/>
        <v>0</v>
      </c>
      <c r="DA85" s="2">
        <f t="shared" si="223"/>
        <v>0</v>
      </c>
      <c r="DB85" s="2">
        <f t="shared" si="224"/>
        <v>132366.23153769877</v>
      </c>
      <c r="DC85" s="2">
        <f t="shared" si="201"/>
        <v>0</v>
      </c>
      <c r="DD85" s="2">
        <f t="shared" si="225"/>
        <v>690.04226731991287</v>
      </c>
      <c r="DE85" s="2">
        <f t="shared" si="226"/>
        <v>131676.18927037885</v>
      </c>
      <c r="DF85" s="2">
        <f t="shared" si="202"/>
        <v>3000</v>
      </c>
      <c r="DG85" s="2">
        <f t="shared" si="203"/>
        <v>5579.5839921627658</v>
      </c>
      <c r="DH85" s="2">
        <f t="shared" si="227"/>
        <v>123096.60527821608</v>
      </c>
    </row>
    <row r="86" spans="2:112">
      <c r="B86" s="232"/>
      <c r="C86" s="1">
        <f t="shared" si="168"/>
        <v>49</v>
      </c>
      <c r="D86" s="2">
        <f t="shared" si="105"/>
        <v>118277.49427569599</v>
      </c>
      <c r="E86" s="2">
        <f t="shared" si="106"/>
        <v>113790.146465296</v>
      </c>
      <c r="F86" s="2">
        <f t="shared" si="107"/>
        <v>119959.476245</v>
      </c>
      <c r="G86" s="2">
        <f t="shared" si="108"/>
        <v>115494.848245</v>
      </c>
      <c r="H86" s="2">
        <f t="shared" si="109"/>
        <v>122301.42772669862</v>
      </c>
      <c r="I86" s="2">
        <f t="shared" si="110"/>
        <v>115534.79832750959</v>
      </c>
      <c r="J86" s="2">
        <f t="shared" si="169"/>
        <v>112628.60788126664</v>
      </c>
      <c r="K86" s="2">
        <f t="shared" si="170"/>
        <v>113280.49599137623</v>
      </c>
      <c r="W86" s="1">
        <f t="shared" si="204"/>
        <v>68</v>
      </c>
      <c r="X86" s="2">
        <f t="shared" si="177"/>
        <v>118898.74157296563</v>
      </c>
      <c r="Y86" s="8">
        <f t="shared" si="157"/>
        <v>3.9100000000000003E-2</v>
      </c>
      <c r="Z86" s="5">
        <f t="shared" si="205"/>
        <v>1133</v>
      </c>
      <c r="AA86" s="2">
        <f t="shared" si="206"/>
        <v>113186.70000000001</v>
      </c>
      <c r="AB86" s="2">
        <f t="shared" si="207"/>
        <v>113300</v>
      </c>
      <c r="AC86" s="2">
        <f t="shared" si="208"/>
        <v>123489.74880000002</v>
      </c>
      <c r="AD86" s="8">
        <f t="shared" si="178"/>
        <v>4.3999999999999997E-2</v>
      </c>
      <c r="AE86" s="2">
        <f t="shared" si="179"/>
        <v>127112.11476480003</v>
      </c>
      <c r="AF86" s="2" t="str">
        <f t="shared" si="180"/>
        <v>nie</v>
      </c>
      <c r="AG86" s="2">
        <f t="shared" si="181"/>
        <v>1133</v>
      </c>
      <c r="AH86" s="1">
        <f t="shared" si="79"/>
        <v>0</v>
      </c>
      <c r="AI86" s="1">
        <f t="shared" si="171"/>
        <v>0</v>
      </c>
      <c r="AJ86" s="1">
        <f t="shared" si="155"/>
        <v>0</v>
      </c>
      <c r="AK86" s="1">
        <f t="shared" si="166"/>
        <v>0</v>
      </c>
      <c r="AL86" s="2">
        <f t="shared" si="90"/>
        <v>0</v>
      </c>
      <c r="AM86" s="8">
        <f t="shared" si="160"/>
        <v>4.3999999999999997E-2</v>
      </c>
      <c r="AN86" s="2">
        <f t="shared" si="91"/>
        <v>0</v>
      </c>
      <c r="AO86" s="2">
        <f t="shared" si="161"/>
        <v>0</v>
      </c>
      <c r="AP86" s="2">
        <f t="shared" si="119"/>
        <v>0</v>
      </c>
      <c r="AQ86" s="8">
        <f t="shared" si="172"/>
        <v>3.9100000000000003E-2</v>
      </c>
      <c r="AR86" s="2">
        <f t="shared" si="113"/>
        <v>0</v>
      </c>
      <c r="AS86" s="2">
        <f t="shared" si="173"/>
        <v>0</v>
      </c>
      <c r="AT86" s="2">
        <f t="shared" si="209"/>
        <v>0</v>
      </c>
      <c r="AU86" s="2">
        <f t="shared" si="92"/>
        <v>0</v>
      </c>
      <c r="AV86" s="2">
        <f t="shared" si="82"/>
        <v>68.549759999979869</v>
      </c>
      <c r="AW86" s="1">
        <f t="shared" si="158"/>
        <v>0</v>
      </c>
      <c r="AX86" s="2">
        <f t="shared" si="182"/>
        <v>68.549759999979869</v>
      </c>
      <c r="AY86" s="1">
        <f t="shared" si="83"/>
        <v>0</v>
      </c>
      <c r="AZ86" s="2">
        <f t="shared" si="210"/>
        <v>68.549759999979869</v>
      </c>
      <c r="BA86" s="2">
        <f t="shared" si="93"/>
        <v>127180.66452480001</v>
      </c>
      <c r="BB86" s="2">
        <f t="shared" si="183"/>
        <v>0</v>
      </c>
      <c r="BC86" s="2">
        <f t="shared" si="211"/>
        <v>670.59367243199995</v>
      </c>
      <c r="BD86" s="2">
        <f t="shared" si="184"/>
        <v>126510.07085236801</v>
      </c>
      <c r="BE86" s="2">
        <f t="shared" si="212"/>
        <v>1133</v>
      </c>
      <c r="BF86" s="2">
        <f t="shared" si="185"/>
        <v>4949.0562597120024</v>
      </c>
      <c r="BG86" s="2">
        <f t="shared" si="186"/>
        <v>120428.01459265601</v>
      </c>
      <c r="BI86" s="8">
        <f t="shared" si="162"/>
        <v>3.1E-2</v>
      </c>
      <c r="BJ86" s="5">
        <f t="shared" si="213"/>
        <v>1047</v>
      </c>
      <c r="BK86" s="2">
        <f t="shared" si="214"/>
        <v>104595.3</v>
      </c>
      <c r="BL86" s="2">
        <f t="shared" si="215"/>
        <v>104700</v>
      </c>
      <c r="BM86" s="2">
        <f t="shared" si="187"/>
        <v>104700</v>
      </c>
      <c r="BN86" s="8">
        <f t="shared" si="188"/>
        <v>4.5999999999999999E-2</v>
      </c>
      <c r="BO86" s="2">
        <f t="shared" si="189"/>
        <v>107910.79999999999</v>
      </c>
      <c r="BP86" s="2" t="str">
        <f t="shared" si="190"/>
        <v>nie</v>
      </c>
      <c r="BQ86" s="2">
        <f t="shared" si="191"/>
        <v>2094</v>
      </c>
      <c r="BR86" s="1">
        <f t="shared" si="163"/>
        <v>103</v>
      </c>
      <c r="BS86" s="1">
        <f t="shared" si="174"/>
        <v>7</v>
      </c>
      <c r="BT86" s="1">
        <f t="shared" si="156"/>
        <v>51</v>
      </c>
      <c r="BU86" s="1">
        <f t="shared" si="167"/>
        <v>48</v>
      </c>
      <c r="BV86" s="2">
        <f t="shared" si="94"/>
        <v>10300</v>
      </c>
      <c r="BW86" s="8">
        <f t="shared" si="164"/>
        <v>4.7500000000000001E-2</v>
      </c>
      <c r="BX86" s="2">
        <f t="shared" si="95"/>
        <v>10626.166666666668</v>
      </c>
      <c r="BY86" s="2">
        <f t="shared" si="165"/>
        <v>206</v>
      </c>
      <c r="BZ86" s="2">
        <f t="shared" si="120"/>
        <v>10600</v>
      </c>
      <c r="CA86" s="8">
        <f t="shared" si="175"/>
        <v>4.5999999999999999E-2</v>
      </c>
      <c r="CB86" s="2">
        <f t="shared" si="117"/>
        <v>10925.066666666666</v>
      </c>
      <c r="CC86" s="2">
        <f t="shared" si="176"/>
        <v>212</v>
      </c>
      <c r="CD86" s="2">
        <f t="shared" si="192"/>
        <v>0</v>
      </c>
      <c r="CE86" s="2">
        <f t="shared" si="96"/>
        <v>0</v>
      </c>
      <c r="CF86" s="2">
        <f t="shared" si="97"/>
        <v>84.200000000028922</v>
      </c>
      <c r="CG86" s="1">
        <f t="shared" si="159"/>
        <v>0</v>
      </c>
      <c r="CH86" s="2">
        <f t="shared" si="193"/>
        <v>84.200000000028922</v>
      </c>
      <c r="CI86" s="1">
        <f t="shared" si="89"/>
        <v>0</v>
      </c>
      <c r="CJ86" s="2">
        <f t="shared" si="98"/>
        <v>84.200000000028922</v>
      </c>
      <c r="CK86" s="2">
        <f t="shared" si="99"/>
        <v>129546.23333333335</v>
      </c>
      <c r="CL86" s="2">
        <f t="shared" si="194"/>
        <v>0</v>
      </c>
      <c r="CM86" s="2">
        <f t="shared" si="216"/>
        <v>678.48210500000016</v>
      </c>
      <c r="CN86" s="2">
        <f t="shared" si="195"/>
        <v>128867.75122833335</v>
      </c>
      <c r="CO86" s="2">
        <f t="shared" si="217"/>
        <v>2512</v>
      </c>
      <c r="CP86" s="2">
        <f t="shared" si="196"/>
        <v>5136.5043333333369</v>
      </c>
      <c r="CQ86" s="2">
        <f t="shared" si="197"/>
        <v>121219.24689500002</v>
      </c>
      <c r="CS86" s="5">
        <f t="shared" si="218"/>
        <v>1000</v>
      </c>
      <c r="CT86" s="2">
        <f t="shared" si="219"/>
        <v>100000</v>
      </c>
      <c r="CU86" s="2">
        <f t="shared" si="220"/>
        <v>100000</v>
      </c>
      <c r="CV86" s="2">
        <f t="shared" si="221"/>
        <v>128542.10394532533</v>
      </c>
      <c r="CW86" s="8">
        <f t="shared" si="198"/>
        <v>5.1000000000000004E-2</v>
      </c>
      <c r="CX86" s="2">
        <f t="shared" si="199"/>
        <v>132912.5354794664</v>
      </c>
      <c r="CY86" s="2" t="str">
        <f t="shared" si="200"/>
        <v>nie</v>
      </c>
      <c r="CZ86" s="2">
        <f t="shared" si="222"/>
        <v>0</v>
      </c>
      <c r="DA86" s="2">
        <f t="shared" si="223"/>
        <v>0</v>
      </c>
      <c r="DB86" s="2">
        <f t="shared" si="224"/>
        <v>132912.5354794664</v>
      </c>
      <c r="DC86" s="2">
        <f t="shared" si="201"/>
        <v>0</v>
      </c>
      <c r="DD86" s="2">
        <f t="shared" si="225"/>
        <v>690.04226731991287</v>
      </c>
      <c r="DE86" s="2">
        <f t="shared" si="226"/>
        <v>132222.49321214648</v>
      </c>
      <c r="DF86" s="2">
        <f t="shared" si="202"/>
        <v>3000</v>
      </c>
      <c r="DG86" s="2">
        <f t="shared" si="203"/>
        <v>5683.3817410986167</v>
      </c>
      <c r="DH86" s="2">
        <f t="shared" si="227"/>
        <v>123539.11147104786</v>
      </c>
    </row>
    <row r="87" spans="2:112">
      <c r="B87" s="232"/>
      <c r="C87" s="1">
        <f t="shared" si="168"/>
        <v>50</v>
      </c>
      <c r="D87" s="2">
        <f t="shared" si="105"/>
        <v>118711.206675696</v>
      </c>
      <c r="E87" s="2">
        <f t="shared" si="106"/>
        <v>114141.453509296</v>
      </c>
      <c r="F87" s="2">
        <f t="shared" si="107"/>
        <v>120432.651245</v>
      </c>
      <c r="G87" s="2">
        <f t="shared" si="108"/>
        <v>115540.18124500001</v>
      </c>
      <c r="H87" s="2">
        <f t="shared" si="109"/>
        <v>122821.22215273822</v>
      </c>
      <c r="I87" s="2">
        <f t="shared" si="110"/>
        <v>115955.83181260167</v>
      </c>
      <c r="J87" s="2">
        <f t="shared" si="169"/>
        <v>112902.29539841811</v>
      </c>
      <c r="K87" s="2">
        <f t="shared" si="170"/>
        <v>113572.3832306525</v>
      </c>
      <c r="W87" s="1">
        <f t="shared" si="204"/>
        <v>69</v>
      </c>
      <c r="X87" s="2">
        <f t="shared" si="177"/>
        <v>119199.67731665946</v>
      </c>
      <c r="Y87" s="8">
        <f t="shared" si="157"/>
        <v>3.9100000000000003E-2</v>
      </c>
      <c r="Z87" s="5">
        <f t="shared" si="205"/>
        <v>1133</v>
      </c>
      <c r="AA87" s="2">
        <f t="shared" si="206"/>
        <v>113186.70000000001</v>
      </c>
      <c r="AB87" s="2">
        <f t="shared" si="207"/>
        <v>113300</v>
      </c>
      <c r="AC87" s="2">
        <f t="shared" si="208"/>
        <v>123489.74880000002</v>
      </c>
      <c r="AD87" s="8">
        <f t="shared" si="178"/>
        <v>4.3999999999999997E-2</v>
      </c>
      <c r="AE87" s="2">
        <f t="shared" si="179"/>
        <v>127564.9105104</v>
      </c>
      <c r="AF87" s="2" t="str">
        <f t="shared" si="180"/>
        <v>nie</v>
      </c>
      <c r="AG87" s="2">
        <f t="shared" si="181"/>
        <v>1133</v>
      </c>
      <c r="AH87" s="1">
        <f t="shared" si="79"/>
        <v>0</v>
      </c>
      <c r="AI87" s="1">
        <f t="shared" si="171"/>
        <v>0</v>
      </c>
      <c r="AJ87" s="1">
        <f t="shared" ref="AJ87:AJ118" si="228">IF(zapadalnosc_TOS/12&gt;=AJ$18,AI75,0)</f>
        <v>0</v>
      </c>
      <c r="AK87" s="1">
        <f t="shared" si="166"/>
        <v>0</v>
      </c>
      <c r="AL87" s="2">
        <f t="shared" si="90"/>
        <v>0</v>
      </c>
      <c r="AM87" s="8">
        <f t="shared" si="160"/>
        <v>4.3999999999999997E-2</v>
      </c>
      <c r="AN87" s="2">
        <f t="shared" si="91"/>
        <v>0</v>
      </c>
      <c r="AO87" s="2">
        <f t="shared" si="161"/>
        <v>0</v>
      </c>
      <c r="AP87" s="2">
        <f t="shared" si="119"/>
        <v>0</v>
      </c>
      <c r="AQ87" s="8">
        <f t="shared" si="172"/>
        <v>3.9100000000000003E-2</v>
      </c>
      <c r="AR87" s="2">
        <f t="shared" si="113"/>
        <v>0</v>
      </c>
      <c r="AS87" s="2">
        <f t="shared" si="173"/>
        <v>0</v>
      </c>
      <c r="AT87" s="2">
        <f t="shared" si="209"/>
        <v>0</v>
      </c>
      <c r="AU87" s="2">
        <f t="shared" si="92"/>
        <v>0</v>
      </c>
      <c r="AV87" s="2">
        <f t="shared" si="82"/>
        <v>68.549759999979869</v>
      </c>
      <c r="AW87" s="1">
        <f t="shared" si="158"/>
        <v>0</v>
      </c>
      <c r="AX87" s="2">
        <f t="shared" si="182"/>
        <v>68.549759999979869</v>
      </c>
      <c r="AY87" s="1">
        <f t="shared" si="83"/>
        <v>0</v>
      </c>
      <c r="AZ87" s="2">
        <f t="shared" si="210"/>
        <v>68.549759999979869</v>
      </c>
      <c r="BA87" s="2">
        <f t="shared" si="93"/>
        <v>127633.46027039998</v>
      </c>
      <c r="BB87" s="2">
        <f t="shared" si="183"/>
        <v>0</v>
      </c>
      <c r="BC87" s="2">
        <f t="shared" si="211"/>
        <v>670.59367243199995</v>
      </c>
      <c r="BD87" s="2">
        <f t="shared" si="184"/>
        <v>126962.86659796798</v>
      </c>
      <c r="BE87" s="2">
        <f t="shared" si="212"/>
        <v>1133</v>
      </c>
      <c r="BF87" s="2">
        <f t="shared" si="185"/>
        <v>5035.0874513759973</v>
      </c>
      <c r="BG87" s="2">
        <f t="shared" si="186"/>
        <v>120794.77914659199</v>
      </c>
      <c r="BI87" s="8">
        <f t="shared" si="162"/>
        <v>3.1E-2</v>
      </c>
      <c r="BJ87" s="5">
        <f t="shared" si="213"/>
        <v>1047</v>
      </c>
      <c r="BK87" s="2">
        <f t="shared" si="214"/>
        <v>104595.3</v>
      </c>
      <c r="BL87" s="2">
        <f t="shared" si="215"/>
        <v>104700</v>
      </c>
      <c r="BM87" s="2">
        <f t="shared" si="187"/>
        <v>104700</v>
      </c>
      <c r="BN87" s="8">
        <f t="shared" si="188"/>
        <v>4.5999999999999999E-2</v>
      </c>
      <c r="BO87" s="2">
        <f t="shared" si="189"/>
        <v>108312.15</v>
      </c>
      <c r="BP87" s="2" t="str">
        <f t="shared" si="190"/>
        <v>nie</v>
      </c>
      <c r="BQ87" s="2">
        <f t="shared" si="191"/>
        <v>2094</v>
      </c>
      <c r="BR87" s="1">
        <f t="shared" si="163"/>
        <v>103</v>
      </c>
      <c r="BS87" s="1">
        <f t="shared" si="174"/>
        <v>7</v>
      </c>
      <c r="BT87" s="1">
        <f t="shared" ref="BT87:BT118" si="229">IF(zapadalnosc_COI/12&gt;=BT$18,BS75,0)</f>
        <v>51</v>
      </c>
      <c r="BU87" s="1">
        <f t="shared" si="167"/>
        <v>48</v>
      </c>
      <c r="BV87" s="2">
        <f t="shared" si="94"/>
        <v>10300</v>
      </c>
      <c r="BW87" s="8">
        <f t="shared" si="164"/>
        <v>4.7500000000000001E-2</v>
      </c>
      <c r="BX87" s="2">
        <f t="shared" si="95"/>
        <v>10666.9375</v>
      </c>
      <c r="BY87" s="2">
        <f t="shared" si="165"/>
        <v>206</v>
      </c>
      <c r="BZ87" s="2">
        <f t="shared" si="120"/>
        <v>10600</v>
      </c>
      <c r="CA87" s="8">
        <f t="shared" si="175"/>
        <v>4.5999999999999999E-2</v>
      </c>
      <c r="CB87" s="2">
        <f t="shared" si="117"/>
        <v>10965.699999999999</v>
      </c>
      <c r="CC87" s="2">
        <f t="shared" si="176"/>
        <v>212</v>
      </c>
      <c r="CD87" s="2">
        <f t="shared" si="192"/>
        <v>0</v>
      </c>
      <c r="CE87" s="2">
        <f t="shared" si="96"/>
        <v>0</v>
      </c>
      <c r="CF87" s="2">
        <f t="shared" si="97"/>
        <v>84.200000000028922</v>
      </c>
      <c r="CG87" s="1">
        <f t="shared" si="159"/>
        <v>0</v>
      </c>
      <c r="CH87" s="2">
        <f t="shared" si="193"/>
        <v>84.200000000028922</v>
      </c>
      <c r="CI87" s="1">
        <f t="shared" si="89"/>
        <v>0</v>
      </c>
      <c r="CJ87" s="2">
        <f t="shared" si="98"/>
        <v>84.200000000028922</v>
      </c>
      <c r="CK87" s="2">
        <f t="shared" si="99"/>
        <v>130028.98750000002</v>
      </c>
      <c r="CL87" s="2">
        <f t="shared" si="194"/>
        <v>0</v>
      </c>
      <c r="CM87" s="2">
        <f t="shared" si="216"/>
        <v>678.48210500000016</v>
      </c>
      <c r="CN87" s="2">
        <f t="shared" si="195"/>
        <v>129350.50539500001</v>
      </c>
      <c r="CO87" s="2">
        <f t="shared" si="217"/>
        <v>2512</v>
      </c>
      <c r="CP87" s="2">
        <f t="shared" si="196"/>
        <v>5228.2276250000032</v>
      </c>
      <c r="CQ87" s="2">
        <f t="shared" si="197"/>
        <v>121610.27777000002</v>
      </c>
      <c r="CS87" s="5">
        <f t="shared" si="218"/>
        <v>1000</v>
      </c>
      <c r="CT87" s="2">
        <f t="shared" si="219"/>
        <v>100000</v>
      </c>
      <c r="CU87" s="2">
        <f t="shared" si="220"/>
        <v>100000</v>
      </c>
      <c r="CV87" s="2">
        <f t="shared" si="221"/>
        <v>128542.10394532533</v>
      </c>
      <c r="CW87" s="8">
        <f t="shared" si="198"/>
        <v>5.1000000000000004E-2</v>
      </c>
      <c r="CX87" s="2">
        <f t="shared" si="199"/>
        <v>133458.83942123401</v>
      </c>
      <c r="CY87" s="2" t="str">
        <f t="shared" si="200"/>
        <v>nie</v>
      </c>
      <c r="CZ87" s="2">
        <f t="shared" si="222"/>
        <v>0</v>
      </c>
      <c r="DA87" s="2">
        <f t="shared" si="223"/>
        <v>0</v>
      </c>
      <c r="DB87" s="2">
        <f t="shared" si="224"/>
        <v>133458.83942123401</v>
      </c>
      <c r="DC87" s="2">
        <f t="shared" si="201"/>
        <v>0</v>
      </c>
      <c r="DD87" s="2">
        <f t="shared" si="225"/>
        <v>690.04226731991287</v>
      </c>
      <c r="DE87" s="2">
        <f t="shared" si="226"/>
        <v>132768.79715391409</v>
      </c>
      <c r="DF87" s="2">
        <f t="shared" si="202"/>
        <v>3000</v>
      </c>
      <c r="DG87" s="2">
        <f t="shared" si="203"/>
        <v>5787.1794900344612</v>
      </c>
      <c r="DH87" s="2">
        <f t="shared" si="227"/>
        <v>123981.61766387962</v>
      </c>
    </row>
    <row r="88" spans="2:112">
      <c r="B88" s="232"/>
      <c r="C88" s="1">
        <f t="shared" si="168"/>
        <v>51</v>
      </c>
      <c r="D88" s="2">
        <f t="shared" si="105"/>
        <v>119144.91907569597</v>
      </c>
      <c r="E88" s="2">
        <f t="shared" si="106"/>
        <v>114492.76055329597</v>
      </c>
      <c r="F88" s="2">
        <f t="shared" si="107"/>
        <v>120905.82624500003</v>
      </c>
      <c r="G88" s="2">
        <f t="shared" si="108"/>
        <v>115585.51424500001</v>
      </c>
      <c r="H88" s="2">
        <f t="shared" si="109"/>
        <v>123341.01657877784</v>
      </c>
      <c r="I88" s="2">
        <f t="shared" si="110"/>
        <v>116376.86529769376</v>
      </c>
      <c r="J88" s="2">
        <f t="shared" si="169"/>
        <v>113176.64797623626</v>
      </c>
      <c r="K88" s="2">
        <f t="shared" si="170"/>
        <v>113864.27046992874</v>
      </c>
      <c r="W88" s="1">
        <f t="shared" si="204"/>
        <v>70</v>
      </c>
      <c r="X88" s="2">
        <f t="shared" si="177"/>
        <v>119500.61306035329</v>
      </c>
      <c r="Y88" s="8">
        <f t="shared" si="157"/>
        <v>3.9100000000000003E-2</v>
      </c>
      <c r="Z88" s="5">
        <f t="shared" si="205"/>
        <v>1133</v>
      </c>
      <c r="AA88" s="2">
        <f t="shared" si="206"/>
        <v>113186.70000000001</v>
      </c>
      <c r="AB88" s="2">
        <f t="shared" si="207"/>
        <v>113300</v>
      </c>
      <c r="AC88" s="2">
        <f t="shared" si="208"/>
        <v>123489.74880000002</v>
      </c>
      <c r="AD88" s="8">
        <f t="shared" si="178"/>
        <v>4.3999999999999997E-2</v>
      </c>
      <c r="AE88" s="2">
        <f t="shared" si="179"/>
        <v>128017.706256</v>
      </c>
      <c r="AF88" s="2" t="str">
        <f t="shared" si="180"/>
        <v>nie</v>
      </c>
      <c r="AG88" s="2">
        <f t="shared" si="181"/>
        <v>1133</v>
      </c>
      <c r="AH88" s="1">
        <f t="shared" si="79"/>
        <v>0</v>
      </c>
      <c r="AI88" s="1">
        <f t="shared" si="171"/>
        <v>0</v>
      </c>
      <c r="AJ88" s="1">
        <f t="shared" si="228"/>
        <v>0</v>
      </c>
      <c r="AK88" s="1">
        <f t="shared" si="166"/>
        <v>0</v>
      </c>
      <c r="AL88" s="2">
        <f t="shared" si="90"/>
        <v>0</v>
      </c>
      <c r="AM88" s="8">
        <f t="shared" si="160"/>
        <v>4.3999999999999997E-2</v>
      </c>
      <c r="AN88" s="2">
        <f t="shared" si="91"/>
        <v>0</v>
      </c>
      <c r="AO88" s="2">
        <f t="shared" si="161"/>
        <v>0</v>
      </c>
      <c r="AP88" s="2">
        <f t="shared" si="119"/>
        <v>0</v>
      </c>
      <c r="AQ88" s="8">
        <f t="shared" si="172"/>
        <v>3.9100000000000003E-2</v>
      </c>
      <c r="AR88" s="2">
        <f t="shared" si="113"/>
        <v>0</v>
      </c>
      <c r="AS88" s="2">
        <f t="shared" si="173"/>
        <v>0</v>
      </c>
      <c r="AT88" s="2">
        <f t="shared" si="209"/>
        <v>0</v>
      </c>
      <c r="AU88" s="2">
        <f t="shared" si="92"/>
        <v>0</v>
      </c>
      <c r="AV88" s="2">
        <f t="shared" si="82"/>
        <v>68.549759999979869</v>
      </c>
      <c r="AW88" s="1">
        <f t="shared" si="158"/>
        <v>0</v>
      </c>
      <c r="AX88" s="2">
        <f t="shared" si="182"/>
        <v>68.549759999979869</v>
      </c>
      <c r="AY88" s="1">
        <f t="shared" si="83"/>
        <v>0</v>
      </c>
      <c r="AZ88" s="2">
        <f t="shared" si="210"/>
        <v>68.549759999979869</v>
      </c>
      <c r="BA88" s="2">
        <f t="shared" si="93"/>
        <v>128086.25601599998</v>
      </c>
      <c r="BB88" s="2">
        <f t="shared" si="183"/>
        <v>0</v>
      </c>
      <c r="BC88" s="2">
        <f t="shared" si="211"/>
        <v>670.59367243199995</v>
      </c>
      <c r="BD88" s="2">
        <f t="shared" si="184"/>
        <v>127415.66234356798</v>
      </c>
      <c r="BE88" s="2">
        <f t="shared" si="212"/>
        <v>1133</v>
      </c>
      <c r="BF88" s="2">
        <f t="shared" si="185"/>
        <v>5121.1186430399976</v>
      </c>
      <c r="BG88" s="2">
        <f t="shared" si="186"/>
        <v>121161.54370052798</v>
      </c>
      <c r="BI88" s="8">
        <f t="shared" si="162"/>
        <v>3.1E-2</v>
      </c>
      <c r="BJ88" s="5">
        <f t="shared" si="213"/>
        <v>1047</v>
      </c>
      <c r="BK88" s="2">
        <f t="shared" si="214"/>
        <v>104595.3</v>
      </c>
      <c r="BL88" s="2">
        <f t="shared" si="215"/>
        <v>104700</v>
      </c>
      <c r="BM88" s="2">
        <f t="shared" si="187"/>
        <v>104700</v>
      </c>
      <c r="BN88" s="8">
        <f t="shared" si="188"/>
        <v>4.5999999999999999E-2</v>
      </c>
      <c r="BO88" s="2">
        <f t="shared" si="189"/>
        <v>108713.5</v>
      </c>
      <c r="BP88" s="2" t="str">
        <f t="shared" si="190"/>
        <v>nie</v>
      </c>
      <c r="BQ88" s="2">
        <f t="shared" si="191"/>
        <v>2094</v>
      </c>
      <c r="BR88" s="1">
        <f t="shared" si="163"/>
        <v>103</v>
      </c>
      <c r="BS88" s="1">
        <f t="shared" si="174"/>
        <v>7</v>
      </c>
      <c r="BT88" s="1">
        <f t="shared" si="229"/>
        <v>51</v>
      </c>
      <c r="BU88" s="1">
        <f t="shared" si="167"/>
        <v>48</v>
      </c>
      <c r="BV88" s="2">
        <f t="shared" si="94"/>
        <v>10300</v>
      </c>
      <c r="BW88" s="8">
        <f t="shared" si="164"/>
        <v>4.7500000000000001E-2</v>
      </c>
      <c r="BX88" s="2">
        <f t="shared" si="95"/>
        <v>10707.708333333332</v>
      </c>
      <c r="BY88" s="2">
        <f t="shared" si="165"/>
        <v>206</v>
      </c>
      <c r="BZ88" s="2">
        <f t="shared" si="120"/>
        <v>10600</v>
      </c>
      <c r="CA88" s="8">
        <f t="shared" si="175"/>
        <v>4.5999999999999999E-2</v>
      </c>
      <c r="CB88" s="2">
        <f t="shared" si="117"/>
        <v>11006.333333333334</v>
      </c>
      <c r="CC88" s="2">
        <f t="shared" si="176"/>
        <v>212</v>
      </c>
      <c r="CD88" s="2">
        <f t="shared" si="192"/>
        <v>0</v>
      </c>
      <c r="CE88" s="2">
        <f t="shared" si="96"/>
        <v>0</v>
      </c>
      <c r="CF88" s="2">
        <f t="shared" si="97"/>
        <v>84.200000000028922</v>
      </c>
      <c r="CG88" s="1">
        <f t="shared" si="159"/>
        <v>0</v>
      </c>
      <c r="CH88" s="2">
        <f t="shared" si="193"/>
        <v>84.200000000028922</v>
      </c>
      <c r="CI88" s="1">
        <f t="shared" si="89"/>
        <v>0</v>
      </c>
      <c r="CJ88" s="2">
        <f t="shared" si="98"/>
        <v>84.200000000028922</v>
      </c>
      <c r="CK88" s="2">
        <f t="shared" si="99"/>
        <v>130511.74166666668</v>
      </c>
      <c r="CL88" s="2">
        <f t="shared" si="194"/>
        <v>0</v>
      </c>
      <c r="CM88" s="2">
        <f t="shared" si="216"/>
        <v>678.48210500000016</v>
      </c>
      <c r="CN88" s="2">
        <f t="shared" si="195"/>
        <v>129833.25956166668</v>
      </c>
      <c r="CO88" s="2">
        <f t="shared" si="217"/>
        <v>2512</v>
      </c>
      <c r="CP88" s="2">
        <f t="shared" si="196"/>
        <v>5319.9509166666703</v>
      </c>
      <c r="CQ88" s="2">
        <f t="shared" si="197"/>
        <v>122001.30864500001</v>
      </c>
      <c r="CS88" s="5">
        <f t="shared" si="218"/>
        <v>1000</v>
      </c>
      <c r="CT88" s="2">
        <f t="shared" si="219"/>
        <v>100000</v>
      </c>
      <c r="CU88" s="2">
        <f t="shared" si="220"/>
        <v>100000</v>
      </c>
      <c r="CV88" s="2">
        <f t="shared" si="221"/>
        <v>128542.10394532533</v>
      </c>
      <c r="CW88" s="8">
        <f t="shared" si="198"/>
        <v>5.1000000000000004E-2</v>
      </c>
      <c r="CX88" s="2">
        <f t="shared" si="199"/>
        <v>134005.14336300167</v>
      </c>
      <c r="CY88" s="2" t="str">
        <f t="shared" si="200"/>
        <v>nie</v>
      </c>
      <c r="CZ88" s="2">
        <f t="shared" si="222"/>
        <v>0</v>
      </c>
      <c r="DA88" s="2">
        <f t="shared" si="223"/>
        <v>0</v>
      </c>
      <c r="DB88" s="2">
        <f t="shared" si="224"/>
        <v>134005.14336300167</v>
      </c>
      <c r="DC88" s="2">
        <f t="shared" si="201"/>
        <v>0</v>
      </c>
      <c r="DD88" s="2">
        <f t="shared" si="225"/>
        <v>690.04226731991287</v>
      </c>
      <c r="DE88" s="2">
        <f t="shared" si="226"/>
        <v>133315.10109568175</v>
      </c>
      <c r="DF88" s="2">
        <f t="shared" si="202"/>
        <v>3000</v>
      </c>
      <c r="DG88" s="2">
        <f t="shared" si="203"/>
        <v>5890.9772389703176</v>
      </c>
      <c r="DH88" s="2">
        <f t="shared" si="227"/>
        <v>124424.12385671143</v>
      </c>
    </row>
    <row r="89" spans="2:112">
      <c r="B89" s="232"/>
      <c r="C89" s="1">
        <f t="shared" si="168"/>
        <v>52</v>
      </c>
      <c r="D89" s="2">
        <f t="shared" si="105"/>
        <v>119578.63147569598</v>
      </c>
      <c r="E89" s="2">
        <f t="shared" si="106"/>
        <v>114844.06759729599</v>
      </c>
      <c r="F89" s="2">
        <f t="shared" si="107"/>
        <v>121379.00124500001</v>
      </c>
      <c r="G89" s="2">
        <f t="shared" si="108"/>
        <v>115630.84724500001</v>
      </c>
      <c r="H89" s="2">
        <f t="shared" si="109"/>
        <v>123860.81100481744</v>
      </c>
      <c r="I89" s="2">
        <f t="shared" si="110"/>
        <v>116797.89878278584</v>
      </c>
      <c r="J89" s="2">
        <f t="shared" si="169"/>
        <v>113451.66723081851</v>
      </c>
      <c r="K89" s="2">
        <f t="shared" si="170"/>
        <v>114156.157709205</v>
      </c>
      <c r="W89" s="1">
        <f t="shared" si="204"/>
        <v>71</v>
      </c>
      <c r="X89" s="2">
        <f t="shared" si="177"/>
        <v>119801.54880404712</v>
      </c>
      <c r="Y89" s="8">
        <f t="shared" ref="Y89:Y120" si="230">MAX(INDEX(scenariusz_I_WIBOR6M,MATCH(ROUNDUP(W89/12,0),scenariusz_I_rok,0)),0)</f>
        <v>3.9100000000000003E-2</v>
      </c>
      <c r="Z89" s="5">
        <f t="shared" si="205"/>
        <v>1133</v>
      </c>
      <c r="AA89" s="2">
        <f t="shared" si="206"/>
        <v>113186.70000000001</v>
      </c>
      <c r="AB89" s="2">
        <f t="shared" si="207"/>
        <v>113300</v>
      </c>
      <c r="AC89" s="2">
        <f t="shared" si="208"/>
        <v>123489.74880000002</v>
      </c>
      <c r="AD89" s="8">
        <f t="shared" si="178"/>
        <v>4.3999999999999997E-2</v>
      </c>
      <c r="AE89" s="2">
        <f t="shared" si="179"/>
        <v>128470.50200160002</v>
      </c>
      <c r="AF89" s="2" t="str">
        <f t="shared" si="180"/>
        <v>nie</v>
      </c>
      <c r="AG89" s="2">
        <f t="shared" si="181"/>
        <v>1133</v>
      </c>
      <c r="AH89" s="1">
        <f t="shared" si="79"/>
        <v>0</v>
      </c>
      <c r="AI89" s="1">
        <f t="shared" si="171"/>
        <v>0</v>
      </c>
      <c r="AJ89" s="1">
        <f t="shared" si="228"/>
        <v>0</v>
      </c>
      <c r="AK89" s="1">
        <f t="shared" si="166"/>
        <v>0</v>
      </c>
      <c r="AL89" s="2">
        <f t="shared" si="90"/>
        <v>0</v>
      </c>
      <c r="AM89" s="8">
        <f t="shared" si="160"/>
        <v>4.3999999999999997E-2</v>
      </c>
      <c r="AN89" s="2">
        <f t="shared" si="91"/>
        <v>0</v>
      </c>
      <c r="AO89" s="2">
        <f t="shared" si="161"/>
        <v>0</v>
      </c>
      <c r="AP89" s="2">
        <f t="shared" si="119"/>
        <v>0</v>
      </c>
      <c r="AQ89" s="8">
        <f t="shared" si="172"/>
        <v>3.9100000000000003E-2</v>
      </c>
      <c r="AR89" s="2">
        <f t="shared" si="113"/>
        <v>0</v>
      </c>
      <c r="AS89" s="2">
        <f t="shared" si="173"/>
        <v>0</v>
      </c>
      <c r="AT89" s="2">
        <f t="shared" si="209"/>
        <v>0</v>
      </c>
      <c r="AU89" s="2">
        <f t="shared" si="92"/>
        <v>0</v>
      </c>
      <c r="AV89" s="2">
        <f t="shared" si="82"/>
        <v>68.549759999979869</v>
      </c>
      <c r="AW89" s="1">
        <f t="shared" si="158"/>
        <v>0</v>
      </c>
      <c r="AX89" s="2">
        <f t="shared" si="182"/>
        <v>68.549759999979869</v>
      </c>
      <c r="AY89" s="1">
        <f t="shared" si="83"/>
        <v>0</v>
      </c>
      <c r="AZ89" s="2">
        <f t="shared" si="210"/>
        <v>68.549759999979869</v>
      </c>
      <c r="BA89" s="2">
        <f t="shared" si="93"/>
        <v>128539.0517616</v>
      </c>
      <c r="BB89" s="2">
        <f t="shared" si="183"/>
        <v>0</v>
      </c>
      <c r="BC89" s="2">
        <f t="shared" si="211"/>
        <v>670.59367243199995</v>
      </c>
      <c r="BD89" s="2">
        <f t="shared" si="184"/>
        <v>127868.45808916799</v>
      </c>
      <c r="BE89" s="2">
        <f t="shared" si="212"/>
        <v>1133</v>
      </c>
      <c r="BF89" s="2">
        <f t="shared" si="185"/>
        <v>5207.1498347039997</v>
      </c>
      <c r="BG89" s="2">
        <f t="shared" si="186"/>
        <v>121528.30825446399</v>
      </c>
      <c r="BI89" s="8">
        <f t="shared" si="162"/>
        <v>3.1E-2</v>
      </c>
      <c r="BJ89" s="5">
        <f t="shared" si="213"/>
        <v>1047</v>
      </c>
      <c r="BK89" s="2">
        <f t="shared" si="214"/>
        <v>104595.3</v>
      </c>
      <c r="BL89" s="2">
        <f t="shared" si="215"/>
        <v>104700</v>
      </c>
      <c r="BM89" s="2">
        <f t="shared" si="187"/>
        <v>104700</v>
      </c>
      <c r="BN89" s="8">
        <f t="shared" si="188"/>
        <v>4.5999999999999999E-2</v>
      </c>
      <c r="BO89" s="2">
        <f t="shared" si="189"/>
        <v>109114.85</v>
      </c>
      <c r="BP89" s="2" t="str">
        <f t="shared" si="190"/>
        <v>nie</v>
      </c>
      <c r="BQ89" s="2">
        <f t="shared" si="191"/>
        <v>2094</v>
      </c>
      <c r="BR89" s="1">
        <f t="shared" si="163"/>
        <v>103</v>
      </c>
      <c r="BS89" s="1">
        <f t="shared" si="174"/>
        <v>7</v>
      </c>
      <c r="BT89" s="1">
        <f t="shared" si="229"/>
        <v>51</v>
      </c>
      <c r="BU89" s="1">
        <f t="shared" si="167"/>
        <v>48</v>
      </c>
      <c r="BV89" s="2">
        <f t="shared" si="94"/>
        <v>10300</v>
      </c>
      <c r="BW89" s="8">
        <f t="shared" si="164"/>
        <v>4.7500000000000001E-2</v>
      </c>
      <c r="BX89" s="2">
        <f t="shared" si="95"/>
        <v>10748.479166666666</v>
      </c>
      <c r="BY89" s="2">
        <f t="shared" si="165"/>
        <v>206</v>
      </c>
      <c r="BZ89" s="2">
        <f t="shared" si="120"/>
        <v>10600</v>
      </c>
      <c r="CA89" s="8">
        <f t="shared" si="175"/>
        <v>4.5999999999999999E-2</v>
      </c>
      <c r="CB89" s="2">
        <f t="shared" si="117"/>
        <v>11046.966666666667</v>
      </c>
      <c r="CC89" s="2">
        <f t="shared" si="176"/>
        <v>212</v>
      </c>
      <c r="CD89" s="2">
        <f t="shared" si="192"/>
        <v>0</v>
      </c>
      <c r="CE89" s="2">
        <f t="shared" si="96"/>
        <v>0</v>
      </c>
      <c r="CF89" s="2">
        <f t="shared" si="97"/>
        <v>84.200000000028922</v>
      </c>
      <c r="CG89" s="1">
        <f t="shared" si="159"/>
        <v>0</v>
      </c>
      <c r="CH89" s="2">
        <f t="shared" si="193"/>
        <v>84.200000000028922</v>
      </c>
      <c r="CI89" s="1">
        <f t="shared" si="89"/>
        <v>0</v>
      </c>
      <c r="CJ89" s="2">
        <f t="shared" si="98"/>
        <v>84.200000000028922</v>
      </c>
      <c r="CK89" s="2">
        <f t="shared" si="99"/>
        <v>130994.49583333336</v>
      </c>
      <c r="CL89" s="2">
        <f t="shared" si="194"/>
        <v>0</v>
      </c>
      <c r="CM89" s="2">
        <f t="shared" si="216"/>
        <v>678.48210500000016</v>
      </c>
      <c r="CN89" s="2">
        <f t="shared" si="195"/>
        <v>130316.01372833336</v>
      </c>
      <c r="CO89" s="2">
        <f t="shared" si="217"/>
        <v>2512</v>
      </c>
      <c r="CP89" s="2">
        <f t="shared" si="196"/>
        <v>5411.6742083333393</v>
      </c>
      <c r="CQ89" s="2">
        <f t="shared" si="197"/>
        <v>122392.33952000002</v>
      </c>
      <c r="CS89" s="5">
        <f t="shared" si="218"/>
        <v>1000</v>
      </c>
      <c r="CT89" s="2">
        <f t="shared" si="219"/>
        <v>100000</v>
      </c>
      <c r="CU89" s="2">
        <f t="shared" si="220"/>
        <v>100000</v>
      </c>
      <c r="CV89" s="2">
        <f t="shared" si="221"/>
        <v>128542.10394532533</v>
      </c>
      <c r="CW89" s="8">
        <f t="shared" si="198"/>
        <v>5.1000000000000004E-2</v>
      </c>
      <c r="CX89" s="2">
        <f t="shared" si="199"/>
        <v>134551.4473047693</v>
      </c>
      <c r="CY89" s="2" t="str">
        <f t="shared" si="200"/>
        <v>nie</v>
      </c>
      <c r="CZ89" s="2">
        <f t="shared" si="222"/>
        <v>0</v>
      </c>
      <c r="DA89" s="2">
        <f t="shared" si="223"/>
        <v>0</v>
      </c>
      <c r="DB89" s="2">
        <f t="shared" si="224"/>
        <v>134551.4473047693</v>
      </c>
      <c r="DC89" s="2">
        <f t="shared" si="201"/>
        <v>0</v>
      </c>
      <c r="DD89" s="2">
        <f t="shared" si="225"/>
        <v>690.04226731991287</v>
      </c>
      <c r="DE89" s="2">
        <f t="shared" si="226"/>
        <v>133861.40503744938</v>
      </c>
      <c r="DF89" s="2">
        <f t="shared" si="202"/>
        <v>3000</v>
      </c>
      <c r="DG89" s="2">
        <f t="shared" si="203"/>
        <v>5994.7749879061676</v>
      </c>
      <c r="DH89" s="2">
        <f t="shared" si="227"/>
        <v>124866.63004954321</v>
      </c>
    </row>
    <row r="90" spans="2:112">
      <c r="B90" s="232"/>
      <c r="C90" s="1">
        <f t="shared" si="168"/>
        <v>53</v>
      </c>
      <c r="D90" s="2">
        <f t="shared" si="105"/>
        <v>120012.34387569598</v>
      </c>
      <c r="E90" s="2">
        <f t="shared" si="106"/>
        <v>115195.37464129599</v>
      </c>
      <c r="F90" s="2">
        <f t="shared" si="107"/>
        <v>121852.17624500001</v>
      </c>
      <c r="G90" s="2">
        <f t="shared" si="108"/>
        <v>115676.18024500001</v>
      </c>
      <c r="H90" s="2">
        <f t="shared" si="109"/>
        <v>124380.60543085706</v>
      </c>
      <c r="I90" s="2">
        <f t="shared" si="110"/>
        <v>117218.93226787793</v>
      </c>
      <c r="J90" s="2">
        <f t="shared" si="169"/>
        <v>113727.35478218939</v>
      </c>
      <c r="K90" s="2">
        <f t="shared" si="170"/>
        <v>114448.04494848127</v>
      </c>
      <c r="W90" s="1">
        <f t="shared" si="204"/>
        <v>72</v>
      </c>
      <c r="X90" s="2">
        <f t="shared" si="177"/>
        <v>120102.48454774093</v>
      </c>
      <c r="Y90" s="8">
        <f t="shared" si="230"/>
        <v>3.9100000000000003E-2</v>
      </c>
      <c r="Z90" s="5">
        <f t="shared" si="205"/>
        <v>1133</v>
      </c>
      <c r="AA90" s="2">
        <f t="shared" si="206"/>
        <v>113186.70000000001</v>
      </c>
      <c r="AB90" s="2">
        <f t="shared" si="207"/>
        <v>113300</v>
      </c>
      <c r="AC90" s="2">
        <f t="shared" si="208"/>
        <v>123489.74880000002</v>
      </c>
      <c r="AD90" s="8">
        <f t="shared" si="178"/>
        <v>3.9100000000000003E-2</v>
      </c>
      <c r="AE90" s="2">
        <f t="shared" si="179"/>
        <v>128318.19797808</v>
      </c>
      <c r="AF90" s="2" t="str">
        <f t="shared" si="180"/>
        <v>tak</v>
      </c>
      <c r="AG90" s="2">
        <f t="shared" si="181"/>
        <v>0</v>
      </c>
      <c r="AH90" s="1">
        <f t="shared" si="79"/>
        <v>0</v>
      </c>
      <c r="AI90" s="1">
        <f t="shared" si="171"/>
        <v>0</v>
      </c>
      <c r="AJ90" s="1">
        <f t="shared" si="228"/>
        <v>0</v>
      </c>
      <c r="AK90" s="1">
        <f t="shared" si="166"/>
        <v>0</v>
      </c>
      <c r="AL90" s="2">
        <f t="shared" si="90"/>
        <v>0</v>
      </c>
      <c r="AM90" s="8">
        <f t="shared" si="160"/>
        <v>4.3999999999999997E-2</v>
      </c>
      <c r="AN90" s="2">
        <f t="shared" si="91"/>
        <v>0</v>
      </c>
      <c r="AO90" s="2">
        <f t="shared" si="161"/>
        <v>0</v>
      </c>
      <c r="AP90" s="2">
        <f t="shared" si="119"/>
        <v>0</v>
      </c>
      <c r="AQ90" s="8">
        <f t="shared" si="172"/>
        <v>3.9100000000000003E-2</v>
      </c>
      <c r="AR90" s="2">
        <f t="shared" si="113"/>
        <v>0</v>
      </c>
      <c r="AS90" s="2">
        <f t="shared" si="173"/>
        <v>0</v>
      </c>
      <c r="AT90" s="2">
        <f t="shared" si="209"/>
        <v>46.597978079997119</v>
      </c>
      <c r="AU90" s="2">
        <f t="shared" si="92"/>
        <v>0</v>
      </c>
      <c r="AV90" s="2">
        <f t="shared" si="82"/>
        <v>115.14773807997699</v>
      </c>
      <c r="AW90" s="1">
        <f t="shared" si="158"/>
        <v>0</v>
      </c>
      <c r="AX90" s="2">
        <f t="shared" si="182"/>
        <v>115.14773807997699</v>
      </c>
      <c r="AY90" s="1">
        <f t="shared" si="83"/>
        <v>1</v>
      </c>
      <c r="AZ90" s="2">
        <f t="shared" si="210"/>
        <v>15.147738079976989</v>
      </c>
      <c r="BA90" s="2">
        <f t="shared" si="93"/>
        <v>128386.74773807998</v>
      </c>
      <c r="BB90" s="2">
        <f t="shared" si="183"/>
        <v>154.06409728569596</v>
      </c>
      <c r="BC90" s="2">
        <f t="shared" si="211"/>
        <v>824.65776971769594</v>
      </c>
      <c r="BD90" s="2">
        <f t="shared" si="184"/>
        <v>127562.08996836228</v>
      </c>
      <c r="BE90" s="2">
        <f t="shared" si="212"/>
        <v>0</v>
      </c>
      <c r="BF90" s="2">
        <f t="shared" si="185"/>
        <v>5393.4820702351972</v>
      </c>
      <c r="BG90" s="2">
        <f t="shared" si="186"/>
        <v>122168.60789812708</v>
      </c>
      <c r="BI90" s="8">
        <f t="shared" si="162"/>
        <v>3.1E-2</v>
      </c>
      <c r="BJ90" s="5">
        <f t="shared" si="213"/>
        <v>1047</v>
      </c>
      <c r="BK90" s="2">
        <f t="shared" si="214"/>
        <v>104595.3</v>
      </c>
      <c r="BL90" s="2">
        <f t="shared" si="215"/>
        <v>104700</v>
      </c>
      <c r="BM90" s="2">
        <f t="shared" si="187"/>
        <v>104700</v>
      </c>
      <c r="BN90" s="8">
        <f t="shared" si="188"/>
        <v>4.5999999999999999E-2</v>
      </c>
      <c r="BO90" s="2">
        <f t="shared" si="189"/>
        <v>109516.2</v>
      </c>
      <c r="BP90" s="2" t="str">
        <f t="shared" si="190"/>
        <v>nie</v>
      </c>
      <c r="BQ90" s="2">
        <f t="shared" si="191"/>
        <v>2094</v>
      </c>
      <c r="BR90" s="1">
        <f t="shared" si="163"/>
        <v>103</v>
      </c>
      <c r="BS90" s="1">
        <f t="shared" si="174"/>
        <v>7</v>
      </c>
      <c r="BT90" s="1">
        <f t="shared" si="229"/>
        <v>51</v>
      </c>
      <c r="BU90" s="1">
        <f t="shared" si="167"/>
        <v>48</v>
      </c>
      <c r="BV90" s="2">
        <f t="shared" si="94"/>
        <v>10300</v>
      </c>
      <c r="BW90" s="8">
        <f t="shared" si="164"/>
        <v>4.7500000000000001E-2</v>
      </c>
      <c r="BX90" s="2">
        <f t="shared" si="95"/>
        <v>10789.250000000002</v>
      </c>
      <c r="BY90" s="2">
        <f t="shared" si="165"/>
        <v>206</v>
      </c>
      <c r="BZ90" s="2">
        <f t="shared" si="120"/>
        <v>10600</v>
      </c>
      <c r="CA90" s="8">
        <f t="shared" si="175"/>
        <v>4.5999999999999999E-2</v>
      </c>
      <c r="CB90" s="2">
        <f t="shared" si="117"/>
        <v>11087.6</v>
      </c>
      <c r="CC90" s="2">
        <f t="shared" si="176"/>
        <v>212</v>
      </c>
      <c r="CD90" s="2">
        <f t="shared" si="192"/>
        <v>4816.1999999999971</v>
      </c>
      <c r="CE90" s="2">
        <f t="shared" si="96"/>
        <v>5776.8500000000022</v>
      </c>
      <c r="CF90" s="2">
        <f t="shared" si="97"/>
        <v>10677.250000000029</v>
      </c>
      <c r="CG90" s="1">
        <f t="shared" si="159"/>
        <v>48</v>
      </c>
      <c r="CH90" s="2">
        <f t="shared" si="193"/>
        <v>5882.0500000000284</v>
      </c>
      <c r="CI90" s="1">
        <f t="shared" si="89"/>
        <v>58</v>
      </c>
      <c r="CJ90" s="2">
        <f t="shared" si="98"/>
        <v>82.050000000028376</v>
      </c>
      <c r="CK90" s="2">
        <f t="shared" si="99"/>
        <v>131477.25000000003</v>
      </c>
      <c r="CL90" s="2">
        <f t="shared" si="194"/>
        <v>157.77270000000001</v>
      </c>
      <c r="CM90" s="2">
        <f t="shared" si="216"/>
        <v>836.25480500000015</v>
      </c>
      <c r="CN90" s="2">
        <f t="shared" si="195"/>
        <v>130640.99519500002</v>
      </c>
      <c r="CO90" s="2">
        <f t="shared" si="217"/>
        <v>2512</v>
      </c>
      <c r="CP90" s="2">
        <f t="shared" si="196"/>
        <v>5503.3975000000055</v>
      </c>
      <c r="CQ90" s="2">
        <f t="shared" si="197"/>
        <v>122625.59769500002</v>
      </c>
      <c r="CS90" s="5">
        <f t="shared" si="218"/>
        <v>1000</v>
      </c>
      <c r="CT90" s="2">
        <f t="shared" si="219"/>
        <v>100000</v>
      </c>
      <c r="CU90" s="2">
        <f t="shared" si="220"/>
        <v>100000</v>
      </c>
      <c r="CV90" s="2">
        <f t="shared" si="221"/>
        <v>128542.10394532533</v>
      </c>
      <c r="CW90" s="8">
        <f t="shared" si="198"/>
        <v>5.1000000000000004E-2</v>
      </c>
      <c r="CX90" s="2">
        <f t="shared" si="199"/>
        <v>135097.75124653691</v>
      </c>
      <c r="CY90" s="2" t="str">
        <f t="shared" si="200"/>
        <v>nie</v>
      </c>
      <c r="CZ90" s="2">
        <f t="shared" si="222"/>
        <v>0</v>
      </c>
      <c r="DA90" s="2">
        <f t="shared" si="223"/>
        <v>0</v>
      </c>
      <c r="DB90" s="2">
        <f t="shared" si="224"/>
        <v>135097.75124653691</v>
      </c>
      <c r="DC90" s="2">
        <f t="shared" si="201"/>
        <v>162.11730149584429</v>
      </c>
      <c r="DD90" s="2">
        <f t="shared" si="225"/>
        <v>852.15956881575721</v>
      </c>
      <c r="DE90" s="2">
        <f t="shared" si="226"/>
        <v>134245.59167772115</v>
      </c>
      <c r="DF90" s="2">
        <f t="shared" si="202"/>
        <v>3000</v>
      </c>
      <c r="DG90" s="2">
        <f t="shared" si="203"/>
        <v>6098.5727368420121</v>
      </c>
      <c r="DH90" s="2">
        <f t="shared" si="227"/>
        <v>125147.01894087915</v>
      </c>
    </row>
    <row r="91" spans="2:112">
      <c r="B91" s="232"/>
      <c r="C91" s="1">
        <f t="shared" si="168"/>
        <v>54</v>
      </c>
      <c r="D91" s="2">
        <f t="shared" si="105"/>
        <v>120446.056275696</v>
      </c>
      <c r="E91" s="2">
        <f t="shared" si="106"/>
        <v>115546.681685296</v>
      </c>
      <c r="F91" s="2">
        <f t="shared" si="107"/>
        <v>122325.35124500001</v>
      </c>
      <c r="G91" s="2">
        <f t="shared" si="108"/>
        <v>116041.66574500001</v>
      </c>
      <c r="H91" s="2">
        <f t="shared" si="109"/>
        <v>124900.39985689668</v>
      </c>
      <c r="I91" s="2">
        <f t="shared" si="110"/>
        <v>117639.96575297002</v>
      </c>
      <c r="J91" s="2">
        <f t="shared" si="169"/>
        <v>114003.7122543101</v>
      </c>
      <c r="K91" s="2">
        <f t="shared" si="170"/>
        <v>114739.93218775753</v>
      </c>
      <c r="W91" s="1">
        <f t="shared" si="204"/>
        <v>73</v>
      </c>
      <c r="X91" s="2">
        <f t="shared" si="177"/>
        <v>120412.74929948927</v>
      </c>
      <c r="Y91" s="8">
        <f t="shared" si="230"/>
        <v>3.9100000000000003E-2</v>
      </c>
      <c r="Z91" s="5">
        <f t="shared" si="205"/>
        <v>1284</v>
      </c>
      <c r="AA91" s="2">
        <f t="shared" si="206"/>
        <v>128271.6</v>
      </c>
      <c r="AB91" s="2">
        <f t="shared" si="207"/>
        <v>128400</v>
      </c>
      <c r="AC91" s="2">
        <f t="shared" si="208"/>
        <v>128400</v>
      </c>
      <c r="AD91" s="8">
        <f t="shared" si="178"/>
        <v>4.3999999999999997E-2</v>
      </c>
      <c r="AE91" s="2">
        <f t="shared" si="179"/>
        <v>128870.8</v>
      </c>
      <c r="AF91" s="2" t="str">
        <f t="shared" si="180"/>
        <v>nie</v>
      </c>
      <c r="AG91" s="2">
        <f t="shared" si="181"/>
        <v>470.80000000000291</v>
      </c>
      <c r="AH91" s="1">
        <f t="shared" si="79"/>
        <v>1</v>
      </c>
      <c r="AI91" s="1">
        <f t="shared" si="171"/>
        <v>0</v>
      </c>
      <c r="AJ91" s="1">
        <f t="shared" si="228"/>
        <v>0</v>
      </c>
      <c r="AK91" s="1">
        <f t="shared" si="166"/>
        <v>0</v>
      </c>
      <c r="AL91" s="2">
        <f t="shared" si="90"/>
        <v>100</v>
      </c>
      <c r="AM91" s="8">
        <f t="shared" si="160"/>
        <v>4.3999999999999997E-2</v>
      </c>
      <c r="AN91" s="2">
        <f t="shared" si="91"/>
        <v>100.36666666666667</v>
      </c>
      <c r="AO91" s="2">
        <f t="shared" si="161"/>
        <v>0.36666666666667425</v>
      </c>
      <c r="AP91" s="2">
        <f t="shared" si="119"/>
        <v>0</v>
      </c>
      <c r="AQ91" s="8">
        <f t="shared" si="172"/>
        <v>3.9100000000000003E-2</v>
      </c>
      <c r="AR91" s="2">
        <f t="shared" si="113"/>
        <v>0</v>
      </c>
      <c r="AS91" s="2">
        <f t="shared" si="173"/>
        <v>0</v>
      </c>
      <c r="AT91" s="2">
        <f t="shared" si="209"/>
        <v>0</v>
      </c>
      <c r="AU91" s="2">
        <f t="shared" si="92"/>
        <v>0</v>
      </c>
      <c r="AV91" s="2">
        <f t="shared" si="82"/>
        <v>15.147738079976989</v>
      </c>
      <c r="AW91" s="1">
        <f t="shared" si="158"/>
        <v>0</v>
      </c>
      <c r="AX91" s="2">
        <f t="shared" si="182"/>
        <v>15.147738079976989</v>
      </c>
      <c r="AY91" s="1">
        <f t="shared" si="83"/>
        <v>0</v>
      </c>
      <c r="AZ91" s="2">
        <f t="shared" si="210"/>
        <v>15.147738079976989</v>
      </c>
      <c r="BA91" s="2">
        <f t="shared" si="93"/>
        <v>128986.31440474665</v>
      </c>
      <c r="BB91" s="2">
        <f t="shared" si="183"/>
        <v>0</v>
      </c>
      <c r="BC91" s="2">
        <f t="shared" si="211"/>
        <v>824.65776971769594</v>
      </c>
      <c r="BD91" s="2">
        <f t="shared" si="184"/>
        <v>128161.65663502895</v>
      </c>
      <c r="BE91" s="2">
        <f t="shared" si="212"/>
        <v>471.16666666666958</v>
      </c>
      <c r="BF91" s="2">
        <f t="shared" si="185"/>
        <v>5417.878070235196</v>
      </c>
      <c r="BG91" s="2">
        <f t="shared" si="186"/>
        <v>122272.61189812708</v>
      </c>
      <c r="BI91" s="8">
        <f t="shared" si="162"/>
        <v>3.1E-2</v>
      </c>
      <c r="BJ91" s="5">
        <f t="shared" si="213"/>
        <v>1047</v>
      </c>
      <c r="BK91" s="2">
        <f t="shared" si="214"/>
        <v>104595.3</v>
      </c>
      <c r="BL91" s="2">
        <f t="shared" si="215"/>
        <v>104700</v>
      </c>
      <c r="BM91" s="2">
        <f t="shared" si="187"/>
        <v>104700</v>
      </c>
      <c r="BN91" s="8">
        <f t="shared" si="188"/>
        <v>4.5999999999999999E-2</v>
      </c>
      <c r="BO91" s="2">
        <f t="shared" si="189"/>
        <v>105101.35</v>
      </c>
      <c r="BP91" s="2" t="str">
        <f t="shared" si="190"/>
        <v>nie</v>
      </c>
      <c r="BQ91" s="2">
        <f t="shared" si="191"/>
        <v>2094</v>
      </c>
      <c r="BR91" s="1">
        <f t="shared" si="163"/>
        <v>106</v>
      </c>
      <c r="BS91" s="1">
        <f t="shared" si="174"/>
        <v>103</v>
      </c>
      <c r="BT91" s="1">
        <f t="shared" si="229"/>
        <v>7</v>
      </c>
      <c r="BU91" s="1">
        <f t="shared" si="167"/>
        <v>51</v>
      </c>
      <c r="BV91" s="2">
        <f t="shared" si="94"/>
        <v>10600</v>
      </c>
      <c r="BW91" s="8">
        <f t="shared" si="164"/>
        <v>4.7500000000000001E-2</v>
      </c>
      <c r="BX91" s="2">
        <f t="shared" si="95"/>
        <v>10641.958333333332</v>
      </c>
      <c r="BY91" s="2">
        <f t="shared" si="165"/>
        <v>41.958333333332121</v>
      </c>
      <c r="BZ91" s="2">
        <f t="shared" si="120"/>
        <v>16100</v>
      </c>
      <c r="CA91" s="8">
        <f t="shared" si="175"/>
        <v>4.5999999999999999E-2</v>
      </c>
      <c r="CB91" s="2">
        <f t="shared" si="117"/>
        <v>16161.716666666667</v>
      </c>
      <c r="CC91" s="2">
        <f t="shared" si="176"/>
        <v>322</v>
      </c>
      <c r="CD91" s="2">
        <f t="shared" si="192"/>
        <v>0</v>
      </c>
      <c r="CE91" s="2">
        <f t="shared" si="96"/>
        <v>0</v>
      </c>
      <c r="CF91" s="2">
        <f t="shared" si="97"/>
        <v>82.050000000028376</v>
      </c>
      <c r="CG91" s="1">
        <f t="shared" si="159"/>
        <v>0</v>
      </c>
      <c r="CH91" s="2">
        <f t="shared" si="193"/>
        <v>82.050000000028376</v>
      </c>
      <c r="CI91" s="1">
        <f t="shared" si="89"/>
        <v>0</v>
      </c>
      <c r="CJ91" s="2">
        <f t="shared" si="98"/>
        <v>82.050000000028376</v>
      </c>
      <c r="CK91" s="2">
        <f t="shared" si="99"/>
        <v>131987.07500000001</v>
      </c>
      <c r="CL91" s="2">
        <f t="shared" si="194"/>
        <v>0</v>
      </c>
      <c r="CM91" s="2">
        <f t="shared" si="216"/>
        <v>836.25480500000015</v>
      </c>
      <c r="CN91" s="2">
        <f t="shared" si="195"/>
        <v>131150.82019500001</v>
      </c>
      <c r="CO91" s="2">
        <f t="shared" si="217"/>
        <v>2457.9583333333321</v>
      </c>
      <c r="CP91" s="2">
        <f t="shared" si="196"/>
        <v>5610.5321666666696</v>
      </c>
      <c r="CQ91" s="2">
        <f t="shared" si="197"/>
        <v>123082.32969500001</v>
      </c>
      <c r="CS91" s="5">
        <f t="shared" si="218"/>
        <v>1000</v>
      </c>
      <c r="CT91" s="2">
        <f t="shared" si="219"/>
        <v>100000</v>
      </c>
      <c r="CU91" s="2">
        <f t="shared" si="220"/>
        <v>100000</v>
      </c>
      <c r="CV91" s="2">
        <f t="shared" si="221"/>
        <v>135097.75124653691</v>
      </c>
      <c r="CW91" s="8">
        <f t="shared" si="198"/>
        <v>5.1000000000000004E-2</v>
      </c>
      <c r="CX91" s="2">
        <f t="shared" si="199"/>
        <v>135671.9166893347</v>
      </c>
      <c r="CY91" s="2" t="str">
        <f t="shared" si="200"/>
        <v>nie</v>
      </c>
      <c r="CZ91" s="2">
        <f t="shared" si="222"/>
        <v>0</v>
      </c>
      <c r="DA91" s="2">
        <f t="shared" si="223"/>
        <v>0</v>
      </c>
      <c r="DB91" s="2">
        <f t="shared" si="224"/>
        <v>135671.9166893347</v>
      </c>
      <c r="DC91" s="2">
        <f t="shared" si="201"/>
        <v>0</v>
      </c>
      <c r="DD91" s="2">
        <f t="shared" si="225"/>
        <v>852.15956881575721</v>
      </c>
      <c r="DE91" s="2">
        <f t="shared" si="226"/>
        <v>134819.75712051895</v>
      </c>
      <c r="DF91" s="2">
        <f t="shared" si="202"/>
        <v>3000</v>
      </c>
      <c r="DG91" s="2">
        <f t="shared" si="203"/>
        <v>6207.6641709735932</v>
      </c>
      <c r="DH91" s="2">
        <f t="shared" si="227"/>
        <v>125612.09294954535</v>
      </c>
    </row>
    <row r="92" spans="2:112">
      <c r="B92" s="232"/>
      <c r="C92" s="1">
        <f t="shared" si="168"/>
        <v>55</v>
      </c>
      <c r="D92" s="2">
        <f t="shared" si="105"/>
        <v>120879.768675696</v>
      </c>
      <c r="E92" s="2">
        <f t="shared" si="106"/>
        <v>115897.988729296</v>
      </c>
      <c r="F92" s="2">
        <f t="shared" si="107"/>
        <v>122798.52624500002</v>
      </c>
      <c r="G92" s="2">
        <f t="shared" si="108"/>
        <v>116424.93749500002</v>
      </c>
      <c r="H92" s="2">
        <f t="shared" si="109"/>
        <v>125420.19428293628</v>
      </c>
      <c r="I92" s="2">
        <f t="shared" si="110"/>
        <v>118060.9992380621</v>
      </c>
      <c r="J92" s="2">
        <f t="shared" si="169"/>
        <v>114280.74127508806</v>
      </c>
      <c r="K92" s="2">
        <f t="shared" si="170"/>
        <v>115031.81942703377</v>
      </c>
      <c r="W92" s="1">
        <f t="shared" si="204"/>
        <v>74</v>
      </c>
      <c r="X92" s="2">
        <f t="shared" si="177"/>
        <v>120723.01405123759</v>
      </c>
      <c r="Y92" s="8">
        <f t="shared" si="230"/>
        <v>3.9100000000000003E-2</v>
      </c>
      <c r="Z92" s="5">
        <f t="shared" si="205"/>
        <v>1284</v>
      </c>
      <c r="AA92" s="2">
        <f t="shared" si="206"/>
        <v>128271.6</v>
      </c>
      <c r="AB92" s="2">
        <f t="shared" si="207"/>
        <v>128400</v>
      </c>
      <c r="AC92" s="2">
        <f t="shared" si="208"/>
        <v>128400</v>
      </c>
      <c r="AD92" s="8">
        <f t="shared" si="178"/>
        <v>4.3999999999999997E-2</v>
      </c>
      <c r="AE92" s="2">
        <f t="shared" si="179"/>
        <v>129341.6</v>
      </c>
      <c r="AF92" s="2" t="str">
        <f t="shared" si="180"/>
        <v>nie</v>
      </c>
      <c r="AG92" s="2">
        <f t="shared" si="181"/>
        <v>941.60000000000582</v>
      </c>
      <c r="AH92" s="1">
        <f t="shared" si="79"/>
        <v>1</v>
      </c>
      <c r="AI92" s="1">
        <f t="shared" si="171"/>
        <v>0</v>
      </c>
      <c r="AJ92" s="1">
        <f t="shared" si="228"/>
        <v>0</v>
      </c>
      <c r="AK92" s="1">
        <f t="shared" si="166"/>
        <v>0</v>
      </c>
      <c r="AL92" s="2">
        <f t="shared" si="90"/>
        <v>100</v>
      </c>
      <c r="AM92" s="8">
        <f t="shared" si="160"/>
        <v>4.3999999999999997E-2</v>
      </c>
      <c r="AN92" s="2">
        <f t="shared" si="91"/>
        <v>100.73333333333335</v>
      </c>
      <c r="AO92" s="2">
        <f t="shared" si="161"/>
        <v>0.73333333333334849</v>
      </c>
      <c r="AP92" s="2">
        <f t="shared" si="119"/>
        <v>0</v>
      </c>
      <c r="AQ92" s="8">
        <f t="shared" si="172"/>
        <v>3.9100000000000003E-2</v>
      </c>
      <c r="AR92" s="2">
        <f t="shared" si="113"/>
        <v>0</v>
      </c>
      <c r="AS92" s="2">
        <f t="shared" si="173"/>
        <v>0</v>
      </c>
      <c r="AT92" s="2">
        <f t="shared" si="209"/>
        <v>0</v>
      </c>
      <c r="AU92" s="2">
        <f t="shared" si="92"/>
        <v>0</v>
      </c>
      <c r="AV92" s="2">
        <f t="shared" si="82"/>
        <v>15.147738079976989</v>
      </c>
      <c r="AW92" s="1">
        <f t="shared" si="158"/>
        <v>0</v>
      </c>
      <c r="AX92" s="2">
        <f t="shared" si="182"/>
        <v>15.147738079976989</v>
      </c>
      <c r="AY92" s="1">
        <f t="shared" si="83"/>
        <v>0</v>
      </c>
      <c r="AZ92" s="2">
        <f t="shared" si="210"/>
        <v>15.147738079976989</v>
      </c>
      <c r="BA92" s="2">
        <f t="shared" si="93"/>
        <v>129457.48107141332</v>
      </c>
      <c r="BB92" s="2">
        <f t="shared" si="183"/>
        <v>0</v>
      </c>
      <c r="BC92" s="2">
        <f t="shared" si="211"/>
        <v>824.65776971769594</v>
      </c>
      <c r="BD92" s="2">
        <f t="shared" si="184"/>
        <v>128632.82330169562</v>
      </c>
      <c r="BE92" s="2">
        <f t="shared" si="212"/>
        <v>942.33333333333917</v>
      </c>
      <c r="BF92" s="2">
        <f t="shared" si="185"/>
        <v>5417.878070235196</v>
      </c>
      <c r="BG92" s="2">
        <f t="shared" si="186"/>
        <v>122272.61189812708</v>
      </c>
      <c r="BI92" s="8">
        <f t="shared" si="162"/>
        <v>3.1E-2</v>
      </c>
      <c r="BJ92" s="5">
        <f t="shared" si="213"/>
        <v>1047</v>
      </c>
      <c r="BK92" s="2">
        <f t="shared" si="214"/>
        <v>104595.3</v>
      </c>
      <c r="BL92" s="2">
        <f t="shared" si="215"/>
        <v>104700</v>
      </c>
      <c r="BM92" s="2">
        <f t="shared" si="187"/>
        <v>104700</v>
      </c>
      <c r="BN92" s="8">
        <f t="shared" si="188"/>
        <v>4.5999999999999999E-2</v>
      </c>
      <c r="BO92" s="2">
        <f t="shared" si="189"/>
        <v>105502.70000000001</v>
      </c>
      <c r="BP92" s="2" t="str">
        <f t="shared" si="190"/>
        <v>nie</v>
      </c>
      <c r="BQ92" s="2">
        <f t="shared" si="191"/>
        <v>2094</v>
      </c>
      <c r="BR92" s="1">
        <f t="shared" si="163"/>
        <v>106</v>
      </c>
      <c r="BS92" s="1">
        <f t="shared" si="174"/>
        <v>103</v>
      </c>
      <c r="BT92" s="1">
        <f t="shared" si="229"/>
        <v>7</v>
      </c>
      <c r="BU92" s="1">
        <f t="shared" si="167"/>
        <v>51</v>
      </c>
      <c r="BV92" s="2">
        <f t="shared" si="94"/>
        <v>10600</v>
      </c>
      <c r="BW92" s="8">
        <f t="shared" si="164"/>
        <v>4.7500000000000001E-2</v>
      </c>
      <c r="BX92" s="2">
        <f t="shared" si="95"/>
        <v>10683.916666666666</v>
      </c>
      <c r="BY92" s="2">
        <f t="shared" si="165"/>
        <v>83.91666666666606</v>
      </c>
      <c r="BZ92" s="2">
        <f t="shared" si="120"/>
        <v>16100</v>
      </c>
      <c r="CA92" s="8">
        <f t="shared" si="175"/>
        <v>4.5999999999999999E-2</v>
      </c>
      <c r="CB92" s="2">
        <f t="shared" si="117"/>
        <v>16223.433333333334</v>
      </c>
      <c r="CC92" s="2">
        <f t="shared" si="176"/>
        <v>322</v>
      </c>
      <c r="CD92" s="2">
        <f t="shared" si="192"/>
        <v>0</v>
      </c>
      <c r="CE92" s="2">
        <f t="shared" si="96"/>
        <v>0</v>
      </c>
      <c r="CF92" s="2">
        <f t="shared" si="97"/>
        <v>82.050000000028376</v>
      </c>
      <c r="CG92" s="1">
        <f t="shared" si="159"/>
        <v>0</v>
      </c>
      <c r="CH92" s="2">
        <f t="shared" si="193"/>
        <v>82.050000000028376</v>
      </c>
      <c r="CI92" s="1">
        <f t="shared" si="89"/>
        <v>0</v>
      </c>
      <c r="CJ92" s="2">
        <f t="shared" si="98"/>
        <v>82.050000000028376</v>
      </c>
      <c r="CK92" s="2">
        <f t="shared" si="99"/>
        <v>132492.10000000003</v>
      </c>
      <c r="CL92" s="2">
        <f t="shared" si="194"/>
        <v>0</v>
      </c>
      <c r="CM92" s="2">
        <f t="shared" si="216"/>
        <v>836.25480500000015</v>
      </c>
      <c r="CN92" s="2">
        <f t="shared" si="195"/>
        <v>131655.84519500003</v>
      </c>
      <c r="CO92" s="2">
        <f t="shared" si="217"/>
        <v>2499.9166666666661</v>
      </c>
      <c r="CP92" s="2">
        <f t="shared" si="196"/>
        <v>5698.5148333333391</v>
      </c>
      <c r="CQ92" s="2">
        <f t="shared" si="197"/>
        <v>123457.41369500002</v>
      </c>
      <c r="CS92" s="5">
        <f t="shared" si="218"/>
        <v>1000</v>
      </c>
      <c r="CT92" s="2">
        <f t="shared" si="219"/>
        <v>100000</v>
      </c>
      <c r="CU92" s="2">
        <f t="shared" si="220"/>
        <v>100000</v>
      </c>
      <c r="CV92" s="2">
        <f t="shared" si="221"/>
        <v>135097.75124653691</v>
      </c>
      <c r="CW92" s="8">
        <f t="shared" si="198"/>
        <v>5.1000000000000004E-2</v>
      </c>
      <c r="CX92" s="2">
        <f t="shared" si="199"/>
        <v>136246.08213213246</v>
      </c>
      <c r="CY92" s="2" t="str">
        <f t="shared" si="200"/>
        <v>nie</v>
      </c>
      <c r="CZ92" s="2">
        <f t="shared" si="222"/>
        <v>0</v>
      </c>
      <c r="DA92" s="2">
        <f t="shared" si="223"/>
        <v>0</v>
      </c>
      <c r="DB92" s="2">
        <f t="shared" si="224"/>
        <v>136246.08213213246</v>
      </c>
      <c r="DC92" s="2">
        <f t="shared" si="201"/>
        <v>0</v>
      </c>
      <c r="DD92" s="2">
        <f t="shared" si="225"/>
        <v>852.15956881575721</v>
      </c>
      <c r="DE92" s="2">
        <f t="shared" si="226"/>
        <v>135393.92256331671</v>
      </c>
      <c r="DF92" s="2">
        <f t="shared" si="202"/>
        <v>3000</v>
      </c>
      <c r="DG92" s="2">
        <f t="shared" si="203"/>
        <v>6316.7556051051679</v>
      </c>
      <c r="DH92" s="2">
        <f t="shared" si="227"/>
        <v>126077.16695821154</v>
      </c>
    </row>
    <row r="93" spans="2:112">
      <c r="B93" s="232"/>
      <c r="C93" s="1">
        <f t="shared" si="168"/>
        <v>56</v>
      </c>
      <c r="D93" s="2">
        <f t="shared" si="105"/>
        <v>121313.48107569601</v>
      </c>
      <c r="E93" s="2">
        <f t="shared" si="106"/>
        <v>116249.29577329601</v>
      </c>
      <c r="F93" s="2">
        <f t="shared" si="107"/>
        <v>123271.70124500002</v>
      </c>
      <c r="G93" s="2">
        <f t="shared" si="108"/>
        <v>116808.20924500002</v>
      </c>
      <c r="H93" s="2">
        <f t="shared" si="109"/>
        <v>125939.9887089759</v>
      </c>
      <c r="I93" s="2">
        <f t="shared" si="110"/>
        <v>118482.03272315419</v>
      </c>
      <c r="J93" s="2">
        <f t="shared" si="169"/>
        <v>114558.44347638651</v>
      </c>
      <c r="K93" s="2">
        <f t="shared" si="170"/>
        <v>115323.70666631003</v>
      </c>
      <c r="W93" s="1">
        <f t="shared" si="204"/>
        <v>75</v>
      </c>
      <c r="X93" s="2">
        <f t="shared" si="177"/>
        <v>121033.27880298591</v>
      </c>
      <c r="Y93" s="8">
        <f t="shared" si="230"/>
        <v>3.9100000000000003E-2</v>
      </c>
      <c r="Z93" s="5">
        <f t="shared" si="205"/>
        <v>1284</v>
      </c>
      <c r="AA93" s="2">
        <f t="shared" si="206"/>
        <v>128271.6</v>
      </c>
      <c r="AB93" s="2">
        <f t="shared" si="207"/>
        <v>128400</v>
      </c>
      <c r="AC93" s="2">
        <f t="shared" si="208"/>
        <v>128400</v>
      </c>
      <c r="AD93" s="8">
        <f t="shared" si="178"/>
        <v>4.3999999999999997E-2</v>
      </c>
      <c r="AE93" s="2">
        <f t="shared" si="179"/>
        <v>129812.4</v>
      </c>
      <c r="AF93" s="2" t="str">
        <f t="shared" si="180"/>
        <v>nie</v>
      </c>
      <c r="AG93" s="2">
        <f t="shared" si="181"/>
        <v>1284</v>
      </c>
      <c r="AH93" s="1">
        <f t="shared" si="79"/>
        <v>1</v>
      </c>
      <c r="AI93" s="1">
        <f t="shared" si="171"/>
        <v>0</v>
      </c>
      <c r="AJ93" s="1">
        <f t="shared" si="228"/>
        <v>0</v>
      </c>
      <c r="AK93" s="1">
        <f t="shared" si="166"/>
        <v>0</v>
      </c>
      <c r="AL93" s="2">
        <f t="shared" si="90"/>
        <v>100</v>
      </c>
      <c r="AM93" s="8">
        <f t="shared" si="160"/>
        <v>4.3999999999999997E-2</v>
      </c>
      <c r="AN93" s="2">
        <f t="shared" si="91"/>
        <v>101.1</v>
      </c>
      <c r="AO93" s="2">
        <f t="shared" si="161"/>
        <v>1</v>
      </c>
      <c r="AP93" s="2">
        <f t="shared" si="119"/>
        <v>0</v>
      </c>
      <c r="AQ93" s="8">
        <f t="shared" si="172"/>
        <v>3.9100000000000003E-2</v>
      </c>
      <c r="AR93" s="2">
        <f t="shared" si="113"/>
        <v>0</v>
      </c>
      <c r="AS93" s="2">
        <f t="shared" si="173"/>
        <v>0</v>
      </c>
      <c r="AT93" s="2">
        <f t="shared" si="209"/>
        <v>0</v>
      </c>
      <c r="AU93" s="2">
        <f t="shared" si="92"/>
        <v>0</v>
      </c>
      <c r="AV93" s="2">
        <f t="shared" si="82"/>
        <v>15.147738079976989</v>
      </c>
      <c r="AW93" s="1">
        <f t="shared" si="158"/>
        <v>0</v>
      </c>
      <c r="AX93" s="2">
        <f t="shared" si="182"/>
        <v>15.147738079976989</v>
      </c>
      <c r="AY93" s="1">
        <f t="shared" si="83"/>
        <v>0</v>
      </c>
      <c r="AZ93" s="2">
        <f t="shared" si="210"/>
        <v>15.147738079976989</v>
      </c>
      <c r="BA93" s="2">
        <f t="shared" si="93"/>
        <v>129928.64773807998</v>
      </c>
      <c r="BB93" s="2">
        <f t="shared" si="183"/>
        <v>0</v>
      </c>
      <c r="BC93" s="2">
        <f t="shared" si="211"/>
        <v>824.65776971769594</v>
      </c>
      <c r="BD93" s="2">
        <f t="shared" si="184"/>
        <v>129103.98996836228</v>
      </c>
      <c r="BE93" s="2">
        <f t="shared" si="212"/>
        <v>1285</v>
      </c>
      <c r="BF93" s="2">
        <f t="shared" si="185"/>
        <v>5442.293070235196</v>
      </c>
      <c r="BG93" s="2">
        <f t="shared" si="186"/>
        <v>122376.69689812708</v>
      </c>
      <c r="BI93" s="8">
        <f t="shared" si="162"/>
        <v>3.1E-2</v>
      </c>
      <c r="BJ93" s="5">
        <f t="shared" si="213"/>
        <v>1047</v>
      </c>
      <c r="BK93" s="2">
        <f t="shared" si="214"/>
        <v>104595.3</v>
      </c>
      <c r="BL93" s="2">
        <f t="shared" si="215"/>
        <v>104700</v>
      </c>
      <c r="BM93" s="2">
        <f t="shared" si="187"/>
        <v>104700</v>
      </c>
      <c r="BN93" s="8">
        <f t="shared" si="188"/>
        <v>4.5999999999999999E-2</v>
      </c>
      <c r="BO93" s="2">
        <f t="shared" si="189"/>
        <v>105904.05</v>
      </c>
      <c r="BP93" s="2" t="str">
        <f t="shared" si="190"/>
        <v>nie</v>
      </c>
      <c r="BQ93" s="2">
        <f t="shared" si="191"/>
        <v>2094</v>
      </c>
      <c r="BR93" s="1">
        <f t="shared" si="163"/>
        <v>106</v>
      </c>
      <c r="BS93" s="1">
        <f t="shared" si="174"/>
        <v>103</v>
      </c>
      <c r="BT93" s="1">
        <f t="shared" si="229"/>
        <v>7</v>
      </c>
      <c r="BU93" s="1">
        <f t="shared" si="167"/>
        <v>51</v>
      </c>
      <c r="BV93" s="2">
        <f t="shared" si="94"/>
        <v>10600</v>
      </c>
      <c r="BW93" s="8">
        <f t="shared" si="164"/>
        <v>4.7500000000000001E-2</v>
      </c>
      <c r="BX93" s="2">
        <f t="shared" si="95"/>
        <v>10725.875</v>
      </c>
      <c r="BY93" s="2">
        <f t="shared" si="165"/>
        <v>125.875</v>
      </c>
      <c r="BZ93" s="2">
        <f t="shared" si="120"/>
        <v>16100</v>
      </c>
      <c r="CA93" s="8">
        <f t="shared" si="175"/>
        <v>4.5999999999999999E-2</v>
      </c>
      <c r="CB93" s="2">
        <f t="shared" si="117"/>
        <v>16285.150000000001</v>
      </c>
      <c r="CC93" s="2">
        <f t="shared" si="176"/>
        <v>322</v>
      </c>
      <c r="CD93" s="2">
        <f t="shared" si="192"/>
        <v>0</v>
      </c>
      <c r="CE93" s="2">
        <f t="shared" si="96"/>
        <v>0</v>
      </c>
      <c r="CF93" s="2">
        <f t="shared" si="97"/>
        <v>82.050000000028376</v>
      </c>
      <c r="CG93" s="1">
        <f t="shared" si="159"/>
        <v>0</v>
      </c>
      <c r="CH93" s="2">
        <f t="shared" si="193"/>
        <v>82.050000000028376</v>
      </c>
      <c r="CI93" s="1">
        <f t="shared" si="89"/>
        <v>0</v>
      </c>
      <c r="CJ93" s="2">
        <f t="shared" si="98"/>
        <v>82.050000000028376</v>
      </c>
      <c r="CK93" s="2">
        <f t="shared" si="99"/>
        <v>132997.12500000003</v>
      </c>
      <c r="CL93" s="2">
        <f t="shared" si="194"/>
        <v>0</v>
      </c>
      <c r="CM93" s="2">
        <f t="shared" si="216"/>
        <v>836.25480500000015</v>
      </c>
      <c r="CN93" s="2">
        <f t="shared" si="195"/>
        <v>132160.87019500002</v>
      </c>
      <c r="CO93" s="2">
        <f t="shared" si="217"/>
        <v>2541.875</v>
      </c>
      <c r="CP93" s="2">
        <f t="shared" si="196"/>
        <v>5786.4975000000059</v>
      </c>
      <c r="CQ93" s="2">
        <f t="shared" si="197"/>
        <v>123832.49769500001</v>
      </c>
      <c r="CS93" s="5">
        <f t="shared" si="218"/>
        <v>1000</v>
      </c>
      <c r="CT93" s="2">
        <f t="shared" si="219"/>
        <v>100000</v>
      </c>
      <c r="CU93" s="2">
        <f t="shared" si="220"/>
        <v>100000</v>
      </c>
      <c r="CV93" s="2">
        <f t="shared" si="221"/>
        <v>135097.75124653691</v>
      </c>
      <c r="CW93" s="8">
        <f t="shared" si="198"/>
        <v>5.1000000000000004E-2</v>
      </c>
      <c r="CX93" s="2">
        <f t="shared" si="199"/>
        <v>136820.24757493025</v>
      </c>
      <c r="CY93" s="2" t="str">
        <f t="shared" si="200"/>
        <v>nie</v>
      </c>
      <c r="CZ93" s="2">
        <f t="shared" si="222"/>
        <v>0</v>
      </c>
      <c r="DA93" s="2">
        <f t="shared" si="223"/>
        <v>0</v>
      </c>
      <c r="DB93" s="2">
        <f t="shared" si="224"/>
        <v>136820.24757493025</v>
      </c>
      <c r="DC93" s="2">
        <f t="shared" si="201"/>
        <v>0</v>
      </c>
      <c r="DD93" s="2">
        <f t="shared" si="225"/>
        <v>852.15956881575721</v>
      </c>
      <c r="DE93" s="2">
        <f t="shared" si="226"/>
        <v>135968.0880061145</v>
      </c>
      <c r="DF93" s="2">
        <f t="shared" si="202"/>
        <v>3000</v>
      </c>
      <c r="DG93" s="2">
        <f t="shared" si="203"/>
        <v>6425.8470392367481</v>
      </c>
      <c r="DH93" s="2">
        <f t="shared" si="227"/>
        <v>126542.24096687775</v>
      </c>
    </row>
    <row r="94" spans="2:112">
      <c r="B94" s="232"/>
      <c r="C94" s="1">
        <f t="shared" si="168"/>
        <v>57</v>
      </c>
      <c r="D94" s="2">
        <f t="shared" si="105"/>
        <v>121747.19347569598</v>
      </c>
      <c r="E94" s="2">
        <f t="shared" si="106"/>
        <v>116600.60281729599</v>
      </c>
      <c r="F94" s="2">
        <f t="shared" si="107"/>
        <v>123744.87624500001</v>
      </c>
      <c r="G94" s="2">
        <f t="shared" si="108"/>
        <v>117191.48099500001</v>
      </c>
      <c r="H94" s="2">
        <f t="shared" si="109"/>
        <v>126459.7831350155</v>
      </c>
      <c r="I94" s="2">
        <f t="shared" si="110"/>
        <v>118903.06620824627</v>
      </c>
      <c r="J94" s="2">
        <f t="shared" si="169"/>
        <v>114836.82049403412</v>
      </c>
      <c r="K94" s="2">
        <f t="shared" si="170"/>
        <v>115615.5939055863</v>
      </c>
      <c r="W94" s="1">
        <f t="shared" si="204"/>
        <v>76</v>
      </c>
      <c r="X94" s="2">
        <f t="shared" si="177"/>
        <v>121343.54355473425</v>
      </c>
      <c r="Y94" s="8">
        <f t="shared" si="230"/>
        <v>3.9100000000000003E-2</v>
      </c>
      <c r="Z94" s="5">
        <f t="shared" si="205"/>
        <v>1284</v>
      </c>
      <c r="AA94" s="2">
        <f t="shared" si="206"/>
        <v>128271.6</v>
      </c>
      <c r="AB94" s="2">
        <f t="shared" si="207"/>
        <v>128400</v>
      </c>
      <c r="AC94" s="2">
        <f t="shared" si="208"/>
        <v>128400</v>
      </c>
      <c r="AD94" s="8">
        <f t="shared" si="178"/>
        <v>4.3999999999999997E-2</v>
      </c>
      <c r="AE94" s="2">
        <f t="shared" si="179"/>
        <v>130283.2</v>
      </c>
      <c r="AF94" s="2" t="str">
        <f t="shared" si="180"/>
        <v>nie</v>
      </c>
      <c r="AG94" s="2">
        <f t="shared" si="181"/>
        <v>1284</v>
      </c>
      <c r="AH94" s="1">
        <f t="shared" si="79"/>
        <v>1</v>
      </c>
      <c r="AI94" s="1">
        <f t="shared" si="171"/>
        <v>0</v>
      </c>
      <c r="AJ94" s="1">
        <f t="shared" si="228"/>
        <v>0</v>
      </c>
      <c r="AK94" s="1">
        <f t="shared" si="166"/>
        <v>0</v>
      </c>
      <c r="AL94" s="2">
        <f t="shared" si="90"/>
        <v>100</v>
      </c>
      <c r="AM94" s="8">
        <f t="shared" si="160"/>
        <v>4.3999999999999997E-2</v>
      </c>
      <c r="AN94" s="2">
        <f t="shared" si="91"/>
        <v>101.46666666666665</v>
      </c>
      <c r="AO94" s="2">
        <f t="shared" si="161"/>
        <v>1</v>
      </c>
      <c r="AP94" s="2">
        <f t="shared" si="119"/>
        <v>0</v>
      </c>
      <c r="AQ94" s="8">
        <f t="shared" si="172"/>
        <v>3.9100000000000003E-2</v>
      </c>
      <c r="AR94" s="2">
        <f t="shared" si="113"/>
        <v>0</v>
      </c>
      <c r="AS94" s="2">
        <f t="shared" si="173"/>
        <v>0</v>
      </c>
      <c r="AT94" s="2">
        <f t="shared" si="209"/>
        <v>0</v>
      </c>
      <c r="AU94" s="2">
        <f t="shared" si="92"/>
        <v>0</v>
      </c>
      <c r="AV94" s="2">
        <f t="shared" si="82"/>
        <v>15.147738079976989</v>
      </c>
      <c r="AW94" s="1">
        <f t="shared" ref="AW94:AW125" si="231">IF(AT94&lt;&gt;0,MIN(IF(AK94&lt;&gt;"",AK94,0),ROUNDDOWN(AV94/zamiana_TOS,0)),0)</f>
        <v>0</v>
      </c>
      <c r="AX94" s="2">
        <f t="shared" si="182"/>
        <v>15.147738079976989</v>
      </c>
      <c r="AY94" s="1">
        <f t="shared" si="83"/>
        <v>0</v>
      </c>
      <c r="AZ94" s="2">
        <f t="shared" si="210"/>
        <v>15.147738079976989</v>
      </c>
      <c r="BA94" s="2">
        <f t="shared" si="93"/>
        <v>130399.81440474663</v>
      </c>
      <c r="BB94" s="2">
        <f t="shared" si="183"/>
        <v>0</v>
      </c>
      <c r="BC94" s="2">
        <f t="shared" si="211"/>
        <v>824.65776971769594</v>
      </c>
      <c r="BD94" s="2">
        <f t="shared" si="184"/>
        <v>129575.15663502894</v>
      </c>
      <c r="BE94" s="2">
        <f t="shared" si="212"/>
        <v>1285</v>
      </c>
      <c r="BF94" s="2">
        <f t="shared" si="185"/>
        <v>5531.8147369018607</v>
      </c>
      <c r="BG94" s="2">
        <f t="shared" si="186"/>
        <v>122758.34189812708</v>
      </c>
      <c r="BI94" s="8">
        <f t="shared" si="162"/>
        <v>3.1E-2</v>
      </c>
      <c r="BJ94" s="5">
        <f t="shared" si="213"/>
        <v>1047</v>
      </c>
      <c r="BK94" s="2">
        <f t="shared" si="214"/>
        <v>104595.3</v>
      </c>
      <c r="BL94" s="2">
        <f t="shared" si="215"/>
        <v>104700</v>
      </c>
      <c r="BM94" s="2">
        <f t="shared" si="187"/>
        <v>104700</v>
      </c>
      <c r="BN94" s="8">
        <f t="shared" si="188"/>
        <v>4.5999999999999999E-2</v>
      </c>
      <c r="BO94" s="2">
        <f t="shared" si="189"/>
        <v>106305.40000000001</v>
      </c>
      <c r="BP94" s="2" t="str">
        <f t="shared" si="190"/>
        <v>nie</v>
      </c>
      <c r="BQ94" s="2">
        <f t="shared" si="191"/>
        <v>2094</v>
      </c>
      <c r="BR94" s="1">
        <f t="shared" si="163"/>
        <v>106</v>
      </c>
      <c r="BS94" s="1">
        <f t="shared" si="174"/>
        <v>103</v>
      </c>
      <c r="BT94" s="1">
        <f t="shared" si="229"/>
        <v>7</v>
      </c>
      <c r="BU94" s="1">
        <f t="shared" si="167"/>
        <v>51</v>
      </c>
      <c r="BV94" s="2">
        <f t="shared" si="94"/>
        <v>10600</v>
      </c>
      <c r="BW94" s="8">
        <f t="shared" si="164"/>
        <v>4.7500000000000001E-2</v>
      </c>
      <c r="BX94" s="2">
        <f t="shared" si="95"/>
        <v>10767.833333333334</v>
      </c>
      <c r="BY94" s="2">
        <f t="shared" si="165"/>
        <v>167.83333333333394</v>
      </c>
      <c r="BZ94" s="2">
        <f t="shared" si="120"/>
        <v>16100</v>
      </c>
      <c r="CA94" s="8">
        <f t="shared" si="175"/>
        <v>4.5999999999999999E-2</v>
      </c>
      <c r="CB94" s="2">
        <f t="shared" si="117"/>
        <v>16346.866666666669</v>
      </c>
      <c r="CC94" s="2">
        <f t="shared" si="176"/>
        <v>322</v>
      </c>
      <c r="CD94" s="2">
        <f t="shared" si="192"/>
        <v>0</v>
      </c>
      <c r="CE94" s="2">
        <f t="shared" si="96"/>
        <v>0</v>
      </c>
      <c r="CF94" s="2">
        <f t="shared" si="97"/>
        <v>82.050000000028376</v>
      </c>
      <c r="CG94" s="1">
        <f t="shared" ref="CG94:CG125" si="232">IF(CD94&lt;&gt;0,MIN(IF(BU94&lt;&gt;"",BU94,0),ROUNDDOWN(CF94/zamiana_COI,0)),0)</f>
        <v>0</v>
      </c>
      <c r="CH94" s="2">
        <f t="shared" si="193"/>
        <v>82.050000000028376</v>
      </c>
      <c r="CI94" s="1">
        <f t="shared" si="89"/>
        <v>0</v>
      </c>
      <c r="CJ94" s="2">
        <f t="shared" si="98"/>
        <v>82.050000000028376</v>
      </c>
      <c r="CK94" s="2">
        <f t="shared" si="99"/>
        <v>133502.15000000002</v>
      </c>
      <c r="CL94" s="2">
        <f t="shared" si="194"/>
        <v>0</v>
      </c>
      <c r="CM94" s="2">
        <f t="shared" si="216"/>
        <v>836.25480500000015</v>
      </c>
      <c r="CN94" s="2">
        <f t="shared" si="195"/>
        <v>132665.89519500002</v>
      </c>
      <c r="CO94" s="2">
        <f t="shared" si="217"/>
        <v>2583.8333333333339</v>
      </c>
      <c r="CP94" s="2">
        <f t="shared" si="196"/>
        <v>5874.4801666666717</v>
      </c>
      <c r="CQ94" s="2">
        <f t="shared" si="197"/>
        <v>124207.58169500002</v>
      </c>
      <c r="CS94" s="5">
        <f t="shared" si="218"/>
        <v>1000</v>
      </c>
      <c r="CT94" s="2">
        <f t="shared" si="219"/>
        <v>100000</v>
      </c>
      <c r="CU94" s="2">
        <f t="shared" si="220"/>
        <v>100000</v>
      </c>
      <c r="CV94" s="2">
        <f t="shared" si="221"/>
        <v>135097.75124653691</v>
      </c>
      <c r="CW94" s="8">
        <f t="shared" si="198"/>
        <v>5.1000000000000004E-2</v>
      </c>
      <c r="CX94" s="2">
        <f t="shared" si="199"/>
        <v>137394.41301772802</v>
      </c>
      <c r="CY94" s="2" t="str">
        <f t="shared" si="200"/>
        <v>nie</v>
      </c>
      <c r="CZ94" s="2">
        <f t="shared" si="222"/>
        <v>0</v>
      </c>
      <c r="DA94" s="2">
        <f t="shared" si="223"/>
        <v>0</v>
      </c>
      <c r="DB94" s="2">
        <f t="shared" si="224"/>
        <v>137394.41301772802</v>
      </c>
      <c r="DC94" s="2">
        <f t="shared" si="201"/>
        <v>0</v>
      </c>
      <c r="DD94" s="2">
        <f t="shared" si="225"/>
        <v>852.15956881575721</v>
      </c>
      <c r="DE94" s="2">
        <f t="shared" si="226"/>
        <v>136542.25344891226</v>
      </c>
      <c r="DF94" s="2">
        <f t="shared" si="202"/>
        <v>3000</v>
      </c>
      <c r="DG94" s="2">
        <f t="shared" si="203"/>
        <v>6534.9384733683237</v>
      </c>
      <c r="DH94" s="2">
        <f t="shared" si="227"/>
        <v>127007.31497554394</v>
      </c>
    </row>
    <row r="95" spans="2:112">
      <c r="B95" s="232"/>
      <c r="C95" s="1">
        <f t="shared" si="168"/>
        <v>58</v>
      </c>
      <c r="D95" s="2">
        <f t="shared" si="105"/>
        <v>122180.90587569599</v>
      </c>
      <c r="E95" s="2">
        <f t="shared" si="106"/>
        <v>116951.90986129599</v>
      </c>
      <c r="F95" s="2">
        <f t="shared" si="107"/>
        <v>124218.05124500001</v>
      </c>
      <c r="G95" s="2">
        <f t="shared" si="108"/>
        <v>117574.75274500001</v>
      </c>
      <c r="H95" s="2">
        <f t="shared" si="109"/>
        <v>126979.57756105512</v>
      </c>
      <c r="I95" s="2">
        <f t="shared" si="110"/>
        <v>119324.09969333836</v>
      </c>
      <c r="J95" s="2">
        <f t="shared" si="169"/>
        <v>115115.87396783462</v>
      </c>
      <c r="K95" s="2">
        <f t="shared" si="170"/>
        <v>115907.48114486256</v>
      </c>
      <c r="W95" s="1">
        <f t="shared" si="204"/>
        <v>77</v>
      </c>
      <c r="X95" s="2">
        <f t="shared" si="177"/>
        <v>121653.80830648258</v>
      </c>
      <c r="Y95" s="8">
        <f t="shared" si="230"/>
        <v>3.9100000000000003E-2</v>
      </c>
      <c r="Z95" s="5">
        <f t="shared" si="205"/>
        <v>1284</v>
      </c>
      <c r="AA95" s="2">
        <f t="shared" si="206"/>
        <v>128271.6</v>
      </c>
      <c r="AB95" s="2">
        <f t="shared" si="207"/>
        <v>128400</v>
      </c>
      <c r="AC95" s="2">
        <f t="shared" si="208"/>
        <v>128400</v>
      </c>
      <c r="AD95" s="8">
        <f t="shared" si="178"/>
        <v>4.3999999999999997E-2</v>
      </c>
      <c r="AE95" s="2">
        <f t="shared" si="179"/>
        <v>130754</v>
      </c>
      <c r="AF95" s="2" t="str">
        <f t="shared" si="180"/>
        <v>nie</v>
      </c>
      <c r="AG95" s="2">
        <f t="shared" si="181"/>
        <v>1284</v>
      </c>
      <c r="AH95" s="1">
        <f t="shared" ref="AH95:AH158" si="233">IF(AT94&lt;&gt;0,AW94+AY94,AH94)</f>
        <v>1</v>
      </c>
      <c r="AI95" s="1">
        <f t="shared" si="171"/>
        <v>0</v>
      </c>
      <c r="AJ95" s="1">
        <f t="shared" si="228"/>
        <v>0</v>
      </c>
      <c r="AK95" s="1">
        <f t="shared" si="166"/>
        <v>0</v>
      </c>
      <c r="AL95" s="2">
        <f t="shared" si="90"/>
        <v>100</v>
      </c>
      <c r="AM95" s="8">
        <f t="shared" ref="AM95:AM126" si="234">proc_I_okres_TOS</f>
        <v>4.3999999999999997E-2</v>
      </c>
      <c r="AN95" s="2">
        <f t="shared" si="91"/>
        <v>101.83333333333333</v>
      </c>
      <c r="AO95" s="2">
        <f t="shared" ref="AO95:AO126" si="235">MIN(AH95*koszt_wczesniejszy_wykup_TOS,AN95-AL95)</f>
        <v>1</v>
      </c>
      <c r="AP95" s="2">
        <f t="shared" si="119"/>
        <v>0</v>
      </c>
      <c r="AQ95" s="8">
        <f t="shared" si="172"/>
        <v>3.9100000000000003E-2</v>
      </c>
      <c r="AR95" s="2">
        <f t="shared" si="113"/>
        <v>0</v>
      </c>
      <c r="AS95" s="2">
        <f t="shared" si="173"/>
        <v>0</v>
      </c>
      <c r="AT95" s="2">
        <f t="shared" si="209"/>
        <v>0</v>
      </c>
      <c r="AU95" s="2">
        <f t="shared" si="92"/>
        <v>0</v>
      </c>
      <c r="AV95" s="2">
        <f t="shared" ref="AV95:AV158" si="236">AZ94+AT95+AU95</f>
        <v>15.147738079976989</v>
      </c>
      <c r="AW95" s="1">
        <f t="shared" si="231"/>
        <v>0</v>
      </c>
      <c r="AX95" s="2">
        <f t="shared" si="182"/>
        <v>15.147738079976989</v>
      </c>
      <c r="AY95" s="1">
        <f t="shared" ref="AY95:AY158" si="237">ROUNDDOWN(AX95/100,0)</f>
        <v>0</v>
      </c>
      <c r="AZ95" s="2">
        <f t="shared" si="210"/>
        <v>15.147738079976989</v>
      </c>
      <c r="BA95" s="2">
        <f t="shared" si="93"/>
        <v>130870.98107141331</v>
      </c>
      <c r="BB95" s="2">
        <f t="shared" si="183"/>
        <v>0</v>
      </c>
      <c r="BC95" s="2">
        <f t="shared" si="211"/>
        <v>824.65776971769594</v>
      </c>
      <c r="BD95" s="2">
        <f t="shared" si="184"/>
        <v>130046.32330169561</v>
      </c>
      <c r="BE95" s="2">
        <f t="shared" si="212"/>
        <v>1285</v>
      </c>
      <c r="BF95" s="2">
        <f t="shared" si="185"/>
        <v>5621.3364035685281</v>
      </c>
      <c r="BG95" s="2">
        <f t="shared" si="186"/>
        <v>123139.98689812708</v>
      </c>
      <c r="BI95" s="8">
        <f t="shared" ref="BI95:BI126" si="238">MAX(INDEX(scenariusz_I_inflacja,MATCH(ROUNDUP(W95/12,0)-1,scenariusz_I_rok,0)),0)</f>
        <v>3.1E-2</v>
      </c>
      <c r="BJ95" s="5">
        <f t="shared" si="213"/>
        <v>1047</v>
      </c>
      <c r="BK95" s="2">
        <f t="shared" si="214"/>
        <v>104595.3</v>
      </c>
      <c r="BL95" s="2">
        <f t="shared" si="215"/>
        <v>104700</v>
      </c>
      <c r="BM95" s="2">
        <f t="shared" si="187"/>
        <v>104700</v>
      </c>
      <c r="BN95" s="8">
        <f t="shared" si="188"/>
        <v>4.5999999999999999E-2</v>
      </c>
      <c r="BO95" s="2">
        <f t="shared" si="189"/>
        <v>106706.74999999999</v>
      </c>
      <c r="BP95" s="2" t="str">
        <f t="shared" si="190"/>
        <v>nie</v>
      </c>
      <c r="BQ95" s="2">
        <f t="shared" si="191"/>
        <v>2094</v>
      </c>
      <c r="BR95" s="1">
        <f t="shared" ref="BR95:BR126" si="239">IF(CD94&lt;&gt;0,CG94+CI94,BR94)</f>
        <v>106</v>
      </c>
      <c r="BS95" s="1">
        <f t="shared" si="174"/>
        <v>103</v>
      </c>
      <c r="BT95" s="1">
        <f t="shared" si="229"/>
        <v>7</v>
      </c>
      <c r="BU95" s="1">
        <f t="shared" si="167"/>
        <v>51</v>
      </c>
      <c r="BV95" s="2">
        <f t="shared" si="94"/>
        <v>10600</v>
      </c>
      <c r="BW95" s="8">
        <f t="shared" ref="BW95:BW126" si="240">proc_I_okres_COI</f>
        <v>4.7500000000000001E-2</v>
      </c>
      <c r="BX95" s="2">
        <f t="shared" si="95"/>
        <v>10809.791666666666</v>
      </c>
      <c r="BY95" s="2">
        <f t="shared" ref="BY95:BY126" si="241">MIN(BR95*koszt_wczesniejszy_wykup_COI,BX95-BV95)</f>
        <v>209.79166666666606</v>
      </c>
      <c r="BZ95" s="2">
        <f t="shared" si="120"/>
        <v>16100</v>
      </c>
      <c r="CA95" s="8">
        <f t="shared" si="175"/>
        <v>4.5999999999999999E-2</v>
      </c>
      <c r="CB95" s="2">
        <f t="shared" si="117"/>
        <v>16408.583333333332</v>
      </c>
      <c r="CC95" s="2">
        <f t="shared" si="176"/>
        <v>322</v>
      </c>
      <c r="CD95" s="2">
        <f t="shared" si="192"/>
        <v>0</v>
      </c>
      <c r="CE95" s="2">
        <f t="shared" si="96"/>
        <v>0</v>
      </c>
      <c r="CF95" s="2">
        <f t="shared" si="97"/>
        <v>82.050000000028376</v>
      </c>
      <c r="CG95" s="1">
        <f t="shared" si="232"/>
        <v>0</v>
      </c>
      <c r="CH95" s="2">
        <f t="shared" si="193"/>
        <v>82.050000000028376</v>
      </c>
      <c r="CI95" s="1">
        <f t="shared" ref="CI95:CI158" si="242">ROUNDDOWN(CH95/100,0)</f>
        <v>0</v>
      </c>
      <c r="CJ95" s="2">
        <f t="shared" si="98"/>
        <v>82.050000000028376</v>
      </c>
      <c r="CK95" s="2">
        <f t="shared" si="99"/>
        <v>134007.17500000002</v>
      </c>
      <c r="CL95" s="2">
        <f t="shared" si="194"/>
        <v>0</v>
      </c>
      <c r="CM95" s="2">
        <f t="shared" si="216"/>
        <v>836.25480500000015</v>
      </c>
      <c r="CN95" s="2">
        <f t="shared" si="195"/>
        <v>133170.92019500001</v>
      </c>
      <c r="CO95" s="2">
        <f t="shared" si="217"/>
        <v>2625.7916666666661</v>
      </c>
      <c r="CP95" s="2">
        <f t="shared" si="196"/>
        <v>5962.4628333333385</v>
      </c>
      <c r="CQ95" s="2">
        <f t="shared" si="197"/>
        <v>124582.665695</v>
      </c>
      <c r="CS95" s="5">
        <f t="shared" si="218"/>
        <v>1000</v>
      </c>
      <c r="CT95" s="2">
        <f t="shared" si="219"/>
        <v>100000</v>
      </c>
      <c r="CU95" s="2">
        <f t="shared" si="220"/>
        <v>100000</v>
      </c>
      <c r="CV95" s="2">
        <f t="shared" si="221"/>
        <v>135097.75124653691</v>
      </c>
      <c r="CW95" s="8">
        <f t="shared" si="198"/>
        <v>5.1000000000000004E-2</v>
      </c>
      <c r="CX95" s="2">
        <f t="shared" si="199"/>
        <v>137968.57846052581</v>
      </c>
      <c r="CY95" s="2" t="str">
        <f t="shared" si="200"/>
        <v>nie</v>
      </c>
      <c r="CZ95" s="2">
        <f t="shared" si="222"/>
        <v>0</v>
      </c>
      <c r="DA95" s="2">
        <f t="shared" si="223"/>
        <v>0</v>
      </c>
      <c r="DB95" s="2">
        <f t="shared" si="224"/>
        <v>137968.57846052581</v>
      </c>
      <c r="DC95" s="2">
        <f t="shared" si="201"/>
        <v>0</v>
      </c>
      <c r="DD95" s="2">
        <f t="shared" si="225"/>
        <v>852.15956881575721</v>
      </c>
      <c r="DE95" s="2">
        <f t="shared" si="226"/>
        <v>137116.41889171005</v>
      </c>
      <c r="DF95" s="2">
        <f t="shared" si="202"/>
        <v>3000</v>
      </c>
      <c r="DG95" s="2">
        <f t="shared" si="203"/>
        <v>6644.0299074999039</v>
      </c>
      <c r="DH95" s="2">
        <f t="shared" si="227"/>
        <v>127472.38898421015</v>
      </c>
    </row>
    <row r="96" spans="2:112">
      <c r="B96" s="233"/>
      <c r="C96" s="1">
        <f t="shared" si="168"/>
        <v>59</v>
      </c>
      <c r="D96" s="2">
        <f t="shared" si="105"/>
        <v>122614.61827569599</v>
      </c>
      <c r="E96" s="2">
        <f t="shared" si="106"/>
        <v>117303.21690529599</v>
      </c>
      <c r="F96" s="2">
        <f t="shared" si="107"/>
        <v>124691.226245</v>
      </c>
      <c r="G96" s="2">
        <f t="shared" si="108"/>
        <v>117958.02449500001</v>
      </c>
      <c r="H96" s="2">
        <f t="shared" si="109"/>
        <v>127499.37198709474</v>
      </c>
      <c r="I96" s="2">
        <f t="shared" si="110"/>
        <v>119745.13317843045</v>
      </c>
      <c r="J96" s="2">
        <f t="shared" si="169"/>
        <v>115395.60554157644</v>
      </c>
      <c r="K96" s="2">
        <f t="shared" si="170"/>
        <v>116199.36838413883</v>
      </c>
      <c r="W96" s="1">
        <f t="shared" si="204"/>
        <v>78</v>
      </c>
      <c r="X96" s="2">
        <f t="shared" si="177"/>
        <v>121964.07305823092</v>
      </c>
      <c r="Y96" s="8">
        <f t="shared" si="230"/>
        <v>3.9100000000000003E-2</v>
      </c>
      <c r="Z96" s="5">
        <f t="shared" si="205"/>
        <v>1284</v>
      </c>
      <c r="AA96" s="2">
        <f t="shared" si="206"/>
        <v>128271.6</v>
      </c>
      <c r="AB96" s="2">
        <f t="shared" si="207"/>
        <v>128400</v>
      </c>
      <c r="AC96" s="2">
        <f t="shared" si="208"/>
        <v>128400</v>
      </c>
      <c r="AD96" s="8">
        <f t="shared" si="178"/>
        <v>4.3999999999999997E-2</v>
      </c>
      <c r="AE96" s="2">
        <f t="shared" si="179"/>
        <v>131224.79999999999</v>
      </c>
      <c r="AF96" s="2" t="str">
        <f t="shared" si="180"/>
        <v>nie</v>
      </c>
      <c r="AG96" s="2">
        <f t="shared" si="181"/>
        <v>1284</v>
      </c>
      <c r="AH96" s="1">
        <f t="shared" si="233"/>
        <v>1</v>
      </c>
      <c r="AI96" s="1">
        <f t="shared" si="171"/>
        <v>0</v>
      </c>
      <c r="AJ96" s="1">
        <f t="shared" si="228"/>
        <v>0</v>
      </c>
      <c r="AK96" s="1">
        <f t="shared" si="166"/>
        <v>0</v>
      </c>
      <c r="AL96" s="2">
        <f t="shared" ref="AL96:AL159" si="243">AH96*100</f>
        <v>100</v>
      </c>
      <c r="AM96" s="8">
        <f t="shared" si="234"/>
        <v>4.3999999999999997E-2</v>
      </c>
      <c r="AN96" s="2">
        <f t="shared" ref="AN96:AN159" si="244">AL96*(1+AM96*IF(MOD($W96,12)&lt;&gt;0,MOD($W96,12),12)/12)</f>
        <v>102.2</v>
      </c>
      <c r="AO96" s="2">
        <f t="shared" si="235"/>
        <v>1</v>
      </c>
      <c r="AP96" s="2">
        <f t="shared" si="119"/>
        <v>0</v>
      </c>
      <c r="AQ96" s="8">
        <f t="shared" si="172"/>
        <v>3.9100000000000003E-2</v>
      </c>
      <c r="AR96" s="2">
        <f t="shared" si="113"/>
        <v>0</v>
      </c>
      <c r="AS96" s="2">
        <f t="shared" si="173"/>
        <v>0</v>
      </c>
      <c r="AT96" s="2">
        <f t="shared" si="209"/>
        <v>0</v>
      </c>
      <c r="AU96" s="2">
        <f t="shared" ref="AU96:AU159" si="245">IF(MOD($W96,12)=0,AN96-AL96+AR96-AP96+AK96*100,0)</f>
        <v>0</v>
      </c>
      <c r="AV96" s="2">
        <f t="shared" si="236"/>
        <v>15.147738079976989</v>
      </c>
      <c r="AW96" s="1">
        <f t="shared" si="231"/>
        <v>0</v>
      </c>
      <c r="AX96" s="2">
        <f t="shared" si="182"/>
        <v>15.147738079976989</v>
      </c>
      <c r="AY96" s="1">
        <f t="shared" si="237"/>
        <v>0</v>
      </c>
      <c r="AZ96" s="2">
        <f t="shared" si="210"/>
        <v>15.147738079976989</v>
      </c>
      <c r="BA96" s="2">
        <f t="shared" ref="BA96:BA159" si="246">AE96+AN96+AR96+AZ95</f>
        <v>131342.14773807998</v>
      </c>
      <c r="BB96" s="2">
        <f t="shared" si="183"/>
        <v>0</v>
      </c>
      <c r="BC96" s="2">
        <f t="shared" si="211"/>
        <v>824.65776971769594</v>
      </c>
      <c r="BD96" s="2">
        <f t="shared" si="184"/>
        <v>130517.48996836228</v>
      </c>
      <c r="BE96" s="2">
        <f t="shared" si="212"/>
        <v>1285</v>
      </c>
      <c r="BF96" s="2">
        <f t="shared" si="185"/>
        <v>5710.8580702351956</v>
      </c>
      <c r="BG96" s="2">
        <f t="shared" si="186"/>
        <v>123521.63189812709</v>
      </c>
      <c r="BI96" s="8">
        <f t="shared" si="238"/>
        <v>3.1E-2</v>
      </c>
      <c r="BJ96" s="5">
        <f t="shared" si="213"/>
        <v>1047</v>
      </c>
      <c r="BK96" s="2">
        <f t="shared" si="214"/>
        <v>104595.3</v>
      </c>
      <c r="BL96" s="2">
        <f t="shared" si="215"/>
        <v>104700</v>
      </c>
      <c r="BM96" s="2">
        <f t="shared" si="187"/>
        <v>104700</v>
      </c>
      <c r="BN96" s="8">
        <f t="shared" si="188"/>
        <v>4.5999999999999999E-2</v>
      </c>
      <c r="BO96" s="2">
        <f t="shared" si="189"/>
        <v>107108.09999999999</v>
      </c>
      <c r="BP96" s="2" t="str">
        <f t="shared" si="190"/>
        <v>nie</v>
      </c>
      <c r="BQ96" s="2">
        <f t="shared" si="191"/>
        <v>2094</v>
      </c>
      <c r="BR96" s="1">
        <f t="shared" si="239"/>
        <v>106</v>
      </c>
      <c r="BS96" s="1">
        <f t="shared" si="174"/>
        <v>103</v>
      </c>
      <c r="BT96" s="1">
        <f t="shared" si="229"/>
        <v>7</v>
      </c>
      <c r="BU96" s="1">
        <f t="shared" si="167"/>
        <v>51</v>
      </c>
      <c r="BV96" s="2">
        <f t="shared" ref="BV96:BV159" si="247">BR96*100</f>
        <v>10600</v>
      </c>
      <c r="BW96" s="8">
        <f t="shared" si="240"/>
        <v>4.7500000000000001E-2</v>
      </c>
      <c r="BX96" s="2">
        <f t="shared" ref="BX96:BX159" si="248">BV96*(1+BW96*IF(MOD($W96,12)&lt;&gt;0,MOD($W96,12),12)/12)</f>
        <v>10851.75</v>
      </c>
      <c r="BY96" s="2">
        <f t="shared" si="241"/>
        <v>212</v>
      </c>
      <c r="BZ96" s="2">
        <f t="shared" si="120"/>
        <v>16100</v>
      </c>
      <c r="CA96" s="8">
        <f t="shared" si="175"/>
        <v>4.5999999999999999E-2</v>
      </c>
      <c r="CB96" s="2">
        <f t="shared" ref="CB96:CB159" si="249">BZ96*(1+CA96*IF(MOD($W96,12)&lt;&gt;0,MOD($W96,12),12)/12)</f>
        <v>16470.3</v>
      </c>
      <c r="CC96" s="2">
        <f t="shared" si="176"/>
        <v>322</v>
      </c>
      <c r="CD96" s="2">
        <f t="shared" si="192"/>
        <v>0</v>
      </c>
      <c r="CE96" s="2">
        <f t="shared" ref="CE96:CE159" si="250">IF(MOD($W96,12)=0,BX96-BV96+CB96-BZ96+BU96*100,0)</f>
        <v>0</v>
      </c>
      <c r="CF96" s="2">
        <f t="shared" ref="CF96:CF159" si="251">CJ95+CD96+CE96</f>
        <v>82.050000000028376</v>
      </c>
      <c r="CG96" s="1">
        <f t="shared" si="232"/>
        <v>0</v>
      </c>
      <c r="CH96" s="2">
        <f t="shared" si="193"/>
        <v>82.050000000028376</v>
      </c>
      <c r="CI96" s="1">
        <f t="shared" si="242"/>
        <v>0</v>
      </c>
      <c r="CJ96" s="2">
        <f t="shared" ref="CJ96:CJ159" si="252">CH96-CI96*100</f>
        <v>82.050000000028376</v>
      </c>
      <c r="CK96" s="2">
        <f t="shared" ref="CK96:CK159" si="253">BO96+BX96+CB96+CJ95</f>
        <v>134512.20000000001</v>
      </c>
      <c r="CL96" s="2">
        <f t="shared" si="194"/>
        <v>0</v>
      </c>
      <c r="CM96" s="2">
        <f t="shared" si="216"/>
        <v>836.25480500000015</v>
      </c>
      <c r="CN96" s="2">
        <f t="shared" si="195"/>
        <v>133675.94519500001</v>
      </c>
      <c r="CO96" s="2">
        <f t="shared" si="217"/>
        <v>2628</v>
      </c>
      <c r="CP96" s="2">
        <f t="shared" si="196"/>
        <v>6057.9980000000023</v>
      </c>
      <c r="CQ96" s="2">
        <f t="shared" si="197"/>
        <v>124989.947195</v>
      </c>
      <c r="CS96" s="5">
        <f t="shared" si="218"/>
        <v>1000</v>
      </c>
      <c r="CT96" s="2">
        <f t="shared" si="219"/>
        <v>100000</v>
      </c>
      <c r="CU96" s="2">
        <f t="shared" si="220"/>
        <v>100000</v>
      </c>
      <c r="CV96" s="2">
        <f t="shared" si="221"/>
        <v>135097.75124653691</v>
      </c>
      <c r="CW96" s="8">
        <f t="shared" si="198"/>
        <v>5.1000000000000004E-2</v>
      </c>
      <c r="CX96" s="2">
        <f t="shared" si="199"/>
        <v>138542.7439033236</v>
      </c>
      <c r="CY96" s="2" t="str">
        <f t="shared" si="200"/>
        <v>nie</v>
      </c>
      <c r="CZ96" s="2">
        <f t="shared" si="222"/>
        <v>0</v>
      </c>
      <c r="DA96" s="2">
        <f t="shared" si="223"/>
        <v>0</v>
      </c>
      <c r="DB96" s="2">
        <f t="shared" si="224"/>
        <v>138542.7439033236</v>
      </c>
      <c r="DC96" s="2">
        <f t="shared" si="201"/>
        <v>0</v>
      </c>
      <c r="DD96" s="2">
        <f t="shared" si="225"/>
        <v>852.15956881575721</v>
      </c>
      <c r="DE96" s="2">
        <f t="shared" si="226"/>
        <v>137690.58433450785</v>
      </c>
      <c r="DF96" s="2">
        <f t="shared" si="202"/>
        <v>3000</v>
      </c>
      <c r="DG96" s="2">
        <f t="shared" si="203"/>
        <v>6753.121341631484</v>
      </c>
      <c r="DH96" s="2">
        <f t="shared" si="227"/>
        <v>127937.46299287636</v>
      </c>
    </row>
    <row r="97" spans="2:112">
      <c r="B97" s="231">
        <f>ROUNDUP(C98/12,0)</f>
        <v>6</v>
      </c>
      <c r="C97" s="3">
        <f t="shared" si="168"/>
        <v>60</v>
      </c>
      <c r="D97" s="10">
        <f t="shared" si="105"/>
        <v>122887.70488756799</v>
      </c>
      <c r="E97" s="10">
        <f t="shared" si="106"/>
        <v>117493.89816116799</v>
      </c>
      <c r="F97" s="10">
        <f t="shared" si="107"/>
        <v>125001.01789500003</v>
      </c>
      <c r="G97" s="10">
        <f t="shared" si="108"/>
        <v>118177.91289500002</v>
      </c>
      <c r="H97" s="10">
        <f t="shared" si="109"/>
        <v>127852.06167800543</v>
      </c>
      <c r="I97" s="10">
        <f t="shared" si="110"/>
        <v>119999.06192839361</v>
      </c>
      <c r="J97" s="10">
        <f t="shared" si="169"/>
        <v>115676.01686304246</v>
      </c>
      <c r="K97" s="10">
        <f t="shared" si="170"/>
        <v>116491.25562341507</v>
      </c>
      <c r="W97" s="1">
        <f t="shared" si="204"/>
        <v>79</v>
      </c>
      <c r="X97" s="2">
        <f t="shared" si="177"/>
        <v>122274.33780997923</v>
      </c>
      <c r="Y97" s="8">
        <f t="shared" si="230"/>
        <v>3.9100000000000003E-2</v>
      </c>
      <c r="Z97" s="5">
        <f t="shared" si="205"/>
        <v>1284</v>
      </c>
      <c r="AA97" s="2">
        <f t="shared" si="206"/>
        <v>128271.6</v>
      </c>
      <c r="AB97" s="2">
        <f t="shared" si="207"/>
        <v>128400</v>
      </c>
      <c r="AC97" s="2">
        <f t="shared" si="208"/>
        <v>128400</v>
      </c>
      <c r="AD97" s="8">
        <f t="shared" si="178"/>
        <v>4.3999999999999997E-2</v>
      </c>
      <c r="AE97" s="2">
        <f t="shared" si="179"/>
        <v>131695.6</v>
      </c>
      <c r="AF97" s="2" t="str">
        <f t="shared" si="180"/>
        <v>nie</v>
      </c>
      <c r="AG97" s="2">
        <f t="shared" si="181"/>
        <v>1284</v>
      </c>
      <c r="AH97" s="1">
        <f t="shared" si="233"/>
        <v>1</v>
      </c>
      <c r="AI97" s="1">
        <f t="shared" si="171"/>
        <v>0</v>
      </c>
      <c r="AJ97" s="1">
        <f t="shared" si="228"/>
        <v>0</v>
      </c>
      <c r="AK97" s="1">
        <f t="shared" si="166"/>
        <v>0</v>
      </c>
      <c r="AL97" s="2">
        <f t="shared" si="243"/>
        <v>100</v>
      </c>
      <c r="AM97" s="8">
        <f t="shared" si="234"/>
        <v>4.3999999999999997E-2</v>
      </c>
      <c r="AN97" s="2">
        <f t="shared" si="244"/>
        <v>102.56666666666668</v>
      </c>
      <c r="AO97" s="2">
        <f t="shared" si="235"/>
        <v>1</v>
      </c>
      <c r="AP97" s="2">
        <f t="shared" si="119"/>
        <v>0</v>
      </c>
      <c r="AQ97" s="8">
        <f t="shared" si="172"/>
        <v>3.9100000000000003E-2</v>
      </c>
      <c r="AR97" s="2">
        <f t="shared" si="113"/>
        <v>0</v>
      </c>
      <c r="AS97" s="2">
        <f t="shared" si="173"/>
        <v>0</v>
      </c>
      <c r="AT97" s="2">
        <f t="shared" si="209"/>
        <v>0</v>
      </c>
      <c r="AU97" s="2">
        <f t="shared" si="245"/>
        <v>0</v>
      </c>
      <c r="AV97" s="2">
        <f t="shared" si="236"/>
        <v>15.147738079976989</v>
      </c>
      <c r="AW97" s="1">
        <f t="shared" si="231"/>
        <v>0</v>
      </c>
      <c r="AX97" s="2">
        <f t="shared" si="182"/>
        <v>15.147738079976989</v>
      </c>
      <c r="AY97" s="1">
        <f t="shared" si="237"/>
        <v>0</v>
      </c>
      <c r="AZ97" s="2">
        <f t="shared" si="210"/>
        <v>15.147738079976989</v>
      </c>
      <c r="BA97" s="2">
        <f t="shared" si="246"/>
        <v>131813.31440474666</v>
      </c>
      <c r="BB97" s="2">
        <f t="shared" si="183"/>
        <v>0</v>
      </c>
      <c r="BC97" s="2">
        <f t="shared" si="211"/>
        <v>824.65776971769594</v>
      </c>
      <c r="BD97" s="2">
        <f t="shared" si="184"/>
        <v>130988.65663502896</v>
      </c>
      <c r="BE97" s="2">
        <f t="shared" si="212"/>
        <v>1285</v>
      </c>
      <c r="BF97" s="2">
        <f t="shared" si="185"/>
        <v>5800.3797369018657</v>
      </c>
      <c r="BG97" s="2">
        <f t="shared" si="186"/>
        <v>123903.27689812709</v>
      </c>
      <c r="BI97" s="8">
        <f t="shared" si="238"/>
        <v>3.1E-2</v>
      </c>
      <c r="BJ97" s="5">
        <f t="shared" si="213"/>
        <v>1047</v>
      </c>
      <c r="BK97" s="2">
        <f t="shared" si="214"/>
        <v>104595.3</v>
      </c>
      <c r="BL97" s="2">
        <f t="shared" si="215"/>
        <v>104700</v>
      </c>
      <c r="BM97" s="2">
        <f t="shared" si="187"/>
        <v>104700</v>
      </c>
      <c r="BN97" s="8">
        <f t="shared" si="188"/>
        <v>4.5999999999999999E-2</v>
      </c>
      <c r="BO97" s="2">
        <f t="shared" si="189"/>
        <v>107509.45</v>
      </c>
      <c r="BP97" s="2" t="str">
        <f t="shared" si="190"/>
        <v>nie</v>
      </c>
      <c r="BQ97" s="2">
        <f t="shared" si="191"/>
        <v>2094</v>
      </c>
      <c r="BR97" s="1">
        <f t="shared" si="239"/>
        <v>106</v>
      </c>
      <c r="BS97" s="1">
        <f t="shared" si="174"/>
        <v>103</v>
      </c>
      <c r="BT97" s="1">
        <f t="shared" si="229"/>
        <v>7</v>
      </c>
      <c r="BU97" s="1">
        <f t="shared" si="167"/>
        <v>51</v>
      </c>
      <c r="BV97" s="2">
        <f t="shared" si="247"/>
        <v>10600</v>
      </c>
      <c r="BW97" s="8">
        <f t="shared" si="240"/>
        <v>4.7500000000000001E-2</v>
      </c>
      <c r="BX97" s="2">
        <f t="shared" si="248"/>
        <v>10893.708333333334</v>
      </c>
      <c r="BY97" s="2">
        <f t="shared" si="241"/>
        <v>212</v>
      </c>
      <c r="BZ97" s="2">
        <f t="shared" si="120"/>
        <v>16100</v>
      </c>
      <c r="CA97" s="8">
        <f t="shared" si="175"/>
        <v>4.5999999999999999E-2</v>
      </c>
      <c r="CB97" s="2">
        <f t="shared" si="249"/>
        <v>16532.016666666666</v>
      </c>
      <c r="CC97" s="2">
        <f t="shared" si="176"/>
        <v>322</v>
      </c>
      <c r="CD97" s="2">
        <f t="shared" si="192"/>
        <v>0</v>
      </c>
      <c r="CE97" s="2">
        <f t="shared" si="250"/>
        <v>0</v>
      </c>
      <c r="CF97" s="2">
        <f t="shared" si="251"/>
        <v>82.050000000028376</v>
      </c>
      <c r="CG97" s="1">
        <f t="shared" si="232"/>
        <v>0</v>
      </c>
      <c r="CH97" s="2">
        <f t="shared" si="193"/>
        <v>82.050000000028376</v>
      </c>
      <c r="CI97" s="1">
        <f t="shared" si="242"/>
        <v>0</v>
      </c>
      <c r="CJ97" s="2">
        <f t="shared" si="252"/>
        <v>82.050000000028376</v>
      </c>
      <c r="CK97" s="2">
        <f t="shared" si="253"/>
        <v>135017.22500000001</v>
      </c>
      <c r="CL97" s="2">
        <f t="shared" si="194"/>
        <v>0</v>
      </c>
      <c r="CM97" s="2">
        <f t="shared" si="216"/>
        <v>836.25480500000015</v>
      </c>
      <c r="CN97" s="2">
        <f t="shared" si="195"/>
        <v>134180.970195</v>
      </c>
      <c r="CO97" s="2">
        <f t="shared" si="217"/>
        <v>2628</v>
      </c>
      <c r="CP97" s="2">
        <f t="shared" si="196"/>
        <v>6153.9527500000013</v>
      </c>
      <c r="CQ97" s="2">
        <f t="shared" si="197"/>
        <v>125399.017445</v>
      </c>
      <c r="CS97" s="5">
        <f t="shared" si="218"/>
        <v>1000</v>
      </c>
      <c r="CT97" s="2">
        <f t="shared" si="219"/>
        <v>100000</v>
      </c>
      <c r="CU97" s="2">
        <f t="shared" si="220"/>
        <v>100000</v>
      </c>
      <c r="CV97" s="2">
        <f t="shared" si="221"/>
        <v>135097.75124653691</v>
      </c>
      <c r="CW97" s="8">
        <f t="shared" si="198"/>
        <v>5.1000000000000004E-2</v>
      </c>
      <c r="CX97" s="2">
        <f t="shared" si="199"/>
        <v>139116.90934612136</v>
      </c>
      <c r="CY97" s="2" t="str">
        <f t="shared" si="200"/>
        <v>nie</v>
      </c>
      <c r="CZ97" s="2">
        <f t="shared" si="222"/>
        <v>0</v>
      </c>
      <c r="DA97" s="2">
        <f t="shared" si="223"/>
        <v>0</v>
      </c>
      <c r="DB97" s="2">
        <f t="shared" si="224"/>
        <v>139116.90934612136</v>
      </c>
      <c r="DC97" s="2">
        <f t="shared" si="201"/>
        <v>0</v>
      </c>
      <c r="DD97" s="2">
        <f t="shared" si="225"/>
        <v>852.15956881575721</v>
      </c>
      <c r="DE97" s="2">
        <f t="shared" si="226"/>
        <v>138264.74977730561</v>
      </c>
      <c r="DF97" s="2">
        <f t="shared" si="202"/>
        <v>3000</v>
      </c>
      <c r="DG97" s="2">
        <f t="shared" si="203"/>
        <v>6862.2127757630587</v>
      </c>
      <c r="DH97" s="2">
        <f t="shared" si="227"/>
        <v>128402.53700154254</v>
      </c>
    </row>
    <row r="98" spans="2:112">
      <c r="B98" s="232"/>
      <c r="C98" s="1">
        <f t="shared" si="168"/>
        <v>61</v>
      </c>
      <c r="D98" s="2">
        <f t="shared" si="105"/>
        <v>123340.50063316799</v>
      </c>
      <c r="E98" s="2">
        <f t="shared" si="106"/>
        <v>117860.66271510399</v>
      </c>
      <c r="F98" s="2">
        <f t="shared" si="107"/>
        <v>125488.47206166669</v>
      </c>
      <c r="G98" s="2">
        <f t="shared" si="108"/>
        <v>118615.86639500002</v>
      </c>
      <c r="H98" s="2">
        <f t="shared" si="109"/>
        <v>128398.36561977307</v>
      </c>
      <c r="I98" s="2">
        <f t="shared" si="110"/>
        <v>120441.56812122541</v>
      </c>
      <c r="J98" s="2">
        <f t="shared" si="169"/>
        <v>115957.10958401965</v>
      </c>
      <c r="K98" s="2">
        <f t="shared" si="170"/>
        <v>116792.1913671089</v>
      </c>
      <c r="W98" s="1">
        <f t="shared" si="204"/>
        <v>80</v>
      </c>
      <c r="X98" s="2">
        <f t="shared" si="177"/>
        <v>122584.60256172756</v>
      </c>
      <c r="Y98" s="8">
        <f t="shared" si="230"/>
        <v>3.9100000000000003E-2</v>
      </c>
      <c r="Z98" s="5">
        <f t="shared" si="205"/>
        <v>1284</v>
      </c>
      <c r="AA98" s="2">
        <f t="shared" si="206"/>
        <v>128271.6</v>
      </c>
      <c r="AB98" s="2">
        <f t="shared" si="207"/>
        <v>128400</v>
      </c>
      <c r="AC98" s="2">
        <f t="shared" si="208"/>
        <v>128400</v>
      </c>
      <c r="AD98" s="8">
        <f t="shared" si="178"/>
        <v>4.3999999999999997E-2</v>
      </c>
      <c r="AE98" s="2">
        <f t="shared" si="179"/>
        <v>132166.40000000002</v>
      </c>
      <c r="AF98" s="2" t="str">
        <f t="shared" si="180"/>
        <v>nie</v>
      </c>
      <c r="AG98" s="2">
        <f t="shared" si="181"/>
        <v>1284</v>
      </c>
      <c r="AH98" s="1">
        <f t="shared" si="233"/>
        <v>1</v>
      </c>
      <c r="AI98" s="1">
        <f t="shared" si="171"/>
        <v>0</v>
      </c>
      <c r="AJ98" s="1">
        <f t="shared" si="228"/>
        <v>0</v>
      </c>
      <c r="AK98" s="1">
        <f t="shared" si="166"/>
        <v>0</v>
      </c>
      <c r="AL98" s="2">
        <f t="shared" si="243"/>
        <v>100</v>
      </c>
      <c r="AM98" s="8">
        <f t="shared" si="234"/>
        <v>4.3999999999999997E-2</v>
      </c>
      <c r="AN98" s="2">
        <f t="shared" si="244"/>
        <v>102.93333333333334</v>
      </c>
      <c r="AO98" s="2">
        <f t="shared" si="235"/>
        <v>1</v>
      </c>
      <c r="AP98" s="2">
        <f t="shared" si="119"/>
        <v>0</v>
      </c>
      <c r="AQ98" s="8">
        <f t="shared" si="172"/>
        <v>3.9100000000000003E-2</v>
      </c>
      <c r="AR98" s="2">
        <f t="shared" si="113"/>
        <v>0</v>
      </c>
      <c r="AS98" s="2">
        <f t="shared" si="173"/>
        <v>0</v>
      </c>
      <c r="AT98" s="2">
        <f t="shared" si="209"/>
        <v>0</v>
      </c>
      <c r="AU98" s="2">
        <f t="shared" si="245"/>
        <v>0</v>
      </c>
      <c r="AV98" s="2">
        <f t="shared" si="236"/>
        <v>15.147738079976989</v>
      </c>
      <c r="AW98" s="1">
        <f t="shared" si="231"/>
        <v>0</v>
      </c>
      <c r="AX98" s="2">
        <f t="shared" si="182"/>
        <v>15.147738079976989</v>
      </c>
      <c r="AY98" s="1">
        <f t="shared" si="237"/>
        <v>0</v>
      </c>
      <c r="AZ98" s="2">
        <f t="shared" si="210"/>
        <v>15.147738079976989</v>
      </c>
      <c r="BA98" s="2">
        <f t="shared" si="246"/>
        <v>132284.48107141332</v>
      </c>
      <c r="BB98" s="2">
        <f t="shared" si="183"/>
        <v>0</v>
      </c>
      <c r="BC98" s="2">
        <f t="shared" si="211"/>
        <v>824.65776971769594</v>
      </c>
      <c r="BD98" s="2">
        <f t="shared" si="184"/>
        <v>131459.82330169564</v>
      </c>
      <c r="BE98" s="2">
        <f t="shared" si="212"/>
        <v>1285</v>
      </c>
      <c r="BF98" s="2">
        <f t="shared" si="185"/>
        <v>5889.9014035685304</v>
      </c>
      <c r="BG98" s="2">
        <f t="shared" si="186"/>
        <v>124284.92189812711</v>
      </c>
      <c r="BI98" s="8">
        <f t="shared" si="238"/>
        <v>3.1E-2</v>
      </c>
      <c r="BJ98" s="5">
        <f t="shared" si="213"/>
        <v>1047</v>
      </c>
      <c r="BK98" s="2">
        <f t="shared" si="214"/>
        <v>104595.3</v>
      </c>
      <c r="BL98" s="2">
        <f t="shared" si="215"/>
        <v>104700</v>
      </c>
      <c r="BM98" s="2">
        <f t="shared" si="187"/>
        <v>104700</v>
      </c>
      <c r="BN98" s="8">
        <f t="shared" si="188"/>
        <v>4.5999999999999999E-2</v>
      </c>
      <c r="BO98" s="2">
        <f t="shared" si="189"/>
        <v>107910.79999999999</v>
      </c>
      <c r="BP98" s="2" t="str">
        <f t="shared" si="190"/>
        <v>nie</v>
      </c>
      <c r="BQ98" s="2">
        <f t="shared" si="191"/>
        <v>2094</v>
      </c>
      <c r="BR98" s="1">
        <f t="shared" si="239"/>
        <v>106</v>
      </c>
      <c r="BS98" s="1">
        <f t="shared" si="174"/>
        <v>103</v>
      </c>
      <c r="BT98" s="1">
        <f t="shared" si="229"/>
        <v>7</v>
      </c>
      <c r="BU98" s="1">
        <f t="shared" si="167"/>
        <v>51</v>
      </c>
      <c r="BV98" s="2">
        <f t="shared" si="247"/>
        <v>10600</v>
      </c>
      <c r="BW98" s="8">
        <f t="shared" si="240"/>
        <v>4.7500000000000001E-2</v>
      </c>
      <c r="BX98" s="2">
        <f t="shared" si="248"/>
        <v>10935.666666666668</v>
      </c>
      <c r="BY98" s="2">
        <f t="shared" si="241"/>
        <v>212</v>
      </c>
      <c r="BZ98" s="2">
        <f t="shared" si="120"/>
        <v>16100</v>
      </c>
      <c r="CA98" s="8">
        <f t="shared" si="175"/>
        <v>4.5999999999999999E-2</v>
      </c>
      <c r="CB98" s="2">
        <f t="shared" si="249"/>
        <v>16593.733333333334</v>
      </c>
      <c r="CC98" s="2">
        <f t="shared" si="176"/>
        <v>322</v>
      </c>
      <c r="CD98" s="2">
        <f t="shared" si="192"/>
        <v>0</v>
      </c>
      <c r="CE98" s="2">
        <f t="shared" si="250"/>
        <v>0</v>
      </c>
      <c r="CF98" s="2">
        <f t="shared" si="251"/>
        <v>82.050000000028376</v>
      </c>
      <c r="CG98" s="1">
        <f t="shared" si="232"/>
        <v>0</v>
      </c>
      <c r="CH98" s="2">
        <f t="shared" si="193"/>
        <v>82.050000000028376</v>
      </c>
      <c r="CI98" s="1">
        <f t="shared" si="242"/>
        <v>0</v>
      </c>
      <c r="CJ98" s="2">
        <f t="shared" si="252"/>
        <v>82.050000000028376</v>
      </c>
      <c r="CK98" s="2">
        <f t="shared" si="253"/>
        <v>135522.25</v>
      </c>
      <c r="CL98" s="2">
        <f t="shared" si="194"/>
        <v>0</v>
      </c>
      <c r="CM98" s="2">
        <f t="shared" si="216"/>
        <v>836.25480500000015</v>
      </c>
      <c r="CN98" s="2">
        <f t="shared" si="195"/>
        <v>134685.995195</v>
      </c>
      <c r="CO98" s="2">
        <f t="shared" si="217"/>
        <v>2628</v>
      </c>
      <c r="CP98" s="2">
        <f t="shared" si="196"/>
        <v>6249.9075000000003</v>
      </c>
      <c r="CQ98" s="2">
        <f t="shared" si="197"/>
        <v>125808.08769499999</v>
      </c>
      <c r="CS98" s="5">
        <f t="shared" si="218"/>
        <v>1000</v>
      </c>
      <c r="CT98" s="2">
        <f t="shared" si="219"/>
        <v>100000</v>
      </c>
      <c r="CU98" s="2">
        <f t="shared" si="220"/>
        <v>100000</v>
      </c>
      <c r="CV98" s="2">
        <f t="shared" si="221"/>
        <v>135097.75124653691</v>
      </c>
      <c r="CW98" s="8">
        <f t="shared" si="198"/>
        <v>5.1000000000000004E-2</v>
      </c>
      <c r="CX98" s="2">
        <f t="shared" si="199"/>
        <v>139691.07478891916</v>
      </c>
      <c r="CY98" s="2" t="str">
        <f t="shared" si="200"/>
        <v>nie</v>
      </c>
      <c r="CZ98" s="2">
        <f t="shared" si="222"/>
        <v>0</v>
      </c>
      <c r="DA98" s="2">
        <f t="shared" si="223"/>
        <v>0</v>
      </c>
      <c r="DB98" s="2">
        <f t="shared" si="224"/>
        <v>139691.07478891916</v>
      </c>
      <c r="DC98" s="2">
        <f t="shared" si="201"/>
        <v>0</v>
      </c>
      <c r="DD98" s="2">
        <f t="shared" si="225"/>
        <v>852.15956881575721</v>
      </c>
      <c r="DE98" s="2">
        <f t="shared" si="226"/>
        <v>138838.9152201034</v>
      </c>
      <c r="DF98" s="2">
        <f t="shared" si="202"/>
        <v>3000</v>
      </c>
      <c r="DG98" s="2">
        <f t="shared" si="203"/>
        <v>6971.3042098946398</v>
      </c>
      <c r="DH98" s="2">
        <f t="shared" si="227"/>
        <v>128867.61101020876</v>
      </c>
    </row>
    <row r="99" spans="2:112">
      <c r="B99" s="232"/>
      <c r="C99" s="1">
        <f t="shared" si="168"/>
        <v>62</v>
      </c>
      <c r="D99" s="2">
        <f t="shared" si="105"/>
        <v>123793.29637876801</v>
      </c>
      <c r="E99" s="2">
        <f t="shared" si="106"/>
        <v>118227.42726904</v>
      </c>
      <c r="F99" s="2">
        <f t="shared" si="107"/>
        <v>125971.22622833337</v>
      </c>
      <c r="G99" s="2">
        <f t="shared" si="108"/>
        <v>118973.87289500002</v>
      </c>
      <c r="H99" s="2">
        <f t="shared" si="109"/>
        <v>128944.66956154068</v>
      </c>
      <c r="I99" s="2">
        <f t="shared" si="110"/>
        <v>120884.07431405717</v>
      </c>
      <c r="J99" s="2">
        <f t="shared" si="169"/>
        <v>116238.88536030881</v>
      </c>
      <c r="K99" s="2">
        <f t="shared" si="170"/>
        <v>117093.12711080273</v>
      </c>
      <c r="W99" s="1">
        <f t="shared" si="204"/>
        <v>81</v>
      </c>
      <c r="X99" s="2">
        <f t="shared" si="177"/>
        <v>122894.8673134759</v>
      </c>
      <c r="Y99" s="8">
        <f t="shared" si="230"/>
        <v>3.9100000000000003E-2</v>
      </c>
      <c r="Z99" s="5">
        <f t="shared" si="205"/>
        <v>1284</v>
      </c>
      <c r="AA99" s="2">
        <f t="shared" si="206"/>
        <v>128271.6</v>
      </c>
      <c r="AB99" s="2">
        <f t="shared" si="207"/>
        <v>128400</v>
      </c>
      <c r="AC99" s="2">
        <f t="shared" si="208"/>
        <v>128400</v>
      </c>
      <c r="AD99" s="8">
        <f t="shared" si="178"/>
        <v>4.3999999999999997E-2</v>
      </c>
      <c r="AE99" s="2">
        <f t="shared" si="179"/>
        <v>132637.19999999998</v>
      </c>
      <c r="AF99" s="2" t="str">
        <f t="shared" si="180"/>
        <v>nie</v>
      </c>
      <c r="AG99" s="2">
        <f t="shared" si="181"/>
        <v>1284</v>
      </c>
      <c r="AH99" s="1">
        <f t="shared" si="233"/>
        <v>1</v>
      </c>
      <c r="AI99" s="1">
        <f t="shared" si="171"/>
        <v>0</v>
      </c>
      <c r="AJ99" s="1">
        <f t="shared" si="228"/>
        <v>0</v>
      </c>
      <c r="AK99" s="1">
        <f t="shared" ref="AK99:AK130" si="254">IF(zapadalnosc_TOS/12&gt;=AK$18,AJ87,0)</f>
        <v>0</v>
      </c>
      <c r="AL99" s="2">
        <f t="shared" si="243"/>
        <v>100</v>
      </c>
      <c r="AM99" s="8">
        <f t="shared" si="234"/>
        <v>4.3999999999999997E-2</v>
      </c>
      <c r="AN99" s="2">
        <f t="shared" si="244"/>
        <v>103.3</v>
      </c>
      <c r="AO99" s="2">
        <f t="shared" si="235"/>
        <v>1</v>
      </c>
      <c r="AP99" s="2">
        <f t="shared" si="119"/>
        <v>0</v>
      </c>
      <c r="AQ99" s="8">
        <f t="shared" si="172"/>
        <v>3.9100000000000003E-2</v>
      </c>
      <c r="AR99" s="2">
        <f t="shared" si="113"/>
        <v>0</v>
      </c>
      <c r="AS99" s="2">
        <f t="shared" si="173"/>
        <v>0</v>
      </c>
      <c r="AT99" s="2">
        <f t="shared" si="209"/>
        <v>0</v>
      </c>
      <c r="AU99" s="2">
        <f t="shared" si="245"/>
        <v>0</v>
      </c>
      <c r="AV99" s="2">
        <f t="shared" si="236"/>
        <v>15.147738079976989</v>
      </c>
      <c r="AW99" s="1">
        <f t="shared" si="231"/>
        <v>0</v>
      </c>
      <c r="AX99" s="2">
        <f t="shared" si="182"/>
        <v>15.147738079976989</v>
      </c>
      <c r="AY99" s="1">
        <f t="shared" si="237"/>
        <v>0</v>
      </c>
      <c r="AZ99" s="2">
        <f t="shared" si="210"/>
        <v>15.147738079976989</v>
      </c>
      <c r="BA99" s="2">
        <f t="shared" si="246"/>
        <v>132755.64773807995</v>
      </c>
      <c r="BB99" s="2">
        <f t="shared" si="183"/>
        <v>0</v>
      </c>
      <c r="BC99" s="2">
        <f t="shared" si="211"/>
        <v>824.65776971769594</v>
      </c>
      <c r="BD99" s="2">
        <f t="shared" si="184"/>
        <v>131930.98996836226</v>
      </c>
      <c r="BE99" s="2">
        <f t="shared" si="212"/>
        <v>1285</v>
      </c>
      <c r="BF99" s="2">
        <f t="shared" si="185"/>
        <v>5979.4230702351906</v>
      </c>
      <c r="BG99" s="2">
        <f t="shared" si="186"/>
        <v>124666.56689812707</v>
      </c>
      <c r="BI99" s="8">
        <f t="shared" si="238"/>
        <v>3.1E-2</v>
      </c>
      <c r="BJ99" s="5">
        <f t="shared" si="213"/>
        <v>1047</v>
      </c>
      <c r="BK99" s="2">
        <f t="shared" si="214"/>
        <v>104595.3</v>
      </c>
      <c r="BL99" s="2">
        <f t="shared" si="215"/>
        <v>104700</v>
      </c>
      <c r="BM99" s="2">
        <f t="shared" si="187"/>
        <v>104700</v>
      </c>
      <c r="BN99" s="8">
        <f t="shared" si="188"/>
        <v>4.5999999999999999E-2</v>
      </c>
      <c r="BO99" s="2">
        <f t="shared" si="189"/>
        <v>108312.15</v>
      </c>
      <c r="BP99" s="2" t="str">
        <f t="shared" si="190"/>
        <v>nie</v>
      </c>
      <c r="BQ99" s="2">
        <f t="shared" si="191"/>
        <v>2094</v>
      </c>
      <c r="BR99" s="1">
        <f t="shared" si="239"/>
        <v>106</v>
      </c>
      <c r="BS99" s="1">
        <f t="shared" si="174"/>
        <v>103</v>
      </c>
      <c r="BT99" s="1">
        <f t="shared" si="229"/>
        <v>7</v>
      </c>
      <c r="BU99" s="1">
        <f t="shared" ref="BU99:BU130" si="255">IF(zapadalnosc_COI/12&gt;=BU$18,BT87,0)</f>
        <v>51</v>
      </c>
      <c r="BV99" s="2">
        <f t="shared" si="247"/>
        <v>10600</v>
      </c>
      <c r="BW99" s="8">
        <f t="shared" si="240"/>
        <v>4.7500000000000001E-2</v>
      </c>
      <c r="BX99" s="2">
        <f t="shared" si="248"/>
        <v>10977.625</v>
      </c>
      <c r="BY99" s="2">
        <f t="shared" si="241"/>
        <v>212</v>
      </c>
      <c r="BZ99" s="2">
        <f t="shared" si="120"/>
        <v>16100</v>
      </c>
      <c r="CA99" s="8">
        <f t="shared" si="175"/>
        <v>4.5999999999999999E-2</v>
      </c>
      <c r="CB99" s="2">
        <f t="shared" si="249"/>
        <v>16655.45</v>
      </c>
      <c r="CC99" s="2">
        <f t="shared" si="176"/>
        <v>322</v>
      </c>
      <c r="CD99" s="2">
        <f t="shared" si="192"/>
        <v>0</v>
      </c>
      <c r="CE99" s="2">
        <f t="shared" si="250"/>
        <v>0</v>
      </c>
      <c r="CF99" s="2">
        <f t="shared" si="251"/>
        <v>82.050000000028376</v>
      </c>
      <c r="CG99" s="1">
        <f t="shared" si="232"/>
        <v>0</v>
      </c>
      <c r="CH99" s="2">
        <f t="shared" si="193"/>
        <v>82.050000000028376</v>
      </c>
      <c r="CI99" s="1">
        <f t="shared" si="242"/>
        <v>0</v>
      </c>
      <c r="CJ99" s="2">
        <f t="shared" si="252"/>
        <v>82.050000000028376</v>
      </c>
      <c r="CK99" s="2">
        <f t="shared" si="253"/>
        <v>136027.27500000002</v>
      </c>
      <c r="CL99" s="2">
        <f t="shared" si="194"/>
        <v>0</v>
      </c>
      <c r="CM99" s="2">
        <f t="shared" si="216"/>
        <v>836.25480500000015</v>
      </c>
      <c r="CN99" s="2">
        <f t="shared" si="195"/>
        <v>135191.02019500002</v>
      </c>
      <c r="CO99" s="2">
        <f t="shared" si="217"/>
        <v>2628</v>
      </c>
      <c r="CP99" s="2">
        <f t="shared" si="196"/>
        <v>6345.8622500000047</v>
      </c>
      <c r="CQ99" s="2">
        <f t="shared" si="197"/>
        <v>126217.15794500001</v>
      </c>
      <c r="CS99" s="5">
        <f t="shared" si="218"/>
        <v>1000</v>
      </c>
      <c r="CT99" s="2">
        <f t="shared" si="219"/>
        <v>100000</v>
      </c>
      <c r="CU99" s="2">
        <f t="shared" si="220"/>
        <v>100000</v>
      </c>
      <c r="CV99" s="2">
        <f t="shared" si="221"/>
        <v>135097.75124653691</v>
      </c>
      <c r="CW99" s="8">
        <f t="shared" si="198"/>
        <v>5.1000000000000004E-2</v>
      </c>
      <c r="CX99" s="2">
        <f t="shared" si="199"/>
        <v>140265.24023171692</v>
      </c>
      <c r="CY99" s="2" t="str">
        <f t="shared" si="200"/>
        <v>nie</v>
      </c>
      <c r="CZ99" s="2">
        <f t="shared" si="222"/>
        <v>0</v>
      </c>
      <c r="DA99" s="2">
        <f t="shared" si="223"/>
        <v>0</v>
      </c>
      <c r="DB99" s="2">
        <f t="shared" si="224"/>
        <v>140265.24023171692</v>
      </c>
      <c r="DC99" s="2">
        <f t="shared" si="201"/>
        <v>0</v>
      </c>
      <c r="DD99" s="2">
        <f t="shared" si="225"/>
        <v>852.15956881575721</v>
      </c>
      <c r="DE99" s="2">
        <f t="shared" si="226"/>
        <v>139413.08066290116</v>
      </c>
      <c r="DF99" s="2">
        <f t="shared" si="202"/>
        <v>3000</v>
      </c>
      <c r="DG99" s="2">
        <f t="shared" si="203"/>
        <v>7080.3956440262145</v>
      </c>
      <c r="DH99" s="2">
        <f t="shared" si="227"/>
        <v>129332.68501887495</v>
      </c>
    </row>
    <row r="100" spans="2:112">
      <c r="B100" s="232"/>
      <c r="C100" s="1">
        <f t="shared" si="168"/>
        <v>63</v>
      </c>
      <c r="D100" s="2">
        <f t="shared" si="105"/>
        <v>124246.09212436798</v>
      </c>
      <c r="E100" s="2">
        <f t="shared" si="106"/>
        <v>118594.19182297598</v>
      </c>
      <c r="F100" s="2">
        <f t="shared" si="107"/>
        <v>126453.98039500004</v>
      </c>
      <c r="G100" s="2">
        <f t="shared" si="108"/>
        <v>119331.87939500003</v>
      </c>
      <c r="H100" s="2">
        <f t="shared" si="109"/>
        <v>129490.97350330833</v>
      </c>
      <c r="I100" s="2">
        <f t="shared" si="110"/>
        <v>121326.58050688896</v>
      </c>
      <c r="J100" s="2">
        <f t="shared" si="169"/>
        <v>116521.34585173435</v>
      </c>
      <c r="K100" s="2">
        <f t="shared" si="170"/>
        <v>117394.06285449653</v>
      </c>
      <c r="W100" s="1">
        <f t="shared" si="204"/>
        <v>82</v>
      </c>
      <c r="X100" s="2">
        <f t="shared" si="177"/>
        <v>123205.13206522424</v>
      </c>
      <c r="Y100" s="8">
        <f t="shared" si="230"/>
        <v>3.9100000000000003E-2</v>
      </c>
      <c r="Z100" s="5">
        <f t="shared" si="205"/>
        <v>1284</v>
      </c>
      <c r="AA100" s="2">
        <f t="shared" si="206"/>
        <v>128271.6</v>
      </c>
      <c r="AB100" s="2">
        <f t="shared" si="207"/>
        <v>128400</v>
      </c>
      <c r="AC100" s="2">
        <f t="shared" si="208"/>
        <v>128400</v>
      </c>
      <c r="AD100" s="8">
        <f t="shared" si="178"/>
        <v>4.3999999999999997E-2</v>
      </c>
      <c r="AE100" s="2">
        <f t="shared" si="179"/>
        <v>133108</v>
      </c>
      <c r="AF100" s="2" t="str">
        <f t="shared" si="180"/>
        <v>nie</v>
      </c>
      <c r="AG100" s="2">
        <f t="shared" si="181"/>
        <v>1284</v>
      </c>
      <c r="AH100" s="1">
        <f t="shared" si="233"/>
        <v>1</v>
      </c>
      <c r="AI100" s="1">
        <f t="shared" si="171"/>
        <v>0</v>
      </c>
      <c r="AJ100" s="1">
        <f t="shared" si="228"/>
        <v>0</v>
      </c>
      <c r="AK100" s="1">
        <f t="shared" si="254"/>
        <v>0</v>
      </c>
      <c r="AL100" s="2">
        <f t="shared" si="243"/>
        <v>100</v>
      </c>
      <c r="AM100" s="8">
        <f t="shared" si="234"/>
        <v>4.3999999999999997E-2</v>
      </c>
      <c r="AN100" s="2">
        <f t="shared" si="244"/>
        <v>103.66666666666666</v>
      </c>
      <c r="AO100" s="2">
        <f t="shared" si="235"/>
        <v>1</v>
      </c>
      <c r="AP100" s="2">
        <f t="shared" si="119"/>
        <v>0</v>
      </c>
      <c r="AQ100" s="8">
        <f t="shared" si="172"/>
        <v>3.9100000000000003E-2</v>
      </c>
      <c r="AR100" s="2">
        <f t="shared" si="113"/>
        <v>0</v>
      </c>
      <c r="AS100" s="2">
        <f t="shared" si="173"/>
        <v>0</v>
      </c>
      <c r="AT100" s="2">
        <f t="shared" si="209"/>
        <v>0</v>
      </c>
      <c r="AU100" s="2">
        <f t="shared" si="245"/>
        <v>0</v>
      </c>
      <c r="AV100" s="2">
        <f t="shared" si="236"/>
        <v>15.147738079976989</v>
      </c>
      <c r="AW100" s="1">
        <f t="shared" si="231"/>
        <v>0</v>
      </c>
      <c r="AX100" s="2">
        <f t="shared" si="182"/>
        <v>15.147738079976989</v>
      </c>
      <c r="AY100" s="1">
        <f t="shared" si="237"/>
        <v>0</v>
      </c>
      <c r="AZ100" s="2">
        <f t="shared" si="210"/>
        <v>15.147738079976989</v>
      </c>
      <c r="BA100" s="2">
        <f t="shared" si="246"/>
        <v>133226.81440474663</v>
      </c>
      <c r="BB100" s="2">
        <f t="shared" si="183"/>
        <v>0</v>
      </c>
      <c r="BC100" s="2">
        <f t="shared" si="211"/>
        <v>824.65776971769594</v>
      </c>
      <c r="BD100" s="2">
        <f t="shared" si="184"/>
        <v>132402.15663502895</v>
      </c>
      <c r="BE100" s="2">
        <f t="shared" si="212"/>
        <v>1285</v>
      </c>
      <c r="BF100" s="2">
        <f t="shared" si="185"/>
        <v>6068.9447369018608</v>
      </c>
      <c r="BG100" s="2">
        <f t="shared" si="186"/>
        <v>125048.21189812709</v>
      </c>
      <c r="BI100" s="8">
        <f t="shared" si="238"/>
        <v>3.1E-2</v>
      </c>
      <c r="BJ100" s="5">
        <f t="shared" si="213"/>
        <v>1047</v>
      </c>
      <c r="BK100" s="2">
        <f t="shared" si="214"/>
        <v>104595.3</v>
      </c>
      <c r="BL100" s="2">
        <f t="shared" si="215"/>
        <v>104700</v>
      </c>
      <c r="BM100" s="2">
        <f t="shared" si="187"/>
        <v>104700</v>
      </c>
      <c r="BN100" s="8">
        <f t="shared" si="188"/>
        <v>4.5999999999999999E-2</v>
      </c>
      <c r="BO100" s="2">
        <f t="shared" si="189"/>
        <v>108713.5</v>
      </c>
      <c r="BP100" s="2" t="str">
        <f t="shared" si="190"/>
        <v>nie</v>
      </c>
      <c r="BQ100" s="2">
        <f t="shared" si="191"/>
        <v>2094</v>
      </c>
      <c r="BR100" s="1">
        <f t="shared" si="239"/>
        <v>106</v>
      </c>
      <c r="BS100" s="1">
        <f t="shared" si="174"/>
        <v>103</v>
      </c>
      <c r="BT100" s="1">
        <f t="shared" si="229"/>
        <v>7</v>
      </c>
      <c r="BU100" s="1">
        <f t="shared" si="255"/>
        <v>51</v>
      </c>
      <c r="BV100" s="2">
        <f t="shared" si="247"/>
        <v>10600</v>
      </c>
      <c r="BW100" s="8">
        <f t="shared" si="240"/>
        <v>4.7500000000000001E-2</v>
      </c>
      <c r="BX100" s="2">
        <f t="shared" si="248"/>
        <v>11019.583333333332</v>
      </c>
      <c r="BY100" s="2">
        <f t="shared" si="241"/>
        <v>212</v>
      </c>
      <c r="BZ100" s="2">
        <f t="shared" si="120"/>
        <v>16100</v>
      </c>
      <c r="CA100" s="8">
        <f t="shared" si="175"/>
        <v>4.5999999999999999E-2</v>
      </c>
      <c r="CB100" s="2">
        <f t="shared" si="249"/>
        <v>16717.166666666668</v>
      </c>
      <c r="CC100" s="2">
        <f t="shared" si="176"/>
        <v>322</v>
      </c>
      <c r="CD100" s="2">
        <f t="shared" si="192"/>
        <v>0</v>
      </c>
      <c r="CE100" s="2">
        <f t="shared" si="250"/>
        <v>0</v>
      </c>
      <c r="CF100" s="2">
        <f t="shared" si="251"/>
        <v>82.050000000028376</v>
      </c>
      <c r="CG100" s="1">
        <f t="shared" si="232"/>
        <v>0</v>
      </c>
      <c r="CH100" s="2">
        <f t="shared" si="193"/>
        <v>82.050000000028376</v>
      </c>
      <c r="CI100" s="1">
        <f t="shared" si="242"/>
        <v>0</v>
      </c>
      <c r="CJ100" s="2">
        <f t="shared" si="252"/>
        <v>82.050000000028376</v>
      </c>
      <c r="CK100" s="2">
        <f t="shared" si="253"/>
        <v>136532.30000000002</v>
      </c>
      <c r="CL100" s="2">
        <f t="shared" si="194"/>
        <v>0</v>
      </c>
      <c r="CM100" s="2">
        <f t="shared" si="216"/>
        <v>836.25480500000015</v>
      </c>
      <c r="CN100" s="2">
        <f t="shared" si="195"/>
        <v>135696.04519500001</v>
      </c>
      <c r="CO100" s="2">
        <f t="shared" si="217"/>
        <v>2628</v>
      </c>
      <c r="CP100" s="2">
        <f t="shared" si="196"/>
        <v>6441.8170000000036</v>
      </c>
      <c r="CQ100" s="2">
        <f t="shared" si="197"/>
        <v>126626.228195</v>
      </c>
      <c r="CS100" s="5">
        <f t="shared" si="218"/>
        <v>1000</v>
      </c>
      <c r="CT100" s="2">
        <f t="shared" si="219"/>
        <v>100000</v>
      </c>
      <c r="CU100" s="2">
        <f t="shared" si="220"/>
        <v>100000</v>
      </c>
      <c r="CV100" s="2">
        <f t="shared" si="221"/>
        <v>135097.75124653691</v>
      </c>
      <c r="CW100" s="8">
        <f t="shared" si="198"/>
        <v>5.1000000000000004E-2</v>
      </c>
      <c r="CX100" s="2">
        <f t="shared" si="199"/>
        <v>140839.40567451471</v>
      </c>
      <c r="CY100" s="2" t="str">
        <f t="shared" si="200"/>
        <v>nie</v>
      </c>
      <c r="CZ100" s="2">
        <f t="shared" si="222"/>
        <v>0</v>
      </c>
      <c r="DA100" s="2">
        <f t="shared" si="223"/>
        <v>0</v>
      </c>
      <c r="DB100" s="2">
        <f t="shared" si="224"/>
        <v>140839.40567451471</v>
      </c>
      <c r="DC100" s="2">
        <f t="shared" si="201"/>
        <v>0</v>
      </c>
      <c r="DD100" s="2">
        <f t="shared" si="225"/>
        <v>852.15956881575721</v>
      </c>
      <c r="DE100" s="2">
        <f t="shared" si="226"/>
        <v>139987.24610569896</v>
      </c>
      <c r="DF100" s="2">
        <f t="shared" si="202"/>
        <v>3000</v>
      </c>
      <c r="DG100" s="2">
        <f t="shared" si="203"/>
        <v>7189.4870781577947</v>
      </c>
      <c r="DH100" s="2">
        <f t="shared" si="227"/>
        <v>129797.75902754116</v>
      </c>
    </row>
    <row r="101" spans="2:112">
      <c r="B101" s="232"/>
      <c r="C101" s="1">
        <f t="shared" si="168"/>
        <v>64</v>
      </c>
      <c r="D101" s="2">
        <f t="shared" si="105"/>
        <v>124698.88786996798</v>
      </c>
      <c r="E101" s="2">
        <f t="shared" si="106"/>
        <v>118960.95637691198</v>
      </c>
      <c r="F101" s="2">
        <f t="shared" si="107"/>
        <v>126936.7345616667</v>
      </c>
      <c r="G101" s="2">
        <f t="shared" si="108"/>
        <v>119689.88589500003</v>
      </c>
      <c r="H101" s="2">
        <f t="shared" si="109"/>
        <v>130037.27744507595</v>
      </c>
      <c r="I101" s="2">
        <f t="shared" si="110"/>
        <v>121769.08669972073</v>
      </c>
      <c r="J101" s="2">
        <f t="shared" si="169"/>
        <v>116804.49272215406</v>
      </c>
      <c r="K101" s="2">
        <f t="shared" si="170"/>
        <v>117694.99859819036</v>
      </c>
      <c r="W101" s="1">
        <f t="shared" si="204"/>
        <v>83</v>
      </c>
      <c r="X101" s="2">
        <f t="shared" si="177"/>
        <v>123515.39681697257</v>
      </c>
      <c r="Y101" s="8">
        <f t="shared" si="230"/>
        <v>3.9100000000000003E-2</v>
      </c>
      <c r="Z101" s="5">
        <f t="shared" si="205"/>
        <v>1284</v>
      </c>
      <c r="AA101" s="2">
        <f t="shared" si="206"/>
        <v>128271.6</v>
      </c>
      <c r="AB101" s="2">
        <f t="shared" si="207"/>
        <v>128400</v>
      </c>
      <c r="AC101" s="2">
        <f t="shared" si="208"/>
        <v>128400</v>
      </c>
      <c r="AD101" s="8">
        <f t="shared" si="178"/>
        <v>4.3999999999999997E-2</v>
      </c>
      <c r="AE101" s="2">
        <f t="shared" si="179"/>
        <v>133578.79999999999</v>
      </c>
      <c r="AF101" s="2" t="str">
        <f t="shared" si="180"/>
        <v>nie</v>
      </c>
      <c r="AG101" s="2">
        <f t="shared" si="181"/>
        <v>1284</v>
      </c>
      <c r="AH101" s="1">
        <f t="shared" si="233"/>
        <v>1</v>
      </c>
      <c r="AI101" s="1">
        <f t="shared" si="171"/>
        <v>0</v>
      </c>
      <c r="AJ101" s="1">
        <f t="shared" si="228"/>
        <v>0</v>
      </c>
      <c r="AK101" s="1">
        <f t="shared" si="254"/>
        <v>0</v>
      </c>
      <c r="AL101" s="2">
        <f t="shared" si="243"/>
        <v>100</v>
      </c>
      <c r="AM101" s="8">
        <f t="shared" si="234"/>
        <v>4.3999999999999997E-2</v>
      </c>
      <c r="AN101" s="2">
        <f t="shared" si="244"/>
        <v>104.03333333333333</v>
      </c>
      <c r="AO101" s="2">
        <f t="shared" si="235"/>
        <v>1</v>
      </c>
      <c r="AP101" s="2">
        <f t="shared" si="119"/>
        <v>0</v>
      </c>
      <c r="AQ101" s="8">
        <f t="shared" si="172"/>
        <v>3.9100000000000003E-2</v>
      </c>
      <c r="AR101" s="2">
        <f t="shared" si="113"/>
        <v>0</v>
      </c>
      <c r="AS101" s="2">
        <f t="shared" si="173"/>
        <v>0</v>
      </c>
      <c r="AT101" s="2">
        <f t="shared" si="209"/>
        <v>0</v>
      </c>
      <c r="AU101" s="2">
        <f t="shared" si="245"/>
        <v>0</v>
      </c>
      <c r="AV101" s="2">
        <f t="shared" si="236"/>
        <v>15.147738079976989</v>
      </c>
      <c r="AW101" s="1">
        <f t="shared" si="231"/>
        <v>0</v>
      </c>
      <c r="AX101" s="2">
        <f t="shared" si="182"/>
        <v>15.147738079976989</v>
      </c>
      <c r="AY101" s="1">
        <f t="shared" si="237"/>
        <v>0</v>
      </c>
      <c r="AZ101" s="2">
        <f t="shared" si="210"/>
        <v>15.147738079976989</v>
      </c>
      <c r="BA101" s="2">
        <f t="shared" si="246"/>
        <v>133697.98107141329</v>
      </c>
      <c r="BB101" s="2">
        <f t="shared" si="183"/>
        <v>0</v>
      </c>
      <c r="BC101" s="2">
        <f t="shared" si="211"/>
        <v>824.65776971769594</v>
      </c>
      <c r="BD101" s="2">
        <f t="shared" si="184"/>
        <v>132873.32330169561</v>
      </c>
      <c r="BE101" s="2">
        <f t="shared" si="212"/>
        <v>1285</v>
      </c>
      <c r="BF101" s="2">
        <f t="shared" si="185"/>
        <v>6158.4664035685255</v>
      </c>
      <c r="BG101" s="2">
        <f t="shared" si="186"/>
        <v>125429.85689812708</v>
      </c>
      <c r="BI101" s="8">
        <f t="shared" si="238"/>
        <v>3.1E-2</v>
      </c>
      <c r="BJ101" s="5">
        <f t="shared" si="213"/>
        <v>1047</v>
      </c>
      <c r="BK101" s="2">
        <f t="shared" si="214"/>
        <v>104595.3</v>
      </c>
      <c r="BL101" s="2">
        <f t="shared" si="215"/>
        <v>104700</v>
      </c>
      <c r="BM101" s="2">
        <f t="shared" si="187"/>
        <v>104700</v>
      </c>
      <c r="BN101" s="8">
        <f t="shared" si="188"/>
        <v>4.5999999999999999E-2</v>
      </c>
      <c r="BO101" s="2">
        <f t="shared" si="189"/>
        <v>109114.85</v>
      </c>
      <c r="BP101" s="2" t="str">
        <f t="shared" si="190"/>
        <v>nie</v>
      </c>
      <c r="BQ101" s="2">
        <f t="shared" si="191"/>
        <v>2094</v>
      </c>
      <c r="BR101" s="1">
        <f t="shared" si="239"/>
        <v>106</v>
      </c>
      <c r="BS101" s="1">
        <f t="shared" si="174"/>
        <v>103</v>
      </c>
      <c r="BT101" s="1">
        <f t="shared" si="229"/>
        <v>7</v>
      </c>
      <c r="BU101" s="1">
        <f t="shared" si="255"/>
        <v>51</v>
      </c>
      <c r="BV101" s="2">
        <f t="shared" si="247"/>
        <v>10600</v>
      </c>
      <c r="BW101" s="8">
        <f t="shared" si="240"/>
        <v>4.7500000000000001E-2</v>
      </c>
      <c r="BX101" s="2">
        <f t="shared" si="248"/>
        <v>11061.541666666666</v>
      </c>
      <c r="BY101" s="2">
        <f t="shared" si="241"/>
        <v>212</v>
      </c>
      <c r="BZ101" s="2">
        <f t="shared" si="120"/>
        <v>16100</v>
      </c>
      <c r="CA101" s="8">
        <f t="shared" si="175"/>
        <v>4.5999999999999999E-2</v>
      </c>
      <c r="CB101" s="2">
        <f t="shared" si="249"/>
        <v>16778.883333333335</v>
      </c>
      <c r="CC101" s="2">
        <f t="shared" si="176"/>
        <v>322</v>
      </c>
      <c r="CD101" s="2">
        <f t="shared" si="192"/>
        <v>0</v>
      </c>
      <c r="CE101" s="2">
        <f t="shared" si="250"/>
        <v>0</v>
      </c>
      <c r="CF101" s="2">
        <f t="shared" si="251"/>
        <v>82.050000000028376</v>
      </c>
      <c r="CG101" s="1">
        <f t="shared" si="232"/>
        <v>0</v>
      </c>
      <c r="CH101" s="2">
        <f t="shared" si="193"/>
        <v>82.050000000028376</v>
      </c>
      <c r="CI101" s="1">
        <f t="shared" si="242"/>
        <v>0</v>
      </c>
      <c r="CJ101" s="2">
        <f t="shared" si="252"/>
        <v>82.050000000028376</v>
      </c>
      <c r="CK101" s="2">
        <f t="shared" si="253"/>
        <v>137037.32500000004</v>
      </c>
      <c r="CL101" s="2">
        <f t="shared" si="194"/>
        <v>0</v>
      </c>
      <c r="CM101" s="2">
        <f t="shared" si="216"/>
        <v>836.25480500000015</v>
      </c>
      <c r="CN101" s="2">
        <f t="shared" si="195"/>
        <v>136201.07019500004</v>
      </c>
      <c r="CO101" s="2">
        <f t="shared" si="217"/>
        <v>2628</v>
      </c>
      <c r="CP101" s="2">
        <f t="shared" si="196"/>
        <v>6537.7717500000081</v>
      </c>
      <c r="CQ101" s="2">
        <f t="shared" si="197"/>
        <v>127035.29844500002</v>
      </c>
      <c r="CS101" s="5">
        <f t="shared" si="218"/>
        <v>1000</v>
      </c>
      <c r="CT101" s="2">
        <f t="shared" si="219"/>
        <v>100000</v>
      </c>
      <c r="CU101" s="2">
        <f t="shared" si="220"/>
        <v>100000</v>
      </c>
      <c r="CV101" s="2">
        <f t="shared" si="221"/>
        <v>135097.75124653691</v>
      </c>
      <c r="CW101" s="8">
        <f t="shared" si="198"/>
        <v>5.1000000000000004E-2</v>
      </c>
      <c r="CX101" s="2">
        <f t="shared" si="199"/>
        <v>141413.57111731253</v>
      </c>
      <c r="CY101" s="2" t="str">
        <f t="shared" si="200"/>
        <v>nie</v>
      </c>
      <c r="CZ101" s="2">
        <f t="shared" si="222"/>
        <v>0</v>
      </c>
      <c r="DA101" s="2">
        <f t="shared" si="223"/>
        <v>0</v>
      </c>
      <c r="DB101" s="2">
        <f t="shared" si="224"/>
        <v>141413.57111731253</v>
      </c>
      <c r="DC101" s="2">
        <f t="shared" si="201"/>
        <v>0</v>
      </c>
      <c r="DD101" s="2">
        <f t="shared" si="225"/>
        <v>852.15956881575721</v>
      </c>
      <c r="DE101" s="2">
        <f t="shared" si="226"/>
        <v>140561.41154849678</v>
      </c>
      <c r="DF101" s="2">
        <f t="shared" si="202"/>
        <v>3000</v>
      </c>
      <c r="DG101" s="2">
        <f t="shared" si="203"/>
        <v>7298.5785122893813</v>
      </c>
      <c r="DH101" s="2">
        <f t="shared" si="227"/>
        <v>130262.83303620739</v>
      </c>
    </row>
    <row r="102" spans="2:112">
      <c r="B102" s="232"/>
      <c r="C102" s="1">
        <f t="shared" ref="C102:C133" si="256">W83</f>
        <v>65</v>
      </c>
      <c r="D102" s="2">
        <f t="shared" si="105"/>
        <v>125151.68361556799</v>
      </c>
      <c r="E102" s="2">
        <f t="shared" si="106"/>
        <v>119327.72093084799</v>
      </c>
      <c r="F102" s="2">
        <f t="shared" si="107"/>
        <v>127419.48872833335</v>
      </c>
      <c r="G102" s="2">
        <f t="shared" si="108"/>
        <v>120047.89239500002</v>
      </c>
      <c r="H102" s="2">
        <f t="shared" si="109"/>
        <v>130583.58138684359</v>
      </c>
      <c r="I102" s="2">
        <f t="shared" si="110"/>
        <v>122211.59289255252</v>
      </c>
      <c r="J102" s="2">
        <f t="shared" ref="J102:J133" si="257">FV(INDEX(scenariusz_I_konto,MATCH(ROUNDUP(C102/12,0),scenariusz_I_rok,0))/12*(1-podatek_Belki),1,0,-J101,1)</f>
        <v>117088.32763946889</v>
      </c>
      <c r="K102" s="2">
        <f t="shared" ref="K102:K133" si="258">X83</f>
        <v>117995.93434188419</v>
      </c>
      <c r="W102" s="1">
        <f t="shared" si="204"/>
        <v>84</v>
      </c>
      <c r="X102" s="2">
        <f t="shared" si="177"/>
        <v>123825.66156872088</v>
      </c>
      <c r="Y102" s="8">
        <f t="shared" si="230"/>
        <v>3.9100000000000003E-2</v>
      </c>
      <c r="Z102" s="5">
        <f t="shared" si="205"/>
        <v>1284</v>
      </c>
      <c r="AA102" s="2">
        <f t="shared" si="206"/>
        <v>128271.6</v>
      </c>
      <c r="AB102" s="2">
        <f t="shared" si="207"/>
        <v>128400</v>
      </c>
      <c r="AC102" s="2">
        <f t="shared" si="208"/>
        <v>128400</v>
      </c>
      <c r="AD102" s="8">
        <f t="shared" si="178"/>
        <v>4.3999999999999997E-2</v>
      </c>
      <c r="AE102" s="2">
        <f t="shared" si="179"/>
        <v>134049.60000000001</v>
      </c>
      <c r="AF102" s="2" t="str">
        <f t="shared" si="180"/>
        <v>nie</v>
      </c>
      <c r="AG102" s="2">
        <f t="shared" si="181"/>
        <v>1284</v>
      </c>
      <c r="AH102" s="1">
        <f t="shared" si="233"/>
        <v>1</v>
      </c>
      <c r="AI102" s="1">
        <f t="shared" si="171"/>
        <v>0</v>
      </c>
      <c r="AJ102" s="1">
        <f t="shared" si="228"/>
        <v>0</v>
      </c>
      <c r="AK102" s="1">
        <f t="shared" si="254"/>
        <v>0</v>
      </c>
      <c r="AL102" s="2">
        <f t="shared" si="243"/>
        <v>100</v>
      </c>
      <c r="AM102" s="8">
        <f t="shared" si="234"/>
        <v>4.3999999999999997E-2</v>
      </c>
      <c r="AN102" s="2">
        <f t="shared" si="244"/>
        <v>104.4</v>
      </c>
      <c r="AO102" s="2">
        <f t="shared" si="235"/>
        <v>1</v>
      </c>
      <c r="AP102" s="2">
        <f t="shared" si="119"/>
        <v>0</v>
      </c>
      <c r="AQ102" s="8">
        <f t="shared" si="172"/>
        <v>3.9100000000000003E-2</v>
      </c>
      <c r="AR102" s="2">
        <f t="shared" si="113"/>
        <v>0</v>
      </c>
      <c r="AS102" s="2">
        <f t="shared" si="173"/>
        <v>0</v>
      </c>
      <c r="AT102" s="2">
        <f t="shared" si="209"/>
        <v>0</v>
      </c>
      <c r="AU102" s="2">
        <f t="shared" si="245"/>
        <v>4.4000000000000057</v>
      </c>
      <c r="AV102" s="2">
        <f t="shared" si="236"/>
        <v>19.547738079976995</v>
      </c>
      <c r="AW102" s="1">
        <f t="shared" si="231"/>
        <v>0</v>
      </c>
      <c r="AX102" s="2">
        <f t="shared" si="182"/>
        <v>19.547738079976995</v>
      </c>
      <c r="AY102" s="1">
        <f t="shared" si="237"/>
        <v>0</v>
      </c>
      <c r="AZ102" s="2">
        <f t="shared" si="210"/>
        <v>19.547738079976995</v>
      </c>
      <c r="BA102" s="2">
        <f t="shared" si="246"/>
        <v>134169.14773807998</v>
      </c>
      <c r="BB102" s="2">
        <f t="shared" si="183"/>
        <v>147.58606251188797</v>
      </c>
      <c r="BC102" s="2">
        <f t="shared" si="211"/>
        <v>972.24383222958386</v>
      </c>
      <c r="BD102" s="2">
        <f t="shared" si="184"/>
        <v>133196.9039058504</v>
      </c>
      <c r="BE102" s="2">
        <f t="shared" si="212"/>
        <v>1285</v>
      </c>
      <c r="BF102" s="2">
        <f t="shared" si="185"/>
        <v>6247.9880702351957</v>
      </c>
      <c r="BG102" s="2">
        <f t="shared" si="186"/>
        <v>125663.9158356152</v>
      </c>
      <c r="BI102" s="8">
        <f t="shared" si="238"/>
        <v>3.1E-2</v>
      </c>
      <c r="BJ102" s="5">
        <f t="shared" si="213"/>
        <v>1047</v>
      </c>
      <c r="BK102" s="2">
        <f t="shared" si="214"/>
        <v>104595.3</v>
      </c>
      <c r="BL102" s="2">
        <f t="shared" si="215"/>
        <v>104700</v>
      </c>
      <c r="BM102" s="2">
        <f t="shared" si="187"/>
        <v>104700</v>
      </c>
      <c r="BN102" s="8">
        <f t="shared" si="188"/>
        <v>4.5999999999999999E-2</v>
      </c>
      <c r="BO102" s="2">
        <f t="shared" si="189"/>
        <v>109516.2</v>
      </c>
      <c r="BP102" s="2" t="str">
        <f t="shared" si="190"/>
        <v>nie</v>
      </c>
      <c r="BQ102" s="2">
        <f t="shared" si="191"/>
        <v>2094</v>
      </c>
      <c r="BR102" s="1">
        <f t="shared" si="239"/>
        <v>106</v>
      </c>
      <c r="BS102" s="1">
        <f t="shared" si="174"/>
        <v>103</v>
      </c>
      <c r="BT102" s="1">
        <f t="shared" si="229"/>
        <v>7</v>
      </c>
      <c r="BU102" s="1">
        <f t="shared" si="255"/>
        <v>51</v>
      </c>
      <c r="BV102" s="2">
        <f t="shared" si="247"/>
        <v>10600</v>
      </c>
      <c r="BW102" s="8">
        <f t="shared" si="240"/>
        <v>4.7500000000000001E-2</v>
      </c>
      <c r="BX102" s="2">
        <f t="shared" si="248"/>
        <v>11103.500000000002</v>
      </c>
      <c r="BY102" s="2">
        <f t="shared" si="241"/>
        <v>212</v>
      </c>
      <c r="BZ102" s="2">
        <f t="shared" si="120"/>
        <v>16100</v>
      </c>
      <c r="CA102" s="8">
        <f t="shared" si="175"/>
        <v>4.5999999999999999E-2</v>
      </c>
      <c r="CB102" s="2">
        <f t="shared" si="249"/>
        <v>16840.600000000002</v>
      </c>
      <c r="CC102" s="2">
        <f t="shared" si="176"/>
        <v>322</v>
      </c>
      <c r="CD102" s="2">
        <f t="shared" si="192"/>
        <v>4816.1999999999971</v>
      </c>
      <c r="CE102" s="2">
        <f t="shared" si="250"/>
        <v>6344.1000000000058</v>
      </c>
      <c r="CF102" s="2">
        <f t="shared" si="251"/>
        <v>11242.350000000031</v>
      </c>
      <c r="CG102" s="1">
        <f t="shared" si="232"/>
        <v>51</v>
      </c>
      <c r="CH102" s="2">
        <f t="shared" si="193"/>
        <v>6147.4500000000307</v>
      </c>
      <c r="CI102" s="1">
        <f t="shared" si="242"/>
        <v>61</v>
      </c>
      <c r="CJ102" s="2">
        <f t="shared" si="252"/>
        <v>47.450000000030741</v>
      </c>
      <c r="CK102" s="2">
        <f t="shared" si="253"/>
        <v>137542.35</v>
      </c>
      <c r="CL102" s="2">
        <f t="shared" si="194"/>
        <v>151.29658500000002</v>
      </c>
      <c r="CM102" s="2">
        <f t="shared" si="216"/>
        <v>987.5513900000002</v>
      </c>
      <c r="CN102" s="2">
        <f t="shared" si="195"/>
        <v>136554.79861</v>
      </c>
      <c r="CO102" s="2">
        <f t="shared" si="217"/>
        <v>2628</v>
      </c>
      <c r="CP102" s="2">
        <f t="shared" si="196"/>
        <v>6633.7265000000016</v>
      </c>
      <c r="CQ102" s="2">
        <f t="shared" si="197"/>
        <v>127293.07210999999</v>
      </c>
      <c r="CS102" s="5">
        <f t="shared" si="218"/>
        <v>1000</v>
      </c>
      <c r="CT102" s="2">
        <f t="shared" si="219"/>
        <v>100000</v>
      </c>
      <c r="CU102" s="2">
        <f t="shared" si="220"/>
        <v>100000</v>
      </c>
      <c r="CV102" s="2">
        <f t="shared" si="221"/>
        <v>135097.75124653691</v>
      </c>
      <c r="CW102" s="8">
        <f t="shared" si="198"/>
        <v>5.1000000000000004E-2</v>
      </c>
      <c r="CX102" s="2">
        <f t="shared" si="199"/>
        <v>141987.73656011029</v>
      </c>
      <c r="CY102" s="2" t="str">
        <f t="shared" si="200"/>
        <v>nie</v>
      </c>
      <c r="CZ102" s="2">
        <f t="shared" si="222"/>
        <v>0</v>
      </c>
      <c r="DA102" s="2">
        <f t="shared" si="223"/>
        <v>0</v>
      </c>
      <c r="DB102" s="2">
        <f t="shared" si="224"/>
        <v>141987.73656011029</v>
      </c>
      <c r="DC102" s="2">
        <f t="shared" si="201"/>
        <v>156.18651021612132</v>
      </c>
      <c r="DD102" s="2">
        <f t="shared" si="225"/>
        <v>1008.3460790318785</v>
      </c>
      <c r="DE102" s="2">
        <f t="shared" si="226"/>
        <v>140979.39048107842</v>
      </c>
      <c r="DF102" s="2">
        <f t="shared" si="202"/>
        <v>3000</v>
      </c>
      <c r="DG102" s="2">
        <f t="shared" si="203"/>
        <v>7407.669946420956</v>
      </c>
      <c r="DH102" s="2">
        <f t="shared" si="227"/>
        <v>130571.72053465746</v>
      </c>
    </row>
    <row r="103" spans="2:112">
      <c r="B103" s="232"/>
      <c r="C103" s="1">
        <f t="shared" si="256"/>
        <v>66</v>
      </c>
      <c r="D103" s="2">
        <f t="shared" ref="D103:D166" si="259">BD84</f>
        <v>125604.47936116799</v>
      </c>
      <c r="E103" s="2">
        <f t="shared" ref="E103:E166" si="260">BG84</f>
        <v>119694.48548478399</v>
      </c>
      <c r="F103" s="2">
        <f t="shared" ref="F103:F166" si="261">CN84</f>
        <v>127902.24289500002</v>
      </c>
      <c r="G103" s="2">
        <f t="shared" ref="G103:G166" si="262">CQ84</f>
        <v>120437.18514500001</v>
      </c>
      <c r="H103" s="2">
        <f t="shared" ref="H103:H166" si="263">DE84</f>
        <v>131129.88532861121</v>
      </c>
      <c r="I103" s="2">
        <f t="shared" ref="I103:I166" si="264">DH84</f>
        <v>122654.0990853843</v>
      </c>
      <c r="J103" s="2">
        <f t="shared" si="257"/>
        <v>117372.85227563279</v>
      </c>
      <c r="K103" s="2">
        <f t="shared" si="258"/>
        <v>118296.870085578</v>
      </c>
      <c r="W103" s="1">
        <f t="shared" si="204"/>
        <v>85</v>
      </c>
      <c r="X103" s="2">
        <f t="shared" si="177"/>
        <v>124145.54452777343</v>
      </c>
      <c r="Y103" s="8">
        <f t="shared" si="230"/>
        <v>3.9100000000000003E-2</v>
      </c>
      <c r="Z103" s="5">
        <f t="shared" si="205"/>
        <v>1284</v>
      </c>
      <c r="AA103" s="2">
        <f t="shared" si="206"/>
        <v>128271.6</v>
      </c>
      <c r="AB103" s="2">
        <f t="shared" si="207"/>
        <v>128400</v>
      </c>
      <c r="AC103" s="2">
        <f t="shared" si="208"/>
        <v>134049.60000000001</v>
      </c>
      <c r="AD103" s="8">
        <f t="shared" si="178"/>
        <v>4.3999999999999997E-2</v>
      </c>
      <c r="AE103" s="2">
        <f t="shared" si="179"/>
        <v>134541.1152</v>
      </c>
      <c r="AF103" s="2" t="str">
        <f t="shared" si="180"/>
        <v>nie</v>
      </c>
      <c r="AG103" s="2">
        <f t="shared" si="181"/>
        <v>1284</v>
      </c>
      <c r="AH103" s="1">
        <f t="shared" si="233"/>
        <v>1</v>
      </c>
      <c r="AI103" s="1">
        <f t="shared" si="171"/>
        <v>1</v>
      </c>
      <c r="AJ103" s="1">
        <f t="shared" si="228"/>
        <v>0</v>
      </c>
      <c r="AK103" s="1">
        <f t="shared" si="254"/>
        <v>0</v>
      </c>
      <c r="AL103" s="2">
        <f t="shared" si="243"/>
        <v>100</v>
      </c>
      <c r="AM103" s="8">
        <f t="shared" si="234"/>
        <v>4.3999999999999997E-2</v>
      </c>
      <c r="AN103" s="2">
        <f t="shared" si="244"/>
        <v>100.36666666666667</v>
      </c>
      <c r="AO103" s="2">
        <f t="shared" si="235"/>
        <v>0.36666666666667425</v>
      </c>
      <c r="AP103" s="2">
        <f t="shared" si="119"/>
        <v>100</v>
      </c>
      <c r="AQ103" s="8">
        <f t="shared" si="172"/>
        <v>3.9100000000000003E-2</v>
      </c>
      <c r="AR103" s="2">
        <f t="shared" si="113"/>
        <v>100.32583333333334</v>
      </c>
      <c r="AS103" s="2">
        <f t="shared" si="173"/>
        <v>1</v>
      </c>
      <c r="AT103" s="2">
        <f t="shared" si="209"/>
        <v>0</v>
      </c>
      <c r="AU103" s="2">
        <f t="shared" si="245"/>
        <v>0</v>
      </c>
      <c r="AV103" s="2">
        <f t="shared" si="236"/>
        <v>19.547738079976995</v>
      </c>
      <c r="AW103" s="1">
        <f t="shared" si="231"/>
        <v>0</v>
      </c>
      <c r="AX103" s="2">
        <f t="shared" si="182"/>
        <v>19.547738079976995</v>
      </c>
      <c r="AY103" s="1">
        <f t="shared" si="237"/>
        <v>0</v>
      </c>
      <c r="AZ103" s="2">
        <f t="shared" si="210"/>
        <v>19.547738079976995</v>
      </c>
      <c r="BA103" s="2">
        <f t="shared" si="246"/>
        <v>134761.35543807998</v>
      </c>
      <c r="BB103" s="2">
        <f t="shared" si="183"/>
        <v>0</v>
      </c>
      <c r="BC103" s="2">
        <f t="shared" si="211"/>
        <v>972.24383222958386</v>
      </c>
      <c r="BD103" s="2">
        <f t="shared" si="184"/>
        <v>133789.1116058504</v>
      </c>
      <c r="BE103" s="2">
        <f t="shared" si="212"/>
        <v>1285.3666666666668</v>
      </c>
      <c r="BF103" s="2">
        <f t="shared" si="185"/>
        <v>6360.4378665685281</v>
      </c>
      <c r="BG103" s="2">
        <f t="shared" si="186"/>
        <v>126143.30707261521</v>
      </c>
      <c r="BI103" s="8">
        <f t="shared" si="238"/>
        <v>3.1E-2</v>
      </c>
      <c r="BJ103" s="5">
        <f t="shared" si="213"/>
        <v>1047</v>
      </c>
      <c r="BK103" s="2">
        <f t="shared" si="214"/>
        <v>104595.3</v>
      </c>
      <c r="BL103" s="2">
        <f t="shared" si="215"/>
        <v>104700</v>
      </c>
      <c r="BM103" s="2">
        <f t="shared" si="187"/>
        <v>104700</v>
      </c>
      <c r="BN103" s="8">
        <f t="shared" si="188"/>
        <v>4.5999999999999999E-2</v>
      </c>
      <c r="BO103" s="2">
        <f t="shared" si="189"/>
        <v>105101.35</v>
      </c>
      <c r="BP103" s="2" t="str">
        <f t="shared" si="190"/>
        <v>nie</v>
      </c>
      <c r="BQ103" s="2">
        <f t="shared" si="191"/>
        <v>2094</v>
      </c>
      <c r="BR103" s="1">
        <f t="shared" si="239"/>
        <v>112</v>
      </c>
      <c r="BS103" s="1">
        <f t="shared" si="174"/>
        <v>106</v>
      </c>
      <c r="BT103" s="1">
        <f t="shared" si="229"/>
        <v>103</v>
      </c>
      <c r="BU103" s="1">
        <f t="shared" si="255"/>
        <v>7</v>
      </c>
      <c r="BV103" s="2">
        <f t="shared" si="247"/>
        <v>11200</v>
      </c>
      <c r="BW103" s="8">
        <f t="shared" si="240"/>
        <v>4.7500000000000001E-2</v>
      </c>
      <c r="BX103" s="2">
        <f t="shared" si="248"/>
        <v>11244.333333333332</v>
      </c>
      <c r="BY103" s="2">
        <f t="shared" si="241"/>
        <v>44.333333333332121</v>
      </c>
      <c r="BZ103" s="2">
        <f t="shared" si="120"/>
        <v>21600</v>
      </c>
      <c r="CA103" s="8">
        <f t="shared" si="175"/>
        <v>4.5999999999999999E-2</v>
      </c>
      <c r="CB103" s="2">
        <f t="shared" si="249"/>
        <v>21682.799999999999</v>
      </c>
      <c r="CC103" s="2">
        <f t="shared" si="176"/>
        <v>432</v>
      </c>
      <c r="CD103" s="2">
        <f t="shared" si="192"/>
        <v>0</v>
      </c>
      <c r="CE103" s="2">
        <f t="shared" si="250"/>
        <v>0</v>
      </c>
      <c r="CF103" s="2">
        <f t="shared" si="251"/>
        <v>47.450000000030741</v>
      </c>
      <c r="CG103" s="1">
        <f t="shared" si="232"/>
        <v>0</v>
      </c>
      <c r="CH103" s="2">
        <f t="shared" si="193"/>
        <v>47.450000000030741</v>
      </c>
      <c r="CI103" s="1">
        <f t="shared" si="242"/>
        <v>0</v>
      </c>
      <c r="CJ103" s="2">
        <f t="shared" si="252"/>
        <v>47.450000000030741</v>
      </c>
      <c r="CK103" s="2">
        <f t="shared" si="253"/>
        <v>138075.93333333338</v>
      </c>
      <c r="CL103" s="2">
        <f t="shared" si="194"/>
        <v>0</v>
      </c>
      <c r="CM103" s="2">
        <f t="shared" si="216"/>
        <v>987.5513900000002</v>
      </c>
      <c r="CN103" s="2">
        <f t="shared" si="195"/>
        <v>137088.38194333337</v>
      </c>
      <c r="CO103" s="2">
        <f t="shared" si="217"/>
        <v>2570.3333333333321</v>
      </c>
      <c r="CP103" s="2">
        <f t="shared" si="196"/>
        <v>6746.0640000000067</v>
      </c>
      <c r="CQ103" s="2">
        <f t="shared" si="197"/>
        <v>127771.98461000001</v>
      </c>
      <c r="CS103" s="5">
        <f t="shared" si="218"/>
        <v>1000</v>
      </c>
      <c r="CT103" s="2">
        <f t="shared" si="219"/>
        <v>100000</v>
      </c>
      <c r="CU103" s="2">
        <f t="shared" si="220"/>
        <v>100000</v>
      </c>
      <c r="CV103" s="2">
        <f t="shared" si="221"/>
        <v>141987.73656011029</v>
      </c>
      <c r="CW103" s="8">
        <f t="shared" si="198"/>
        <v>5.1000000000000004E-2</v>
      </c>
      <c r="CX103" s="2">
        <f t="shared" si="199"/>
        <v>142591.18444049076</v>
      </c>
      <c r="CY103" s="2" t="str">
        <f t="shared" si="200"/>
        <v>nie</v>
      </c>
      <c r="CZ103" s="2">
        <f t="shared" si="222"/>
        <v>0</v>
      </c>
      <c r="DA103" s="2">
        <f t="shared" si="223"/>
        <v>0</v>
      </c>
      <c r="DB103" s="2">
        <f t="shared" si="224"/>
        <v>142591.18444049076</v>
      </c>
      <c r="DC103" s="2">
        <f t="shared" si="201"/>
        <v>0</v>
      </c>
      <c r="DD103" s="2">
        <f t="shared" si="225"/>
        <v>1008.3460790318785</v>
      </c>
      <c r="DE103" s="2">
        <f t="shared" si="226"/>
        <v>141582.83836145888</v>
      </c>
      <c r="DF103" s="2">
        <f t="shared" si="202"/>
        <v>3000</v>
      </c>
      <c r="DG103" s="2">
        <f t="shared" si="203"/>
        <v>7522.3250436932449</v>
      </c>
      <c r="DH103" s="2">
        <f t="shared" si="227"/>
        <v>131060.51331776564</v>
      </c>
    </row>
    <row r="104" spans="2:112">
      <c r="B104" s="232"/>
      <c r="C104" s="1">
        <f t="shared" si="256"/>
        <v>67</v>
      </c>
      <c r="D104" s="2">
        <f t="shared" si="259"/>
        <v>126057.27510676799</v>
      </c>
      <c r="E104" s="2">
        <f t="shared" si="260"/>
        <v>120061.25003872</v>
      </c>
      <c r="F104" s="2">
        <f t="shared" si="261"/>
        <v>128384.99706166668</v>
      </c>
      <c r="G104" s="2">
        <f t="shared" si="262"/>
        <v>120828.21602000001</v>
      </c>
      <c r="H104" s="2">
        <f t="shared" si="263"/>
        <v>131676.18927037885</v>
      </c>
      <c r="I104" s="2">
        <f t="shared" si="264"/>
        <v>123096.60527821608</v>
      </c>
      <c r="J104" s="2">
        <f t="shared" si="257"/>
        <v>117658.06830666256</v>
      </c>
      <c r="K104" s="2">
        <f t="shared" si="258"/>
        <v>118597.80582927182</v>
      </c>
      <c r="W104" s="1">
        <f t="shared" si="204"/>
        <v>86</v>
      </c>
      <c r="X104" s="2">
        <f t="shared" si="177"/>
        <v>124465.42748682595</v>
      </c>
      <c r="Y104" s="8">
        <f t="shared" si="230"/>
        <v>3.9100000000000003E-2</v>
      </c>
      <c r="Z104" s="5">
        <f t="shared" si="205"/>
        <v>1284</v>
      </c>
      <c r="AA104" s="2">
        <f t="shared" si="206"/>
        <v>128271.6</v>
      </c>
      <c r="AB104" s="2">
        <f t="shared" si="207"/>
        <v>128400</v>
      </c>
      <c r="AC104" s="2">
        <f t="shared" si="208"/>
        <v>134049.60000000001</v>
      </c>
      <c r="AD104" s="8">
        <f t="shared" si="178"/>
        <v>4.3999999999999997E-2</v>
      </c>
      <c r="AE104" s="2">
        <f t="shared" si="179"/>
        <v>135032.63040000002</v>
      </c>
      <c r="AF104" s="2" t="str">
        <f t="shared" si="180"/>
        <v>nie</v>
      </c>
      <c r="AG104" s="2">
        <f t="shared" si="181"/>
        <v>1284</v>
      </c>
      <c r="AH104" s="1">
        <f t="shared" si="233"/>
        <v>1</v>
      </c>
      <c r="AI104" s="1">
        <f t="shared" si="171"/>
        <v>1</v>
      </c>
      <c r="AJ104" s="1">
        <f t="shared" si="228"/>
        <v>0</v>
      </c>
      <c r="AK104" s="1">
        <f t="shared" si="254"/>
        <v>0</v>
      </c>
      <c r="AL104" s="2">
        <f t="shared" si="243"/>
        <v>100</v>
      </c>
      <c r="AM104" s="8">
        <f t="shared" si="234"/>
        <v>4.3999999999999997E-2</v>
      </c>
      <c r="AN104" s="2">
        <f t="shared" si="244"/>
        <v>100.73333333333335</v>
      </c>
      <c r="AO104" s="2">
        <f t="shared" si="235"/>
        <v>0.73333333333334849</v>
      </c>
      <c r="AP104" s="2">
        <f t="shared" si="119"/>
        <v>100</v>
      </c>
      <c r="AQ104" s="8">
        <f t="shared" si="172"/>
        <v>3.9100000000000003E-2</v>
      </c>
      <c r="AR104" s="2">
        <f t="shared" si="113"/>
        <v>100.65166666666667</v>
      </c>
      <c r="AS104" s="2">
        <f t="shared" si="173"/>
        <v>1</v>
      </c>
      <c r="AT104" s="2">
        <f t="shared" si="209"/>
        <v>0</v>
      </c>
      <c r="AU104" s="2">
        <f t="shared" si="245"/>
        <v>0</v>
      </c>
      <c r="AV104" s="2">
        <f t="shared" si="236"/>
        <v>19.547738079976995</v>
      </c>
      <c r="AW104" s="1">
        <f t="shared" si="231"/>
        <v>0</v>
      </c>
      <c r="AX104" s="2">
        <f t="shared" si="182"/>
        <v>19.547738079976995</v>
      </c>
      <c r="AY104" s="1">
        <f t="shared" si="237"/>
        <v>0</v>
      </c>
      <c r="AZ104" s="2">
        <f t="shared" si="210"/>
        <v>19.547738079976995</v>
      </c>
      <c r="BA104" s="2">
        <f t="shared" si="246"/>
        <v>135253.56313808</v>
      </c>
      <c r="BB104" s="2">
        <f t="shared" si="183"/>
        <v>0</v>
      </c>
      <c r="BC104" s="2">
        <f t="shared" si="211"/>
        <v>972.24383222958386</v>
      </c>
      <c r="BD104" s="2">
        <f t="shared" si="184"/>
        <v>134281.31930585043</v>
      </c>
      <c r="BE104" s="2">
        <f t="shared" si="212"/>
        <v>1285.7333333333333</v>
      </c>
      <c r="BF104" s="2">
        <f t="shared" si="185"/>
        <v>6453.8876629018669</v>
      </c>
      <c r="BG104" s="2">
        <f t="shared" si="186"/>
        <v>126541.69830961523</v>
      </c>
      <c r="BI104" s="8">
        <f t="shared" si="238"/>
        <v>3.1E-2</v>
      </c>
      <c r="BJ104" s="5">
        <f t="shared" si="213"/>
        <v>1047</v>
      </c>
      <c r="BK104" s="2">
        <f t="shared" si="214"/>
        <v>104595.3</v>
      </c>
      <c r="BL104" s="2">
        <f t="shared" si="215"/>
        <v>104700</v>
      </c>
      <c r="BM104" s="2">
        <f t="shared" si="187"/>
        <v>104700</v>
      </c>
      <c r="BN104" s="8">
        <f t="shared" si="188"/>
        <v>4.5999999999999999E-2</v>
      </c>
      <c r="BO104" s="2">
        <f t="shared" si="189"/>
        <v>105502.70000000001</v>
      </c>
      <c r="BP104" s="2" t="str">
        <f t="shared" si="190"/>
        <v>nie</v>
      </c>
      <c r="BQ104" s="2">
        <f t="shared" si="191"/>
        <v>2094</v>
      </c>
      <c r="BR104" s="1">
        <f t="shared" si="239"/>
        <v>112</v>
      </c>
      <c r="BS104" s="1">
        <f t="shared" si="174"/>
        <v>106</v>
      </c>
      <c r="BT104" s="1">
        <f t="shared" si="229"/>
        <v>103</v>
      </c>
      <c r="BU104" s="1">
        <f t="shared" si="255"/>
        <v>7</v>
      </c>
      <c r="BV104" s="2">
        <f t="shared" si="247"/>
        <v>11200</v>
      </c>
      <c r="BW104" s="8">
        <f t="shared" si="240"/>
        <v>4.7500000000000001E-2</v>
      </c>
      <c r="BX104" s="2">
        <f t="shared" si="248"/>
        <v>11288.666666666666</v>
      </c>
      <c r="BY104" s="2">
        <f t="shared" si="241"/>
        <v>88.66666666666606</v>
      </c>
      <c r="BZ104" s="2">
        <f t="shared" si="120"/>
        <v>21600</v>
      </c>
      <c r="CA104" s="8">
        <f t="shared" si="175"/>
        <v>4.5999999999999999E-2</v>
      </c>
      <c r="CB104" s="2">
        <f t="shared" si="249"/>
        <v>21765.600000000002</v>
      </c>
      <c r="CC104" s="2">
        <f t="shared" si="176"/>
        <v>432</v>
      </c>
      <c r="CD104" s="2">
        <f t="shared" si="192"/>
        <v>0</v>
      </c>
      <c r="CE104" s="2">
        <f t="shared" si="250"/>
        <v>0</v>
      </c>
      <c r="CF104" s="2">
        <f t="shared" si="251"/>
        <v>47.450000000030741</v>
      </c>
      <c r="CG104" s="1">
        <f t="shared" si="232"/>
        <v>0</v>
      </c>
      <c r="CH104" s="2">
        <f t="shared" si="193"/>
        <v>47.450000000030741</v>
      </c>
      <c r="CI104" s="1">
        <f t="shared" si="242"/>
        <v>0</v>
      </c>
      <c r="CJ104" s="2">
        <f t="shared" si="252"/>
        <v>47.450000000030741</v>
      </c>
      <c r="CK104" s="2">
        <f t="shared" si="253"/>
        <v>138604.41666666672</v>
      </c>
      <c r="CL104" s="2">
        <f t="shared" si="194"/>
        <v>0</v>
      </c>
      <c r="CM104" s="2">
        <f t="shared" si="216"/>
        <v>987.5513900000002</v>
      </c>
      <c r="CN104" s="2">
        <f t="shared" si="195"/>
        <v>137616.86527666671</v>
      </c>
      <c r="CO104" s="2">
        <f t="shared" si="217"/>
        <v>2614.6666666666661</v>
      </c>
      <c r="CP104" s="2">
        <f t="shared" si="196"/>
        <v>6838.0525000000107</v>
      </c>
      <c r="CQ104" s="2">
        <f t="shared" si="197"/>
        <v>128164.14611000005</v>
      </c>
      <c r="CS104" s="5">
        <f t="shared" si="218"/>
        <v>1000</v>
      </c>
      <c r="CT104" s="2">
        <f t="shared" si="219"/>
        <v>100000</v>
      </c>
      <c r="CU104" s="2">
        <f t="shared" si="220"/>
        <v>100000</v>
      </c>
      <c r="CV104" s="2">
        <f t="shared" si="221"/>
        <v>141987.73656011029</v>
      </c>
      <c r="CW104" s="8">
        <f t="shared" si="198"/>
        <v>5.1000000000000004E-2</v>
      </c>
      <c r="CX104" s="2">
        <f t="shared" si="199"/>
        <v>143194.63232087123</v>
      </c>
      <c r="CY104" s="2" t="str">
        <f t="shared" si="200"/>
        <v>nie</v>
      </c>
      <c r="CZ104" s="2">
        <f t="shared" si="222"/>
        <v>0</v>
      </c>
      <c r="DA104" s="2">
        <f t="shared" si="223"/>
        <v>0</v>
      </c>
      <c r="DB104" s="2">
        <f t="shared" si="224"/>
        <v>143194.63232087123</v>
      </c>
      <c r="DC104" s="2">
        <f t="shared" si="201"/>
        <v>0</v>
      </c>
      <c r="DD104" s="2">
        <f t="shared" si="225"/>
        <v>1008.3460790318785</v>
      </c>
      <c r="DE104" s="2">
        <f t="shared" si="226"/>
        <v>142186.28624183935</v>
      </c>
      <c r="DF104" s="2">
        <f t="shared" si="202"/>
        <v>3000</v>
      </c>
      <c r="DG104" s="2">
        <f t="shared" si="203"/>
        <v>7636.9801409655329</v>
      </c>
      <c r="DH104" s="2">
        <f t="shared" si="227"/>
        <v>131549.30610087383</v>
      </c>
    </row>
    <row r="105" spans="2:112">
      <c r="B105" s="232"/>
      <c r="C105" s="1">
        <f t="shared" si="256"/>
        <v>68</v>
      </c>
      <c r="D105" s="2">
        <f t="shared" si="259"/>
        <v>126510.07085236801</v>
      </c>
      <c r="E105" s="2">
        <f t="shared" si="260"/>
        <v>120428.01459265601</v>
      </c>
      <c r="F105" s="2">
        <f t="shared" si="261"/>
        <v>128867.75122833335</v>
      </c>
      <c r="G105" s="2">
        <f t="shared" si="262"/>
        <v>121219.24689500002</v>
      </c>
      <c r="H105" s="2">
        <f t="shared" si="263"/>
        <v>132222.49321214648</v>
      </c>
      <c r="I105" s="2">
        <f t="shared" si="264"/>
        <v>123539.11147104786</v>
      </c>
      <c r="J105" s="2">
        <f t="shared" si="257"/>
        <v>117943.97741264774</v>
      </c>
      <c r="K105" s="2">
        <f t="shared" si="258"/>
        <v>118898.74157296563</v>
      </c>
      <c r="W105" s="1">
        <f t="shared" si="204"/>
        <v>87</v>
      </c>
      <c r="X105" s="2">
        <f t="shared" si="177"/>
        <v>124785.31044587847</v>
      </c>
      <c r="Y105" s="8">
        <f t="shared" si="230"/>
        <v>3.9100000000000003E-2</v>
      </c>
      <c r="Z105" s="5">
        <f t="shared" si="205"/>
        <v>1284</v>
      </c>
      <c r="AA105" s="2">
        <f t="shared" si="206"/>
        <v>128271.6</v>
      </c>
      <c r="AB105" s="2">
        <f t="shared" si="207"/>
        <v>128400</v>
      </c>
      <c r="AC105" s="2">
        <f t="shared" si="208"/>
        <v>134049.60000000001</v>
      </c>
      <c r="AD105" s="8">
        <f t="shared" si="178"/>
        <v>4.3999999999999997E-2</v>
      </c>
      <c r="AE105" s="2">
        <f t="shared" si="179"/>
        <v>135524.14559999999</v>
      </c>
      <c r="AF105" s="2" t="str">
        <f t="shared" si="180"/>
        <v>nie</v>
      </c>
      <c r="AG105" s="2">
        <f t="shared" si="181"/>
        <v>1284</v>
      </c>
      <c r="AH105" s="1">
        <f t="shared" si="233"/>
        <v>1</v>
      </c>
      <c r="AI105" s="1">
        <f t="shared" si="171"/>
        <v>1</v>
      </c>
      <c r="AJ105" s="1">
        <f t="shared" si="228"/>
        <v>0</v>
      </c>
      <c r="AK105" s="1">
        <f t="shared" si="254"/>
        <v>0</v>
      </c>
      <c r="AL105" s="2">
        <f t="shared" si="243"/>
        <v>100</v>
      </c>
      <c r="AM105" s="8">
        <f t="shared" si="234"/>
        <v>4.3999999999999997E-2</v>
      </c>
      <c r="AN105" s="2">
        <f t="shared" si="244"/>
        <v>101.1</v>
      </c>
      <c r="AO105" s="2">
        <f t="shared" si="235"/>
        <v>1</v>
      </c>
      <c r="AP105" s="2">
        <f t="shared" si="119"/>
        <v>100</v>
      </c>
      <c r="AQ105" s="8">
        <f t="shared" si="172"/>
        <v>3.9100000000000003E-2</v>
      </c>
      <c r="AR105" s="2">
        <f t="shared" si="113"/>
        <v>100.97750000000001</v>
      </c>
      <c r="AS105" s="2">
        <f t="shared" si="173"/>
        <v>1</v>
      </c>
      <c r="AT105" s="2">
        <f t="shared" si="209"/>
        <v>0</v>
      </c>
      <c r="AU105" s="2">
        <f t="shared" si="245"/>
        <v>0</v>
      </c>
      <c r="AV105" s="2">
        <f t="shared" si="236"/>
        <v>19.547738079976995</v>
      </c>
      <c r="AW105" s="1">
        <f t="shared" si="231"/>
        <v>0</v>
      </c>
      <c r="AX105" s="2">
        <f t="shared" si="182"/>
        <v>19.547738079976995</v>
      </c>
      <c r="AY105" s="1">
        <f t="shared" si="237"/>
        <v>0</v>
      </c>
      <c r="AZ105" s="2">
        <f t="shared" si="210"/>
        <v>19.547738079976995</v>
      </c>
      <c r="BA105" s="2">
        <f t="shared" si="246"/>
        <v>135745.77083807997</v>
      </c>
      <c r="BB105" s="2">
        <f t="shared" si="183"/>
        <v>0</v>
      </c>
      <c r="BC105" s="2">
        <f t="shared" si="211"/>
        <v>972.24383222958386</v>
      </c>
      <c r="BD105" s="2">
        <f t="shared" si="184"/>
        <v>134773.5270058504</v>
      </c>
      <c r="BE105" s="2">
        <f t="shared" si="212"/>
        <v>1286</v>
      </c>
      <c r="BF105" s="2">
        <f t="shared" si="185"/>
        <v>6547.356459235195</v>
      </c>
      <c r="BG105" s="2">
        <f t="shared" si="186"/>
        <v>126940.17054661521</v>
      </c>
      <c r="BI105" s="8">
        <f t="shared" si="238"/>
        <v>3.1E-2</v>
      </c>
      <c r="BJ105" s="5">
        <f t="shared" si="213"/>
        <v>1047</v>
      </c>
      <c r="BK105" s="2">
        <f t="shared" si="214"/>
        <v>104595.3</v>
      </c>
      <c r="BL105" s="2">
        <f t="shared" si="215"/>
        <v>104700</v>
      </c>
      <c r="BM105" s="2">
        <f t="shared" si="187"/>
        <v>104700</v>
      </c>
      <c r="BN105" s="8">
        <f t="shared" si="188"/>
        <v>4.5999999999999999E-2</v>
      </c>
      <c r="BO105" s="2">
        <f t="shared" si="189"/>
        <v>105904.05</v>
      </c>
      <c r="BP105" s="2" t="str">
        <f t="shared" si="190"/>
        <v>nie</v>
      </c>
      <c r="BQ105" s="2">
        <f t="shared" si="191"/>
        <v>2094</v>
      </c>
      <c r="BR105" s="1">
        <f t="shared" si="239"/>
        <v>112</v>
      </c>
      <c r="BS105" s="1">
        <f t="shared" si="174"/>
        <v>106</v>
      </c>
      <c r="BT105" s="1">
        <f t="shared" si="229"/>
        <v>103</v>
      </c>
      <c r="BU105" s="1">
        <f t="shared" si="255"/>
        <v>7</v>
      </c>
      <c r="BV105" s="2">
        <f t="shared" si="247"/>
        <v>11200</v>
      </c>
      <c r="BW105" s="8">
        <f t="shared" si="240"/>
        <v>4.7500000000000001E-2</v>
      </c>
      <c r="BX105" s="2">
        <f t="shared" si="248"/>
        <v>11333</v>
      </c>
      <c r="BY105" s="2">
        <f t="shared" si="241"/>
        <v>133</v>
      </c>
      <c r="BZ105" s="2">
        <f t="shared" si="120"/>
        <v>21600</v>
      </c>
      <c r="CA105" s="8">
        <f t="shared" si="175"/>
        <v>4.5999999999999999E-2</v>
      </c>
      <c r="CB105" s="2">
        <f t="shared" si="249"/>
        <v>21848.400000000001</v>
      </c>
      <c r="CC105" s="2">
        <f t="shared" si="176"/>
        <v>432</v>
      </c>
      <c r="CD105" s="2">
        <f t="shared" si="192"/>
        <v>0</v>
      </c>
      <c r="CE105" s="2">
        <f t="shared" si="250"/>
        <v>0</v>
      </c>
      <c r="CF105" s="2">
        <f t="shared" si="251"/>
        <v>47.450000000030741</v>
      </c>
      <c r="CG105" s="1">
        <f t="shared" si="232"/>
        <v>0</v>
      </c>
      <c r="CH105" s="2">
        <f t="shared" si="193"/>
        <v>47.450000000030741</v>
      </c>
      <c r="CI105" s="1">
        <f t="shared" si="242"/>
        <v>0</v>
      </c>
      <c r="CJ105" s="2">
        <f t="shared" si="252"/>
        <v>47.450000000030741</v>
      </c>
      <c r="CK105" s="2">
        <f t="shared" si="253"/>
        <v>139132.90000000005</v>
      </c>
      <c r="CL105" s="2">
        <f t="shared" si="194"/>
        <v>0</v>
      </c>
      <c r="CM105" s="2">
        <f t="shared" si="216"/>
        <v>987.5513900000002</v>
      </c>
      <c r="CN105" s="2">
        <f t="shared" si="195"/>
        <v>138145.34861000004</v>
      </c>
      <c r="CO105" s="2">
        <f t="shared" si="217"/>
        <v>2659</v>
      </c>
      <c r="CP105" s="2">
        <f t="shared" si="196"/>
        <v>6930.0410000000102</v>
      </c>
      <c r="CQ105" s="2">
        <f t="shared" si="197"/>
        <v>128556.30761000003</v>
      </c>
      <c r="CS105" s="5">
        <f t="shared" si="218"/>
        <v>1000</v>
      </c>
      <c r="CT105" s="2">
        <f t="shared" si="219"/>
        <v>100000</v>
      </c>
      <c r="CU105" s="2">
        <f t="shared" si="220"/>
        <v>100000</v>
      </c>
      <c r="CV105" s="2">
        <f t="shared" si="221"/>
        <v>141987.73656011029</v>
      </c>
      <c r="CW105" s="8">
        <f t="shared" si="198"/>
        <v>5.1000000000000004E-2</v>
      </c>
      <c r="CX105" s="2">
        <f t="shared" si="199"/>
        <v>143798.08020125169</v>
      </c>
      <c r="CY105" s="2" t="str">
        <f t="shared" si="200"/>
        <v>nie</v>
      </c>
      <c r="CZ105" s="2">
        <f t="shared" si="222"/>
        <v>0</v>
      </c>
      <c r="DA105" s="2">
        <f t="shared" si="223"/>
        <v>0</v>
      </c>
      <c r="DB105" s="2">
        <f t="shared" si="224"/>
        <v>143798.08020125169</v>
      </c>
      <c r="DC105" s="2">
        <f t="shared" si="201"/>
        <v>0</v>
      </c>
      <c r="DD105" s="2">
        <f t="shared" si="225"/>
        <v>1008.3460790318785</v>
      </c>
      <c r="DE105" s="2">
        <f t="shared" si="226"/>
        <v>142789.73412221982</v>
      </c>
      <c r="DF105" s="2">
        <f t="shared" si="202"/>
        <v>3000</v>
      </c>
      <c r="DG105" s="2">
        <f t="shared" si="203"/>
        <v>7751.6352382378218</v>
      </c>
      <c r="DH105" s="2">
        <f t="shared" si="227"/>
        <v>132038.09888398199</v>
      </c>
    </row>
    <row r="106" spans="2:112">
      <c r="B106" s="232"/>
      <c r="C106" s="1">
        <f t="shared" si="256"/>
        <v>69</v>
      </c>
      <c r="D106" s="2">
        <f t="shared" si="259"/>
        <v>126962.86659796798</v>
      </c>
      <c r="E106" s="2">
        <f t="shared" si="260"/>
        <v>120794.77914659199</v>
      </c>
      <c r="F106" s="2">
        <f t="shared" si="261"/>
        <v>129350.50539500001</v>
      </c>
      <c r="G106" s="2">
        <f t="shared" si="262"/>
        <v>121610.27777000002</v>
      </c>
      <c r="H106" s="2">
        <f t="shared" si="263"/>
        <v>132768.79715391409</v>
      </c>
      <c r="I106" s="2">
        <f t="shared" si="264"/>
        <v>123981.61766387962</v>
      </c>
      <c r="J106" s="2">
        <f t="shared" si="257"/>
        <v>118230.58127776047</v>
      </c>
      <c r="K106" s="2">
        <f t="shared" si="258"/>
        <v>119199.67731665946</v>
      </c>
      <c r="W106" s="1">
        <f t="shared" si="204"/>
        <v>88</v>
      </c>
      <c r="X106" s="2">
        <f t="shared" si="177"/>
        <v>125105.19340493099</v>
      </c>
      <c r="Y106" s="8">
        <f t="shared" si="230"/>
        <v>3.9100000000000003E-2</v>
      </c>
      <c r="Z106" s="5">
        <f t="shared" si="205"/>
        <v>1284</v>
      </c>
      <c r="AA106" s="2">
        <f t="shared" si="206"/>
        <v>128271.6</v>
      </c>
      <c r="AB106" s="2">
        <f t="shared" si="207"/>
        <v>128400</v>
      </c>
      <c r="AC106" s="2">
        <f t="shared" si="208"/>
        <v>134049.60000000001</v>
      </c>
      <c r="AD106" s="8">
        <f t="shared" si="178"/>
        <v>4.3999999999999997E-2</v>
      </c>
      <c r="AE106" s="2">
        <f t="shared" si="179"/>
        <v>136015.66079999998</v>
      </c>
      <c r="AF106" s="2" t="str">
        <f t="shared" si="180"/>
        <v>nie</v>
      </c>
      <c r="AG106" s="2">
        <f t="shared" si="181"/>
        <v>1284</v>
      </c>
      <c r="AH106" s="1">
        <f t="shared" si="233"/>
        <v>1</v>
      </c>
      <c r="AI106" s="1">
        <f t="shared" si="171"/>
        <v>1</v>
      </c>
      <c r="AJ106" s="1">
        <f t="shared" si="228"/>
        <v>0</v>
      </c>
      <c r="AK106" s="1">
        <f t="shared" si="254"/>
        <v>0</v>
      </c>
      <c r="AL106" s="2">
        <f t="shared" si="243"/>
        <v>100</v>
      </c>
      <c r="AM106" s="8">
        <f t="shared" si="234"/>
        <v>4.3999999999999997E-2</v>
      </c>
      <c r="AN106" s="2">
        <f t="shared" si="244"/>
        <v>101.46666666666665</v>
      </c>
      <c r="AO106" s="2">
        <f t="shared" si="235"/>
        <v>1</v>
      </c>
      <c r="AP106" s="2">
        <f t="shared" si="119"/>
        <v>100</v>
      </c>
      <c r="AQ106" s="8">
        <f t="shared" si="172"/>
        <v>3.9100000000000003E-2</v>
      </c>
      <c r="AR106" s="2">
        <f t="shared" si="113"/>
        <v>101.30333333333333</v>
      </c>
      <c r="AS106" s="2">
        <f t="shared" si="173"/>
        <v>1</v>
      </c>
      <c r="AT106" s="2">
        <f t="shared" si="209"/>
        <v>0</v>
      </c>
      <c r="AU106" s="2">
        <f t="shared" si="245"/>
        <v>0</v>
      </c>
      <c r="AV106" s="2">
        <f t="shared" si="236"/>
        <v>19.547738079976995</v>
      </c>
      <c r="AW106" s="1">
        <f t="shared" si="231"/>
        <v>0</v>
      </c>
      <c r="AX106" s="2">
        <f t="shared" si="182"/>
        <v>19.547738079976995</v>
      </c>
      <c r="AY106" s="1">
        <f t="shared" si="237"/>
        <v>0</v>
      </c>
      <c r="AZ106" s="2">
        <f t="shared" si="210"/>
        <v>19.547738079976995</v>
      </c>
      <c r="BA106" s="2">
        <f t="shared" si="246"/>
        <v>136237.97853807997</v>
      </c>
      <c r="BB106" s="2">
        <f t="shared" si="183"/>
        <v>0</v>
      </c>
      <c r="BC106" s="2">
        <f t="shared" si="211"/>
        <v>972.24383222958386</v>
      </c>
      <c r="BD106" s="2">
        <f t="shared" si="184"/>
        <v>135265.73470585039</v>
      </c>
      <c r="BE106" s="2">
        <f t="shared" si="212"/>
        <v>1286</v>
      </c>
      <c r="BF106" s="2">
        <f t="shared" si="185"/>
        <v>6640.8759222351946</v>
      </c>
      <c r="BG106" s="2">
        <f t="shared" si="186"/>
        <v>127338.8587836152</v>
      </c>
      <c r="BI106" s="8">
        <f t="shared" si="238"/>
        <v>3.1E-2</v>
      </c>
      <c r="BJ106" s="5">
        <f t="shared" si="213"/>
        <v>1047</v>
      </c>
      <c r="BK106" s="2">
        <f t="shared" si="214"/>
        <v>104595.3</v>
      </c>
      <c r="BL106" s="2">
        <f t="shared" si="215"/>
        <v>104700</v>
      </c>
      <c r="BM106" s="2">
        <f t="shared" si="187"/>
        <v>104700</v>
      </c>
      <c r="BN106" s="8">
        <f t="shared" si="188"/>
        <v>4.5999999999999999E-2</v>
      </c>
      <c r="BO106" s="2">
        <f t="shared" si="189"/>
        <v>106305.40000000001</v>
      </c>
      <c r="BP106" s="2" t="str">
        <f t="shared" si="190"/>
        <v>nie</v>
      </c>
      <c r="BQ106" s="2">
        <f t="shared" si="191"/>
        <v>2094</v>
      </c>
      <c r="BR106" s="1">
        <f t="shared" si="239"/>
        <v>112</v>
      </c>
      <c r="BS106" s="1">
        <f t="shared" si="174"/>
        <v>106</v>
      </c>
      <c r="BT106" s="1">
        <f t="shared" si="229"/>
        <v>103</v>
      </c>
      <c r="BU106" s="1">
        <f t="shared" si="255"/>
        <v>7</v>
      </c>
      <c r="BV106" s="2">
        <f t="shared" si="247"/>
        <v>11200</v>
      </c>
      <c r="BW106" s="8">
        <f t="shared" si="240"/>
        <v>4.7500000000000001E-2</v>
      </c>
      <c r="BX106" s="2">
        <f t="shared" si="248"/>
        <v>11377.333333333334</v>
      </c>
      <c r="BY106" s="2">
        <f t="shared" si="241"/>
        <v>177.33333333333394</v>
      </c>
      <c r="BZ106" s="2">
        <f t="shared" si="120"/>
        <v>21600</v>
      </c>
      <c r="CA106" s="8">
        <f t="shared" si="175"/>
        <v>4.5999999999999999E-2</v>
      </c>
      <c r="CB106" s="2">
        <f t="shared" si="249"/>
        <v>21931.200000000001</v>
      </c>
      <c r="CC106" s="2">
        <f t="shared" si="176"/>
        <v>432</v>
      </c>
      <c r="CD106" s="2">
        <f t="shared" si="192"/>
        <v>0</v>
      </c>
      <c r="CE106" s="2">
        <f t="shared" si="250"/>
        <v>0</v>
      </c>
      <c r="CF106" s="2">
        <f t="shared" si="251"/>
        <v>47.450000000030741</v>
      </c>
      <c r="CG106" s="1">
        <f t="shared" si="232"/>
        <v>0</v>
      </c>
      <c r="CH106" s="2">
        <f t="shared" si="193"/>
        <v>47.450000000030741</v>
      </c>
      <c r="CI106" s="1">
        <f t="shared" si="242"/>
        <v>0</v>
      </c>
      <c r="CJ106" s="2">
        <f t="shared" si="252"/>
        <v>47.450000000030741</v>
      </c>
      <c r="CK106" s="2">
        <f t="shared" si="253"/>
        <v>139661.38333333339</v>
      </c>
      <c r="CL106" s="2">
        <f t="shared" si="194"/>
        <v>0</v>
      </c>
      <c r="CM106" s="2">
        <f t="shared" si="216"/>
        <v>987.5513900000002</v>
      </c>
      <c r="CN106" s="2">
        <f t="shared" si="195"/>
        <v>138673.83194333338</v>
      </c>
      <c r="CO106" s="2">
        <f t="shared" si="217"/>
        <v>2703.3333333333339</v>
      </c>
      <c r="CP106" s="2">
        <f t="shared" si="196"/>
        <v>7022.0295000000087</v>
      </c>
      <c r="CQ106" s="2">
        <f t="shared" si="197"/>
        <v>128948.46911000003</v>
      </c>
      <c r="CS106" s="5">
        <f t="shared" si="218"/>
        <v>1000</v>
      </c>
      <c r="CT106" s="2">
        <f t="shared" si="219"/>
        <v>100000</v>
      </c>
      <c r="CU106" s="2">
        <f t="shared" si="220"/>
        <v>100000</v>
      </c>
      <c r="CV106" s="2">
        <f t="shared" si="221"/>
        <v>141987.73656011029</v>
      </c>
      <c r="CW106" s="8">
        <f t="shared" si="198"/>
        <v>5.1000000000000004E-2</v>
      </c>
      <c r="CX106" s="2">
        <f t="shared" si="199"/>
        <v>144401.52808163216</v>
      </c>
      <c r="CY106" s="2" t="str">
        <f t="shared" si="200"/>
        <v>nie</v>
      </c>
      <c r="CZ106" s="2">
        <f t="shared" si="222"/>
        <v>0</v>
      </c>
      <c r="DA106" s="2">
        <f t="shared" si="223"/>
        <v>0</v>
      </c>
      <c r="DB106" s="2">
        <f t="shared" si="224"/>
        <v>144401.52808163216</v>
      </c>
      <c r="DC106" s="2">
        <f t="shared" si="201"/>
        <v>0</v>
      </c>
      <c r="DD106" s="2">
        <f t="shared" si="225"/>
        <v>1008.3460790318785</v>
      </c>
      <c r="DE106" s="2">
        <f t="shared" si="226"/>
        <v>143393.18200260028</v>
      </c>
      <c r="DF106" s="2">
        <f t="shared" si="202"/>
        <v>3000</v>
      </c>
      <c r="DG106" s="2">
        <f t="shared" si="203"/>
        <v>7866.2903355101107</v>
      </c>
      <c r="DH106" s="2">
        <f t="shared" si="227"/>
        <v>132526.89166709018</v>
      </c>
    </row>
    <row r="107" spans="2:112">
      <c r="B107" s="232"/>
      <c r="C107" s="1">
        <f t="shared" si="256"/>
        <v>70</v>
      </c>
      <c r="D107" s="2">
        <f t="shared" si="259"/>
        <v>127415.66234356798</v>
      </c>
      <c r="E107" s="2">
        <f t="shared" si="260"/>
        <v>121161.54370052798</v>
      </c>
      <c r="F107" s="2">
        <f t="shared" si="261"/>
        <v>129833.25956166668</v>
      </c>
      <c r="G107" s="2">
        <f t="shared" si="262"/>
        <v>122001.30864500001</v>
      </c>
      <c r="H107" s="2">
        <f t="shared" si="263"/>
        <v>133315.10109568175</v>
      </c>
      <c r="I107" s="2">
        <f t="shared" si="264"/>
        <v>124424.12385671143</v>
      </c>
      <c r="J107" s="2">
        <f t="shared" si="257"/>
        <v>118517.88159026542</v>
      </c>
      <c r="K107" s="2">
        <f t="shared" si="258"/>
        <v>119500.61306035329</v>
      </c>
      <c r="W107" s="1">
        <f t="shared" si="204"/>
        <v>89</v>
      </c>
      <c r="X107" s="2">
        <f t="shared" si="177"/>
        <v>125425.07636398353</v>
      </c>
      <c r="Y107" s="8">
        <f t="shared" si="230"/>
        <v>3.9100000000000003E-2</v>
      </c>
      <c r="Z107" s="5">
        <f t="shared" si="205"/>
        <v>1284</v>
      </c>
      <c r="AA107" s="2">
        <f t="shared" si="206"/>
        <v>128271.6</v>
      </c>
      <c r="AB107" s="2">
        <f t="shared" si="207"/>
        <v>128400</v>
      </c>
      <c r="AC107" s="2">
        <f t="shared" si="208"/>
        <v>134049.60000000001</v>
      </c>
      <c r="AD107" s="8">
        <f t="shared" si="178"/>
        <v>4.3999999999999997E-2</v>
      </c>
      <c r="AE107" s="2">
        <f t="shared" si="179"/>
        <v>136507.17600000001</v>
      </c>
      <c r="AF107" s="2" t="str">
        <f t="shared" si="180"/>
        <v>nie</v>
      </c>
      <c r="AG107" s="2">
        <f t="shared" si="181"/>
        <v>1284</v>
      </c>
      <c r="AH107" s="1">
        <f t="shared" si="233"/>
        <v>1</v>
      </c>
      <c r="AI107" s="1">
        <f t="shared" ref="AI107:AI138" si="265">IF(zapadalnosc_TOS/12&gt;=AI$18,AH95,0)</f>
        <v>1</v>
      </c>
      <c r="AJ107" s="1">
        <f t="shared" si="228"/>
        <v>0</v>
      </c>
      <c r="AK107" s="1">
        <f t="shared" si="254"/>
        <v>0</v>
      </c>
      <c r="AL107" s="2">
        <f t="shared" si="243"/>
        <v>100</v>
      </c>
      <c r="AM107" s="8">
        <f t="shared" si="234"/>
        <v>4.3999999999999997E-2</v>
      </c>
      <c r="AN107" s="2">
        <f t="shared" si="244"/>
        <v>101.83333333333333</v>
      </c>
      <c r="AO107" s="2">
        <f t="shared" si="235"/>
        <v>1</v>
      </c>
      <c r="AP107" s="2">
        <f t="shared" si="119"/>
        <v>100</v>
      </c>
      <c r="AQ107" s="8">
        <f t="shared" ref="AQ107:AQ138" si="266">marza_TOS+Y107</f>
        <v>3.9100000000000003E-2</v>
      </c>
      <c r="AR107" s="2">
        <f t="shared" ref="AR107:AR162" si="267">AP107*(1+AQ107*IF(MOD($W107,12)&lt;&gt;0,MOD($W107,12),12)/12)</f>
        <v>101.62916666666666</v>
      </c>
      <c r="AS107" s="2">
        <f t="shared" ref="AS107:AS138" si="268">SUM(AI107:AK107)*koszt_wczesniejszy_wykup_TOS</f>
        <v>1</v>
      </c>
      <c r="AT107" s="2">
        <f t="shared" si="209"/>
        <v>0</v>
      </c>
      <c r="AU107" s="2">
        <f t="shared" si="245"/>
        <v>0</v>
      </c>
      <c r="AV107" s="2">
        <f t="shared" si="236"/>
        <v>19.547738079976995</v>
      </c>
      <c r="AW107" s="1">
        <f t="shared" si="231"/>
        <v>0</v>
      </c>
      <c r="AX107" s="2">
        <f t="shared" si="182"/>
        <v>19.547738079976995</v>
      </c>
      <c r="AY107" s="1">
        <f t="shared" si="237"/>
        <v>0</v>
      </c>
      <c r="AZ107" s="2">
        <f t="shared" si="210"/>
        <v>19.547738079976995</v>
      </c>
      <c r="BA107" s="2">
        <f t="shared" si="246"/>
        <v>136730.18623808</v>
      </c>
      <c r="BB107" s="2">
        <f t="shared" si="183"/>
        <v>0</v>
      </c>
      <c r="BC107" s="2">
        <f t="shared" si="211"/>
        <v>972.24383222958386</v>
      </c>
      <c r="BD107" s="2">
        <f t="shared" si="184"/>
        <v>135757.94240585042</v>
      </c>
      <c r="BE107" s="2">
        <f t="shared" si="212"/>
        <v>1286</v>
      </c>
      <c r="BF107" s="2">
        <f t="shared" si="185"/>
        <v>6734.3953852352006</v>
      </c>
      <c r="BG107" s="2">
        <f t="shared" si="186"/>
        <v>127737.54702061522</v>
      </c>
      <c r="BI107" s="8">
        <f t="shared" si="238"/>
        <v>3.1E-2</v>
      </c>
      <c r="BJ107" s="5">
        <f t="shared" si="213"/>
        <v>1047</v>
      </c>
      <c r="BK107" s="2">
        <f t="shared" si="214"/>
        <v>104595.3</v>
      </c>
      <c r="BL107" s="2">
        <f t="shared" si="215"/>
        <v>104700</v>
      </c>
      <c r="BM107" s="2">
        <f t="shared" si="187"/>
        <v>104700</v>
      </c>
      <c r="BN107" s="8">
        <f t="shared" si="188"/>
        <v>4.5999999999999999E-2</v>
      </c>
      <c r="BO107" s="2">
        <f t="shared" si="189"/>
        <v>106706.74999999999</v>
      </c>
      <c r="BP107" s="2" t="str">
        <f t="shared" si="190"/>
        <v>nie</v>
      </c>
      <c r="BQ107" s="2">
        <f t="shared" si="191"/>
        <v>2094</v>
      </c>
      <c r="BR107" s="1">
        <f t="shared" si="239"/>
        <v>112</v>
      </c>
      <c r="BS107" s="1">
        <f t="shared" ref="BS107:BS138" si="269">IF(zapadalnosc_COI/12&gt;=BS$18,BR95,0)</f>
        <v>106</v>
      </c>
      <c r="BT107" s="1">
        <f t="shared" si="229"/>
        <v>103</v>
      </c>
      <c r="BU107" s="1">
        <f t="shared" si="255"/>
        <v>7</v>
      </c>
      <c r="BV107" s="2">
        <f t="shared" si="247"/>
        <v>11200</v>
      </c>
      <c r="BW107" s="8">
        <f t="shared" si="240"/>
        <v>4.7500000000000001E-2</v>
      </c>
      <c r="BX107" s="2">
        <f t="shared" si="248"/>
        <v>11421.666666666666</v>
      </c>
      <c r="BY107" s="2">
        <f t="shared" si="241"/>
        <v>221.66666666666606</v>
      </c>
      <c r="BZ107" s="2">
        <f t="shared" si="120"/>
        <v>21600</v>
      </c>
      <c r="CA107" s="8">
        <f t="shared" ref="CA107:CA138" si="270">marza_COI+BI107</f>
        <v>4.5999999999999999E-2</v>
      </c>
      <c r="CB107" s="2">
        <f t="shared" si="249"/>
        <v>22013.999999999996</v>
      </c>
      <c r="CC107" s="2">
        <f t="shared" ref="CC107:CC138" si="271">SUM(BS107:BU107)*koszt_wczesniejszy_wykup_COI</f>
        <v>432</v>
      </c>
      <c r="CD107" s="2">
        <f t="shared" si="192"/>
        <v>0</v>
      </c>
      <c r="CE107" s="2">
        <f t="shared" si="250"/>
        <v>0</v>
      </c>
      <c r="CF107" s="2">
        <f t="shared" si="251"/>
        <v>47.450000000030741</v>
      </c>
      <c r="CG107" s="1">
        <f t="shared" si="232"/>
        <v>0</v>
      </c>
      <c r="CH107" s="2">
        <f t="shared" si="193"/>
        <v>47.450000000030741</v>
      </c>
      <c r="CI107" s="1">
        <f t="shared" si="242"/>
        <v>0</v>
      </c>
      <c r="CJ107" s="2">
        <f t="shared" si="252"/>
        <v>47.450000000030741</v>
      </c>
      <c r="CK107" s="2">
        <f t="shared" si="253"/>
        <v>140189.8666666667</v>
      </c>
      <c r="CL107" s="2">
        <f t="shared" si="194"/>
        <v>0</v>
      </c>
      <c r="CM107" s="2">
        <f t="shared" si="216"/>
        <v>987.5513900000002</v>
      </c>
      <c r="CN107" s="2">
        <f t="shared" si="195"/>
        <v>139202.31527666669</v>
      </c>
      <c r="CO107" s="2">
        <f t="shared" si="217"/>
        <v>2747.6666666666661</v>
      </c>
      <c r="CP107" s="2">
        <f t="shared" si="196"/>
        <v>7114.0180000000082</v>
      </c>
      <c r="CQ107" s="2">
        <f t="shared" si="197"/>
        <v>129340.63061000002</v>
      </c>
      <c r="CS107" s="5">
        <f t="shared" si="218"/>
        <v>1000</v>
      </c>
      <c r="CT107" s="2">
        <f t="shared" si="219"/>
        <v>100000</v>
      </c>
      <c r="CU107" s="2">
        <f t="shared" si="220"/>
        <v>100000</v>
      </c>
      <c r="CV107" s="2">
        <f t="shared" si="221"/>
        <v>141987.73656011029</v>
      </c>
      <c r="CW107" s="8">
        <f t="shared" si="198"/>
        <v>5.1000000000000004E-2</v>
      </c>
      <c r="CX107" s="2">
        <f t="shared" si="199"/>
        <v>145004.97596201263</v>
      </c>
      <c r="CY107" s="2" t="str">
        <f t="shared" si="200"/>
        <v>nie</v>
      </c>
      <c r="CZ107" s="2">
        <f t="shared" si="222"/>
        <v>0</v>
      </c>
      <c r="DA107" s="2">
        <f t="shared" si="223"/>
        <v>0</v>
      </c>
      <c r="DB107" s="2">
        <f t="shared" si="224"/>
        <v>145004.97596201263</v>
      </c>
      <c r="DC107" s="2">
        <f t="shared" si="201"/>
        <v>0</v>
      </c>
      <c r="DD107" s="2">
        <f t="shared" si="225"/>
        <v>1008.3460790318785</v>
      </c>
      <c r="DE107" s="2">
        <f t="shared" si="226"/>
        <v>143996.62988298075</v>
      </c>
      <c r="DF107" s="2">
        <f t="shared" si="202"/>
        <v>3000</v>
      </c>
      <c r="DG107" s="2">
        <f t="shared" si="203"/>
        <v>7980.9454327823996</v>
      </c>
      <c r="DH107" s="2">
        <f t="shared" si="227"/>
        <v>133015.68445019834</v>
      </c>
    </row>
    <row r="108" spans="2:112">
      <c r="B108" s="233"/>
      <c r="C108" s="1">
        <f t="shared" si="256"/>
        <v>71</v>
      </c>
      <c r="D108" s="2">
        <f t="shared" si="259"/>
        <v>127868.45808916799</v>
      </c>
      <c r="E108" s="2">
        <f t="shared" si="260"/>
        <v>121528.30825446399</v>
      </c>
      <c r="F108" s="2">
        <f t="shared" si="261"/>
        <v>130316.01372833336</v>
      </c>
      <c r="G108" s="2">
        <f t="shared" si="262"/>
        <v>122392.33952000002</v>
      </c>
      <c r="H108" s="2">
        <f t="shared" si="263"/>
        <v>133861.40503744938</v>
      </c>
      <c r="I108" s="2">
        <f t="shared" si="264"/>
        <v>124866.63004954321</v>
      </c>
      <c r="J108" s="2">
        <f t="shared" si="257"/>
        <v>118805.88004252975</v>
      </c>
      <c r="K108" s="2">
        <f t="shared" si="258"/>
        <v>119801.54880404712</v>
      </c>
      <c r="W108" s="1">
        <f t="shared" si="204"/>
        <v>90</v>
      </c>
      <c r="X108" s="2">
        <f t="shared" si="177"/>
        <v>125744.95932303606</v>
      </c>
      <c r="Y108" s="8">
        <f t="shared" si="230"/>
        <v>3.9100000000000003E-2</v>
      </c>
      <c r="Z108" s="5">
        <f t="shared" si="205"/>
        <v>1284</v>
      </c>
      <c r="AA108" s="2">
        <f t="shared" si="206"/>
        <v>128271.6</v>
      </c>
      <c r="AB108" s="2">
        <f t="shared" si="207"/>
        <v>128400</v>
      </c>
      <c r="AC108" s="2">
        <f t="shared" si="208"/>
        <v>134049.60000000001</v>
      </c>
      <c r="AD108" s="8">
        <f t="shared" si="178"/>
        <v>4.3999999999999997E-2</v>
      </c>
      <c r="AE108" s="2">
        <f t="shared" si="179"/>
        <v>136998.6912</v>
      </c>
      <c r="AF108" s="2" t="str">
        <f t="shared" si="180"/>
        <v>nie</v>
      </c>
      <c r="AG108" s="2">
        <f t="shared" si="181"/>
        <v>1284</v>
      </c>
      <c r="AH108" s="1">
        <f t="shared" si="233"/>
        <v>1</v>
      </c>
      <c r="AI108" s="1">
        <f t="shared" si="265"/>
        <v>1</v>
      </c>
      <c r="AJ108" s="1">
        <f t="shared" si="228"/>
        <v>0</v>
      </c>
      <c r="AK108" s="1">
        <f t="shared" si="254"/>
        <v>0</v>
      </c>
      <c r="AL108" s="2">
        <f t="shared" si="243"/>
        <v>100</v>
      </c>
      <c r="AM108" s="8">
        <f t="shared" si="234"/>
        <v>4.3999999999999997E-2</v>
      </c>
      <c r="AN108" s="2">
        <f t="shared" si="244"/>
        <v>102.2</v>
      </c>
      <c r="AO108" s="2">
        <f t="shared" si="235"/>
        <v>1</v>
      </c>
      <c r="AP108" s="2">
        <f t="shared" ref="AP108:AP162" si="272">SUM(AI108:AK108)*100</f>
        <v>100</v>
      </c>
      <c r="AQ108" s="8">
        <f t="shared" si="266"/>
        <v>3.9100000000000003E-2</v>
      </c>
      <c r="AR108" s="2">
        <f t="shared" si="267"/>
        <v>101.955</v>
      </c>
      <c r="AS108" s="2">
        <f t="shared" si="268"/>
        <v>1</v>
      </c>
      <c r="AT108" s="2">
        <f t="shared" si="209"/>
        <v>0</v>
      </c>
      <c r="AU108" s="2">
        <f t="shared" si="245"/>
        <v>0</v>
      </c>
      <c r="AV108" s="2">
        <f t="shared" si="236"/>
        <v>19.547738079976995</v>
      </c>
      <c r="AW108" s="1">
        <f t="shared" si="231"/>
        <v>0</v>
      </c>
      <c r="AX108" s="2">
        <f t="shared" si="182"/>
        <v>19.547738079976995</v>
      </c>
      <c r="AY108" s="1">
        <f t="shared" si="237"/>
        <v>0</v>
      </c>
      <c r="AZ108" s="2">
        <f t="shared" si="210"/>
        <v>19.547738079976995</v>
      </c>
      <c r="BA108" s="2">
        <f t="shared" si="246"/>
        <v>137222.39393807997</v>
      </c>
      <c r="BB108" s="2">
        <f t="shared" si="183"/>
        <v>0</v>
      </c>
      <c r="BC108" s="2">
        <f t="shared" si="211"/>
        <v>972.24383222958386</v>
      </c>
      <c r="BD108" s="2">
        <f t="shared" si="184"/>
        <v>136250.15010585039</v>
      </c>
      <c r="BE108" s="2">
        <f t="shared" si="212"/>
        <v>1286</v>
      </c>
      <c r="BF108" s="2">
        <f t="shared" si="185"/>
        <v>6827.9148482351948</v>
      </c>
      <c r="BG108" s="2">
        <f t="shared" si="186"/>
        <v>128136.2352576152</v>
      </c>
      <c r="BI108" s="8">
        <f t="shared" si="238"/>
        <v>3.1E-2</v>
      </c>
      <c r="BJ108" s="5">
        <f t="shared" si="213"/>
        <v>1047</v>
      </c>
      <c r="BK108" s="2">
        <f t="shared" si="214"/>
        <v>104595.3</v>
      </c>
      <c r="BL108" s="2">
        <f t="shared" si="215"/>
        <v>104700</v>
      </c>
      <c r="BM108" s="2">
        <f t="shared" si="187"/>
        <v>104700</v>
      </c>
      <c r="BN108" s="8">
        <f t="shared" si="188"/>
        <v>4.5999999999999999E-2</v>
      </c>
      <c r="BO108" s="2">
        <f t="shared" si="189"/>
        <v>107108.09999999999</v>
      </c>
      <c r="BP108" s="2" t="str">
        <f t="shared" si="190"/>
        <v>nie</v>
      </c>
      <c r="BQ108" s="2">
        <f t="shared" si="191"/>
        <v>2094</v>
      </c>
      <c r="BR108" s="1">
        <f t="shared" si="239"/>
        <v>112</v>
      </c>
      <c r="BS108" s="1">
        <f t="shared" si="269"/>
        <v>106</v>
      </c>
      <c r="BT108" s="1">
        <f t="shared" si="229"/>
        <v>103</v>
      </c>
      <c r="BU108" s="1">
        <f t="shared" si="255"/>
        <v>7</v>
      </c>
      <c r="BV108" s="2">
        <f t="shared" si="247"/>
        <v>11200</v>
      </c>
      <c r="BW108" s="8">
        <f t="shared" si="240"/>
        <v>4.7500000000000001E-2</v>
      </c>
      <c r="BX108" s="2">
        <f t="shared" si="248"/>
        <v>11466</v>
      </c>
      <c r="BY108" s="2">
        <f t="shared" si="241"/>
        <v>224</v>
      </c>
      <c r="BZ108" s="2">
        <f t="shared" ref="BZ108:BZ162" si="273">SUM(BS108:BU108)*100</f>
        <v>21600</v>
      </c>
      <c r="CA108" s="8">
        <f t="shared" si="270"/>
        <v>4.5999999999999999E-2</v>
      </c>
      <c r="CB108" s="2">
        <f t="shared" si="249"/>
        <v>22096.799999999999</v>
      </c>
      <c r="CC108" s="2">
        <f t="shared" si="271"/>
        <v>432</v>
      </c>
      <c r="CD108" s="2">
        <f t="shared" si="192"/>
        <v>0</v>
      </c>
      <c r="CE108" s="2">
        <f t="shared" si="250"/>
        <v>0</v>
      </c>
      <c r="CF108" s="2">
        <f t="shared" si="251"/>
        <v>47.450000000030741</v>
      </c>
      <c r="CG108" s="1">
        <f t="shared" si="232"/>
        <v>0</v>
      </c>
      <c r="CH108" s="2">
        <f t="shared" si="193"/>
        <v>47.450000000030741</v>
      </c>
      <c r="CI108" s="1">
        <f t="shared" si="242"/>
        <v>0</v>
      </c>
      <c r="CJ108" s="2">
        <f t="shared" si="252"/>
        <v>47.450000000030741</v>
      </c>
      <c r="CK108" s="2">
        <f t="shared" si="253"/>
        <v>140718.35000000003</v>
      </c>
      <c r="CL108" s="2">
        <f t="shared" si="194"/>
        <v>0</v>
      </c>
      <c r="CM108" s="2">
        <f t="shared" si="216"/>
        <v>987.5513900000002</v>
      </c>
      <c r="CN108" s="2">
        <f t="shared" si="195"/>
        <v>139730.79861000003</v>
      </c>
      <c r="CO108" s="2">
        <f t="shared" si="217"/>
        <v>2750</v>
      </c>
      <c r="CP108" s="2">
        <f t="shared" si="196"/>
        <v>7213.9865000000063</v>
      </c>
      <c r="CQ108" s="2">
        <f t="shared" si="197"/>
        <v>129766.81211000003</v>
      </c>
      <c r="CS108" s="5">
        <f t="shared" si="218"/>
        <v>1000</v>
      </c>
      <c r="CT108" s="2">
        <f t="shared" si="219"/>
        <v>100000</v>
      </c>
      <c r="CU108" s="2">
        <f t="shared" si="220"/>
        <v>100000</v>
      </c>
      <c r="CV108" s="2">
        <f t="shared" si="221"/>
        <v>141987.73656011029</v>
      </c>
      <c r="CW108" s="8">
        <f t="shared" si="198"/>
        <v>5.1000000000000004E-2</v>
      </c>
      <c r="CX108" s="2">
        <f t="shared" si="199"/>
        <v>145608.42384239312</v>
      </c>
      <c r="CY108" s="2" t="str">
        <f t="shared" si="200"/>
        <v>nie</v>
      </c>
      <c r="CZ108" s="2">
        <f t="shared" si="222"/>
        <v>0</v>
      </c>
      <c r="DA108" s="2">
        <f t="shared" si="223"/>
        <v>0</v>
      </c>
      <c r="DB108" s="2">
        <f t="shared" si="224"/>
        <v>145608.42384239312</v>
      </c>
      <c r="DC108" s="2">
        <f t="shared" si="201"/>
        <v>0</v>
      </c>
      <c r="DD108" s="2">
        <f t="shared" si="225"/>
        <v>1008.3460790318785</v>
      </c>
      <c r="DE108" s="2">
        <f t="shared" si="226"/>
        <v>144600.07776336125</v>
      </c>
      <c r="DF108" s="2">
        <f t="shared" si="202"/>
        <v>3000</v>
      </c>
      <c r="DG108" s="2">
        <f t="shared" si="203"/>
        <v>8095.600530054694</v>
      </c>
      <c r="DH108" s="2">
        <f t="shared" si="227"/>
        <v>133504.47723330656</v>
      </c>
    </row>
    <row r="109" spans="2:112">
      <c r="B109" s="231">
        <f>ROUNDUP(C110/12,0)</f>
        <v>7</v>
      </c>
      <c r="C109" s="3">
        <f t="shared" si="256"/>
        <v>72</v>
      </c>
      <c r="D109" s="10">
        <f t="shared" si="259"/>
        <v>127562.08996836228</v>
      </c>
      <c r="E109" s="10">
        <f t="shared" si="260"/>
        <v>122168.60789812708</v>
      </c>
      <c r="F109" s="10">
        <f t="shared" si="261"/>
        <v>130640.99519500002</v>
      </c>
      <c r="G109" s="10">
        <f t="shared" si="262"/>
        <v>122625.59769500002</v>
      </c>
      <c r="H109" s="10">
        <f t="shared" si="263"/>
        <v>134245.59167772115</v>
      </c>
      <c r="I109" s="10">
        <f t="shared" si="264"/>
        <v>125147.01894087915</v>
      </c>
      <c r="J109" s="10">
        <f t="shared" si="257"/>
        <v>119094.57833103309</v>
      </c>
      <c r="K109" s="10">
        <f t="shared" si="258"/>
        <v>120102.48454774093</v>
      </c>
      <c r="W109" s="1">
        <f t="shared" si="204"/>
        <v>91</v>
      </c>
      <c r="X109" s="2">
        <f t="shared" si="177"/>
        <v>126064.84228208858</v>
      </c>
      <c r="Y109" s="8">
        <f t="shared" si="230"/>
        <v>3.9100000000000003E-2</v>
      </c>
      <c r="Z109" s="5">
        <f t="shared" si="205"/>
        <v>1284</v>
      </c>
      <c r="AA109" s="2">
        <f t="shared" si="206"/>
        <v>128271.6</v>
      </c>
      <c r="AB109" s="2">
        <f t="shared" si="207"/>
        <v>128400</v>
      </c>
      <c r="AC109" s="2">
        <f t="shared" si="208"/>
        <v>134049.60000000001</v>
      </c>
      <c r="AD109" s="8">
        <f t="shared" si="178"/>
        <v>4.3999999999999997E-2</v>
      </c>
      <c r="AE109" s="2">
        <f t="shared" si="179"/>
        <v>137490.20640000002</v>
      </c>
      <c r="AF109" s="2" t="str">
        <f t="shared" si="180"/>
        <v>nie</v>
      </c>
      <c r="AG109" s="2">
        <f t="shared" si="181"/>
        <v>1284</v>
      </c>
      <c r="AH109" s="1">
        <f t="shared" si="233"/>
        <v>1</v>
      </c>
      <c r="AI109" s="1">
        <f t="shared" si="265"/>
        <v>1</v>
      </c>
      <c r="AJ109" s="1">
        <f t="shared" si="228"/>
        <v>0</v>
      </c>
      <c r="AK109" s="1">
        <f t="shared" si="254"/>
        <v>0</v>
      </c>
      <c r="AL109" s="2">
        <f t="shared" si="243"/>
        <v>100</v>
      </c>
      <c r="AM109" s="8">
        <f t="shared" si="234"/>
        <v>4.3999999999999997E-2</v>
      </c>
      <c r="AN109" s="2">
        <f t="shared" si="244"/>
        <v>102.56666666666668</v>
      </c>
      <c r="AO109" s="2">
        <f t="shared" si="235"/>
        <v>1</v>
      </c>
      <c r="AP109" s="2">
        <f t="shared" si="272"/>
        <v>100</v>
      </c>
      <c r="AQ109" s="8">
        <f t="shared" si="266"/>
        <v>3.9100000000000003E-2</v>
      </c>
      <c r="AR109" s="2">
        <f t="shared" si="267"/>
        <v>102.28083333333333</v>
      </c>
      <c r="AS109" s="2">
        <f t="shared" si="268"/>
        <v>1</v>
      </c>
      <c r="AT109" s="2">
        <f t="shared" si="209"/>
        <v>0</v>
      </c>
      <c r="AU109" s="2">
        <f t="shared" si="245"/>
        <v>0</v>
      </c>
      <c r="AV109" s="2">
        <f t="shared" si="236"/>
        <v>19.547738079976995</v>
      </c>
      <c r="AW109" s="1">
        <f t="shared" si="231"/>
        <v>0</v>
      </c>
      <c r="AX109" s="2">
        <f t="shared" si="182"/>
        <v>19.547738079976995</v>
      </c>
      <c r="AY109" s="1">
        <f t="shared" si="237"/>
        <v>0</v>
      </c>
      <c r="AZ109" s="2">
        <f t="shared" si="210"/>
        <v>19.547738079976995</v>
      </c>
      <c r="BA109" s="2">
        <f t="shared" si="246"/>
        <v>137714.60163808</v>
      </c>
      <c r="BB109" s="2">
        <f t="shared" si="183"/>
        <v>0</v>
      </c>
      <c r="BC109" s="2">
        <f t="shared" si="211"/>
        <v>972.24383222958386</v>
      </c>
      <c r="BD109" s="2">
        <f t="shared" si="184"/>
        <v>136742.35780585042</v>
      </c>
      <c r="BE109" s="2">
        <f t="shared" si="212"/>
        <v>1286</v>
      </c>
      <c r="BF109" s="2">
        <f t="shared" si="185"/>
        <v>6921.4343112351999</v>
      </c>
      <c r="BG109" s="2">
        <f t="shared" si="186"/>
        <v>128534.92349461521</v>
      </c>
      <c r="BI109" s="8">
        <f t="shared" si="238"/>
        <v>3.1E-2</v>
      </c>
      <c r="BJ109" s="5">
        <f t="shared" si="213"/>
        <v>1047</v>
      </c>
      <c r="BK109" s="2">
        <f t="shared" si="214"/>
        <v>104595.3</v>
      </c>
      <c r="BL109" s="2">
        <f t="shared" si="215"/>
        <v>104700</v>
      </c>
      <c r="BM109" s="2">
        <f t="shared" si="187"/>
        <v>104700</v>
      </c>
      <c r="BN109" s="8">
        <f t="shared" si="188"/>
        <v>4.5999999999999999E-2</v>
      </c>
      <c r="BO109" s="2">
        <f t="shared" si="189"/>
        <v>107509.45</v>
      </c>
      <c r="BP109" s="2" t="str">
        <f t="shared" si="190"/>
        <v>nie</v>
      </c>
      <c r="BQ109" s="2">
        <f t="shared" si="191"/>
        <v>2094</v>
      </c>
      <c r="BR109" s="1">
        <f t="shared" si="239"/>
        <v>112</v>
      </c>
      <c r="BS109" s="1">
        <f t="shared" si="269"/>
        <v>106</v>
      </c>
      <c r="BT109" s="1">
        <f t="shared" si="229"/>
        <v>103</v>
      </c>
      <c r="BU109" s="1">
        <f t="shared" si="255"/>
        <v>7</v>
      </c>
      <c r="BV109" s="2">
        <f t="shared" si="247"/>
        <v>11200</v>
      </c>
      <c r="BW109" s="8">
        <f t="shared" si="240"/>
        <v>4.7500000000000001E-2</v>
      </c>
      <c r="BX109" s="2">
        <f t="shared" si="248"/>
        <v>11510.333333333334</v>
      </c>
      <c r="BY109" s="2">
        <f t="shared" si="241"/>
        <v>224</v>
      </c>
      <c r="BZ109" s="2">
        <f t="shared" si="273"/>
        <v>21600</v>
      </c>
      <c r="CA109" s="8">
        <f t="shared" si="270"/>
        <v>4.5999999999999999E-2</v>
      </c>
      <c r="CB109" s="2">
        <f t="shared" si="249"/>
        <v>22179.599999999999</v>
      </c>
      <c r="CC109" s="2">
        <f t="shared" si="271"/>
        <v>432</v>
      </c>
      <c r="CD109" s="2">
        <f t="shared" si="192"/>
        <v>0</v>
      </c>
      <c r="CE109" s="2">
        <f t="shared" si="250"/>
        <v>0</v>
      </c>
      <c r="CF109" s="2">
        <f t="shared" si="251"/>
        <v>47.450000000030741</v>
      </c>
      <c r="CG109" s="1">
        <f t="shared" si="232"/>
        <v>0</v>
      </c>
      <c r="CH109" s="2">
        <f t="shared" si="193"/>
        <v>47.450000000030741</v>
      </c>
      <c r="CI109" s="1">
        <f t="shared" si="242"/>
        <v>0</v>
      </c>
      <c r="CJ109" s="2">
        <f t="shared" si="252"/>
        <v>47.450000000030741</v>
      </c>
      <c r="CK109" s="2">
        <f t="shared" si="253"/>
        <v>141246.83333333337</v>
      </c>
      <c r="CL109" s="2">
        <f t="shared" si="194"/>
        <v>0</v>
      </c>
      <c r="CM109" s="2">
        <f t="shared" si="216"/>
        <v>987.5513900000002</v>
      </c>
      <c r="CN109" s="2">
        <f t="shared" si="195"/>
        <v>140259.28194333336</v>
      </c>
      <c r="CO109" s="2">
        <f t="shared" si="217"/>
        <v>2750</v>
      </c>
      <c r="CP109" s="2">
        <f t="shared" si="196"/>
        <v>7314.3983333333408</v>
      </c>
      <c r="CQ109" s="2">
        <f t="shared" si="197"/>
        <v>130194.88361000002</v>
      </c>
      <c r="CS109" s="5">
        <f t="shared" si="218"/>
        <v>1000</v>
      </c>
      <c r="CT109" s="2">
        <f t="shared" si="219"/>
        <v>100000</v>
      </c>
      <c r="CU109" s="2">
        <f t="shared" si="220"/>
        <v>100000</v>
      </c>
      <c r="CV109" s="2">
        <f t="shared" si="221"/>
        <v>141987.73656011029</v>
      </c>
      <c r="CW109" s="8">
        <f t="shared" si="198"/>
        <v>5.1000000000000004E-2</v>
      </c>
      <c r="CX109" s="2">
        <f t="shared" si="199"/>
        <v>146211.87172277356</v>
      </c>
      <c r="CY109" s="2" t="str">
        <f t="shared" si="200"/>
        <v>nie</v>
      </c>
      <c r="CZ109" s="2">
        <f t="shared" si="222"/>
        <v>0</v>
      </c>
      <c r="DA109" s="2">
        <f t="shared" si="223"/>
        <v>0</v>
      </c>
      <c r="DB109" s="2">
        <f t="shared" si="224"/>
        <v>146211.87172277356</v>
      </c>
      <c r="DC109" s="2">
        <f t="shared" si="201"/>
        <v>0</v>
      </c>
      <c r="DD109" s="2">
        <f t="shared" si="225"/>
        <v>1008.3460790318785</v>
      </c>
      <c r="DE109" s="2">
        <f t="shared" si="226"/>
        <v>145203.52564374168</v>
      </c>
      <c r="DF109" s="2">
        <f t="shared" si="202"/>
        <v>3000</v>
      </c>
      <c r="DG109" s="2">
        <f t="shared" si="203"/>
        <v>8210.2556273269765</v>
      </c>
      <c r="DH109" s="2">
        <f t="shared" si="227"/>
        <v>133993.2700164147</v>
      </c>
    </row>
    <row r="110" spans="2:112">
      <c r="B110" s="232"/>
      <c r="C110" s="1">
        <f t="shared" si="256"/>
        <v>73</v>
      </c>
      <c r="D110" s="2">
        <f t="shared" si="259"/>
        <v>128161.65663502895</v>
      </c>
      <c r="E110" s="2">
        <f t="shared" si="260"/>
        <v>122272.61189812708</v>
      </c>
      <c r="F110" s="2">
        <f t="shared" si="261"/>
        <v>131150.82019500001</v>
      </c>
      <c r="G110" s="2">
        <f t="shared" si="262"/>
        <v>123082.32969500001</v>
      </c>
      <c r="H110" s="2">
        <f t="shared" si="263"/>
        <v>134819.75712051895</v>
      </c>
      <c r="I110" s="2">
        <f t="shared" si="264"/>
        <v>125612.09294954535</v>
      </c>
      <c r="J110" s="2">
        <f t="shared" si="257"/>
        <v>119383.97815637749</v>
      </c>
      <c r="K110" s="2">
        <f t="shared" si="258"/>
        <v>120412.74929948927</v>
      </c>
      <c r="W110" s="1">
        <f t="shared" si="204"/>
        <v>92</v>
      </c>
      <c r="X110" s="2">
        <f t="shared" si="177"/>
        <v>126384.7252411411</v>
      </c>
      <c r="Y110" s="8">
        <f t="shared" si="230"/>
        <v>3.9100000000000003E-2</v>
      </c>
      <c r="Z110" s="5">
        <f t="shared" si="205"/>
        <v>1284</v>
      </c>
      <c r="AA110" s="2">
        <f t="shared" si="206"/>
        <v>128271.6</v>
      </c>
      <c r="AB110" s="2">
        <f t="shared" si="207"/>
        <v>128400</v>
      </c>
      <c r="AC110" s="2">
        <f t="shared" si="208"/>
        <v>134049.60000000001</v>
      </c>
      <c r="AD110" s="8">
        <f t="shared" si="178"/>
        <v>4.3999999999999997E-2</v>
      </c>
      <c r="AE110" s="2">
        <f t="shared" si="179"/>
        <v>137981.72160000002</v>
      </c>
      <c r="AF110" s="2" t="str">
        <f t="shared" si="180"/>
        <v>nie</v>
      </c>
      <c r="AG110" s="2">
        <f t="shared" si="181"/>
        <v>1284</v>
      </c>
      <c r="AH110" s="1">
        <f t="shared" si="233"/>
        <v>1</v>
      </c>
      <c r="AI110" s="1">
        <f t="shared" si="265"/>
        <v>1</v>
      </c>
      <c r="AJ110" s="1">
        <f t="shared" si="228"/>
        <v>0</v>
      </c>
      <c r="AK110" s="1">
        <f t="shared" si="254"/>
        <v>0</v>
      </c>
      <c r="AL110" s="2">
        <f t="shared" si="243"/>
        <v>100</v>
      </c>
      <c r="AM110" s="8">
        <f t="shared" si="234"/>
        <v>4.3999999999999997E-2</v>
      </c>
      <c r="AN110" s="2">
        <f t="shared" si="244"/>
        <v>102.93333333333334</v>
      </c>
      <c r="AO110" s="2">
        <f t="shared" si="235"/>
        <v>1</v>
      </c>
      <c r="AP110" s="2">
        <f t="shared" si="272"/>
        <v>100</v>
      </c>
      <c r="AQ110" s="8">
        <f t="shared" si="266"/>
        <v>3.9100000000000003E-2</v>
      </c>
      <c r="AR110" s="2">
        <f t="shared" si="267"/>
        <v>102.60666666666667</v>
      </c>
      <c r="AS110" s="2">
        <f t="shared" si="268"/>
        <v>1</v>
      </c>
      <c r="AT110" s="2">
        <f t="shared" si="209"/>
        <v>0</v>
      </c>
      <c r="AU110" s="2">
        <f t="shared" si="245"/>
        <v>0</v>
      </c>
      <c r="AV110" s="2">
        <f t="shared" si="236"/>
        <v>19.547738079976995</v>
      </c>
      <c r="AW110" s="1">
        <f t="shared" si="231"/>
        <v>0</v>
      </c>
      <c r="AX110" s="2">
        <f t="shared" si="182"/>
        <v>19.547738079976995</v>
      </c>
      <c r="AY110" s="1">
        <f t="shared" si="237"/>
        <v>0</v>
      </c>
      <c r="AZ110" s="2">
        <f t="shared" si="210"/>
        <v>19.547738079976995</v>
      </c>
      <c r="BA110" s="2">
        <f t="shared" si="246"/>
        <v>138206.80933807997</v>
      </c>
      <c r="BB110" s="2">
        <f t="shared" si="183"/>
        <v>0</v>
      </c>
      <c r="BC110" s="2">
        <f t="shared" si="211"/>
        <v>972.24383222958386</v>
      </c>
      <c r="BD110" s="2">
        <f t="shared" si="184"/>
        <v>137234.56550585039</v>
      </c>
      <c r="BE110" s="2">
        <f t="shared" si="212"/>
        <v>1286</v>
      </c>
      <c r="BF110" s="2">
        <f t="shared" si="185"/>
        <v>7014.953774235194</v>
      </c>
      <c r="BG110" s="2">
        <f t="shared" si="186"/>
        <v>128933.61173161519</v>
      </c>
      <c r="BI110" s="8">
        <f t="shared" si="238"/>
        <v>3.1E-2</v>
      </c>
      <c r="BJ110" s="5">
        <f t="shared" si="213"/>
        <v>1047</v>
      </c>
      <c r="BK110" s="2">
        <f t="shared" si="214"/>
        <v>104595.3</v>
      </c>
      <c r="BL110" s="2">
        <f t="shared" si="215"/>
        <v>104700</v>
      </c>
      <c r="BM110" s="2">
        <f t="shared" si="187"/>
        <v>104700</v>
      </c>
      <c r="BN110" s="8">
        <f t="shared" si="188"/>
        <v>4.5999999999999999E-2</v>
      </c>
      <c r="BO110" s="2">
        <f t="shared" si="189"/>
        <v>107910.79999999999</v>
      </c>
      <c r="BP110" s="2" t="str">
        <f t="shared" si="190"/>
        <v>nie</v>
      </c>
      <c r="BQ110" s="2">
        <f t="shared" si="191"/>
        <v>2094</v>
      </c>
      <c r="BR110" s="1">
        <f t="shared" si="239"/>
        <v>112</v>
      </c>
      <c r="BS110" s="1">
        <f t="shared" si="269"/>
        <v>106</v>
      </c>
      <c r="BT110" s="1">
        <f t="shared" si="229"/>
        <v>103</v>
      </c>
      <c r="BU110" s="1">
        <f t="shared" si="255"/>
        <v>7</v>
      </c>
      <c r="BV110" s="2">
        <f t="shared" si="247"/>
        <v>11200</v>
      </c>
      <c r="BW110" s="8">
        <f t="shared" si="240"/>
        <v>4.7500000000000001E-2</v>
      </c>
      <c r="BX110" s="2">
        <f t="shared" si="248"/>
        <v>11554.666666666668</v>
      </c>
      <c r="BY110" s="2">
        <f t="shared" si="241"/>
        <v>224</v>
      </c>
      <c r="BZ110" s="2">
        <f t="shared" si="273"/>
        <v>21600</v>
      </c>
      <c r="CA110" s="8">
        <f t="shared" si="270"/>
        <v>4.5999999999999999E-2</v>
      </c>
      <c r="CB110" s="2">
        <f t="shared" si="249"/>
        <v>22262.399999999998</v>
      </c>
      <c r="CC110" s="2">
        <f t="shared" si="271"/>
        <v>432</v>
      </c>
      <c r="CD110" s="2">
        <f t="shared" si="192"/>
        <v>0</v>
      </c>
      <c r="CE110" s="2">
        <f t="shared" si="250"/>
        <v>0</v>
      </c>
      <c r="CF110" s="2">
        <f t="shared" si="251"/>
        <v>47.450000000030741</v>
      </c>
      <c r="CG110" s="1">
        <f t="shared" si="232"/>
        <v>0</v>
      </c>
      <c r="CH110" s="2">
        <f t="shared" si="193"/>
        <v>47.450000000030741</v>
      </c>
      <c r="CI110" s="1">
        <f t="shared" si="242"/>
        <v>0</v>
      </c>
      <c r="CJ110" s="2">
        <f t="shared" si="252"/>
        <v>47.450000000030741</v>
      </c>
      <c r="CK110" s="2">
        <f t="shared" si="253"/>
        <v>141775.31666666671</v>
      </c>
      <c r="CL110" s="2">
        <f t="shared" si="194"/>
        <v>0</v>
      </c>
      <c r="CM110" s="2">
        <f t="shared" si="216"/>
        <v>987.5513900000002</v>
      </c>
      <c r="CN110" s="2">
        <f t="shared" si="195"/>
        <v>140787.7652766667</v>
      </c>
      <c r="CO110" s="2">
        <f t="shared" si="217"/>
        <v>2750</v>
      </c>
      <c r="CP110" s="2">
        <f t="shared" si="196"/>
        <v>7414.8101666666753</v>
      </c>
      <c r="CQ110" s="2">
        <f t="shared" si="197"/>
        <v>130622.95511000002</v>
      </c>
      <c r="CS110" s="5">
        <f t="shared" si="218"/>
        <v>1000</v>
      </c>
      <c r="CT110" s="2">
        <f t="shared" si="219"/>
        <v>100000</v>
      </c>
      <c r="CU110" s="2">
        <f t="shared" si="220"/>
        <v>100000</v>
      </c>
      <c r="CV110" s="2">
        <f t="shared" si="221"/>
        <v>141987.73656011029</v>
      </c>
      <c r="CW110" s="8">
        <f t="shared" si="198"/>
        <v>5.1000000000000004E-2</v>
      </c>
      <c r="CX110" s="2">
        <f t="shared" si="199"/>
        <v>146815.31960315406</v>
      </c>
      <c r="CY110" s="2" t="str">
        <f t="shared" si="200"/>
        <v>nie</v>
      </c>
      <c r="CZ110" s="2">
        <f t="shared" si="222"/>
        <v>0</v>
      </c>
      <c r="DA110" s="2">
        <f t="shared" si="223"/>
        <v>0</v>
      </c>
      <c r="DB110" s="2">
        <f t="shared" si="224"/>
        <v>146815.31960315406</v>
      </c>
      <c r="DC110" s="2">
        <f t="shared" si="201"/>
        <v>0</v>
      </c>
      <c r="DD110" s="2">
        <f t="shared" si="225"/>
        <v>1008.3460790318785</v>
      </c>
      <c r="DE110" s="2">
        <f t="shared" si="226"/>
        <v>145806.97352412218</v>
      </c>
      <c r="DF110" s="2">
        <f t="shared" si="202"/>
        <v>3000</v>
      </c>
      <c r="DG110" s="2">
        <f t="shared" si="203"/>
        <v>8324.9107245992709</v>
      </c>
      <c r="DH110" s="2">
        <f t="shared" si="227"/>
        <v>134482.06279952292</v>
      </c>
    </row>
    <row r="111" spans="2:112">
      <c r="B111" s="232"/>
      <c r="C111" s="1">
        <f t="shared" si="256"/>
        <v>74</v>
      </c>
      <c r="D111" s="2">
        <f t="shared" si="259"/>
        <v>128632.82330169562</v>
      </c>
      <c r="E111" s="2">
        <f t="shared" si="260"/>
        <v>122272.61189812708</v>
      </c>
      <c r="F111" s="2">
        <f t="shared" si="261"/>
        <v>131655.84519500003</v>
      </c>
      <c r="G111" s="2">
        <f t="shared" si="262"/>
        <v>123457.41369500002</v>
      </c>
      <c r="H111" s="2">
        <f t="shared" si="263"/>
        <v>135393.92256331671</v>
      </c>
      <c r="I111" s="2">
        <f t="shared" si="264"/>
        <v>126077.16695821154</v>
      </c>
      <c r="J111" s="2">
        <f t="shared" si="257"/>
        <v>119674.08122329747</v>
      </c>
      <c r="K111" s="2">
        <f t="shared" si="258"/>
        <v>120723.01405123759</v>
      </c>
      <c r="W111" s="1">
        <f t="shared" si="204"/>
        <v>93</v>
      </c>
      <c r="X111" s="2">
        <f t="shared" si="177"/>
        <v>126704.60820019364</v>
      </c>
      <c r="Y111" s="8">
        <f t="shared" si="230"/>
        <v>3.9100000000000003E-2</v>
      </c>
      <c r="Z111" s="5">
        <f t="shared" si="205"/>
        <v>1284</v>
      </c>
      <c r="AA111" s="2">
        <f t="shared" si="206"/>
        <v>128271.6</v>
      </c>
      <c r="AB111" s="2">
        <f t="shared" si="207"/>
        <v>128400</v>
      </c>
      <c r="AC111" s="2">
        <f t="shared" si="208"/>
        <v>134049.60000000001</v>
      </c>
      <c r="AD111" s="8">
        <f t="shared" si="178"/>
        <v>4.3999999999999997E-2</v>
      </c>
      <c r="AE111" s="2">
        <f t="shared" si="179"/>
        <v>138473.23679999998</v>
      </c>
      <c r="AF111" s="2" t="str">
        <f t="shared" si="180"/>
        <v>nie</v>
      </c>
      <c r="AG111" s="2">
        <f t="shared" si="181"/>
        <v>1284</v>
      </c>
      <c r="AH111" s="1">
        <f t="shared" si="233"/>
        <v>1</v>
      </c>
      <c r="AI111" s="1">
        <f t="shared" si="265"/>
        <v>1</v>
      </c>
      <c r="AJ111" s="1">
        <f t="shared" si="228"/>
        <v>0</v>
      </c>
      <c r="AK111" s="1">
        <f t="shared" si="254"/>
        <v>0</v>
      </c>
      <c r="AL111" s="2">
        <f t="shared" si="243"/>
        <v>100</v>
      </c>
      <c r="AM111" s="8">
        <f t="shared" si="234"/>
        <v>4.3999999999999997E-2</v>
      </c>
      <c r="AN111" s="2">
        <f t="shared" si="244"/>
        <v>103.3</v>
      </c>
      <c r="AO111" s="2">
        <f t="shared" si="235"/>
        <v>1</v>
      </c>
      <c r="AP111" s="2">
        <f t="shared" si="272"/>
        <v>100</v>
      </c>
      <c r="AQ111" s="8">
        <f t="shared" si="266"/>
        <v>3.9100000000000003E-2</v>
      </c>
      <c r="AR111" s="2">
        <f t="shared" si="267"/>
        <v>102.9325</v>
      </c>
      <c r="AS111" s="2">
        <f t="shared" si="268"/>
        <v>1</v>
      </c>
      <c r="AT111" s="2">
        <f t="shared" si="209"/>
        <v>0</v>
      </c>
      <c r="AU111" s="2">
        <f t="shared" si="245"/>
        <v>0</v>
      </c>
      <c r="AV111" s="2">
        <f t="shared" si="236"/>
        <v>19.547738079976995</v>
      </c>
      <c r="AW111" s="1">
        <f t="shared" si="231"/>
        <v>0</v>
      </c>
      <c r="AX111" s="2">
        <f t="shared" si="182"/>
        <v>19.547738079976995</v>
      </c>
      <c r="AY111" s="1">
        <f t="shared" si="237"/>
        <v>0</v>
      </c>
      <c r="AZ111" s="2">
        <f t="shared" si="210"/>
        <v>19.547738079976995</v>
      </c>
      <c r="BA111" s="2">
        <f t="shared" si="246"/>
        <v>138699.01703807994</v>
      </c>
      <c r="BB111" s="2">
        <f t="shared" si="183"/>
        <v>0</v>
      </c>
      <c r="BC111" s="2">
        <f t="shared" si="211"/>
        <v>972.24383222958386</v>
      </c>
      <c r="BD111" s="2">
        <f t="shared" si="184"/>
        <v>137726.77320585036</v>
      </c>
      <c r="BE111" s="2">
        <f t="shared" si="212"/>
        <v>1286</v>
      </c>
      <c r="BF111" s="2">
        <f t="shared" si="185"/>
        <v>7108.4732372351882</v>
      </c>
      <c r="BG111" s="2">
        <f t="shared" si="186"/>
        <v>129332.29996861517</v>
      </c>
      <c r="BI111" s="8">
        <f t="shared" si="238"/>
        <v>3.1E-2</v>
      </c>
      <c r="BJ111" s="5">
        <f t="shared" si="213"/>
        <v>1047</v>
      </c>
      <c r="BK111" s="2">
        <f t="shared" si="214"/>
        <v>104595.3</v>
      </c>
      <c r="BL111" s="2">
        <f t="shared" si="215"/>
        <v>104700</v>
      </c>
      <c r="BM111" s="2">
        <f t="shared" si="187"/>
        <v>104700</v>
      </c>
      <c r="BN111" s="8">
        <f t="shared" si="188"/>
        <v>4.5999999999999999E-2</v>
      </c>
      <c r="BO111" s="2">
        <f t="shared" si="189"/>
        <v>108312.15</v>
      </c>
      <c r="BP111" s="2" t="str">
        <f t="shared" si="190"/>
        <v>nie</v>
      </c>
      <c r="BQ111" s="2">
        <f t="shared" si="191"/>
        <v>2094</v>
      </c>
      <c r="BR111" s="1">
        <f t="shared" si="239"/>
        <v>112</v>
      </c>
      <c r="BS111" s="1">
        <f t="shared" si="269"/>
        <v>106</v>
      </c>
      <c r="BT111" s="1">
        <f t="shared" si="229"/>
        <v>103</v>
      </c>
      <c r="BU111" s="1">
        <f t="shared" si="255"/>
        <v>7</v>
      </c>
      <c r="BV111" s="2">
        <f t="shared" si="247"/>
        <v>11200</v>
      </c>
      <c r="BW111" s="8">
        <f t="shared" si="240"/>
        <v>4.7500000000000001E-2</v>
      </c>
      <c r="BX111" s="2">
        <f t="shared" si="248"/>
        <v>11599</v>
      </c>
      <c r="BY111" s="2">
        <f t="shared" si="241"/>
        <v>224</v>
      </c>
      <c r="BZ111" s="2">
        <f t="shared" si="273"/>
        <v>21600</v>
      </c>
      <c r="CA111" s="8">
        <f t="shared" si="270"/>
        <v>4.5999999999999999E-2</v>
      </c>
      <c r="CB111" s="2">
        <f t="shared" si="249"/>
        <v>22345.200000000001</v>
      </c>
      <c r="CC111" s="2">
        <f t="shared" si="271"/>
        <v>432</v>
      </c>
      <c r="CD111" s="2">
        <f t="shared" si="192"/>
        <v>0</v>
      </c>
      <c r="CE111" s="2">
        <f t="shared" si="250"/>
        <v>0</v>
      </c>
      <c r="CF111" s="2">
        <f t="shared" si="251"/>
        <v>47.450000000030741</v>
      </c>
      <c r="CG111" s="1">
        <f t="shared" si="232"/>
        <v>0</v>
      </c>
      <c r="CH111" s="2">
        <f t="shared" si="193"/>
        <v>47.450000000030741</v>
      </c>
      <c r="CI111" s="1">
        <f t="shared" si="242"/>
        <v>0</v>
      </c>
      <c r="CJ111" s="2">
        <f t="shared" si="252"/>
        <v>47.450000000030741</v>
      </c>
      <c r="CK111" s="2">
        <f t="shared" si="253"/>
        <v>142303.80000000005</v>
      </c>
      <c r="CL111" s="2">
        <f t="shared" si="194"/>
        <v>0</v>
      </c>
      <c r="CM111" s="2">
        <f t="shared" si="216"/>
        <v>987.5513900000002</v>
      </c>
      <c r="CN111" s="2">
        <f t="shared" si="195"/>
        <v>141316.24861000004</v>
      </c>
      <c r="CO111" s="2">
        <f t="shared" si="217"/>
        <v>2750</v>
      </c>
      <c r="CP111" s="2">
        <f t="shared" si="196"/>
        <v>7515.2220000000088</v>
      </c>
      <c r="CQ111" s="2">
        <f t="shared" si="197"/>
        <v>131051.02661000003</v>
      </c>
      <c r="CS111" s="5">
        <f t="shared" si="218"/>
        <v>1000</v>
      </c>
      <c r="CT111" s="2">
        <f t="shared" si="219"/>
        <v>100000</v>
      </c>
      <c r="CU111" s="2">
        <f t="shared" si="220"/>
        <v>100000</v>
      </c>
      <c r="CV111" s="2">
        <f t="shared" si="221"/>
        <v>141987.73656011029</v>
      </c>
      <c r="CW111" s="8">
        <f t="shared" si="198"/>
        <v>5.1000000000000004E-2</v>
      </c>
      <c r="CX111" s="2">
        <f t="shared" si="199"/>
        <v>147418.7674835345</v>
      </c>
      <c r="CY111" s="2" t="str">
        <f t="shared" si="200"/>
        <v>nie</v>
      </c>
      <c r="CZ111" s="2">
        <f t="shared" si="222"/>
        <v>0</v>
      </c>
      <c r="DA111" s="2">
        <f t="shared" si="223"/>
        <v>0</v>
      </c>
      <c r="DB111" s="2">
        <f t="shared" si="224"/>
        <v>147418.7674835345</v>
      </c>
      <c r="DC111" s="2">
        <f t="shared" si="201"/>
        <v>0</v>
      </c>
      <c r="DD111" s="2">
        <f t="shared" si="225"/>
        <v>1008.3460790318785</v>
      </c>
      <c r="DE111" s="2">
        <f t="shared" si="226"/>
        <v>146410.42140450262</v>
      </c>
      <c r="DF111" s="2">
        <f t="shared" si="202"/>
        <v>3000</v>
      </c>
      <c r="DG111" s="2">
        <f t="shared" si="203"/>
        <v>8439.5658218715544</v>
      </c>
      <c r="DH111" s="2">
        <f t="shared" si="227"/>
        <v>134970.85558263108</v>
      </c>
    </row>
    <row r="112" spans="2:112">
      <c r="B112" s="232"/>
      <c r="C112" s="1">
        <f t="shared" si="256"/>
        <v>75</v>
      </c>
      <c r="D112" s="2">
        <f t="shared" si="259"/>
        <v>129103.98996836228</v>
      </c>
      <c r="E112" s="2">
        <f t="shared" si="260"/>
        <v>122376.69689812708</v>
      </c>
      <c r="F112" s="2">
        <f t="shared" si="261"/>
        <v>132160.87019500002</v>
      </c>
      <c r="G112" s="2">
        <f t="shared" si="262"/>
        <v>123832.49769500001</v>
      </c>
      <c r="H112" s="2">
        <f t="shared" si="263"/>
        <v>135968.0880061145</v>
      </c>
      <c r="I112" s="2">
        <f t="shared" si="264"/>
        <v>126542.24096687775</v>
      </c>
      <c r="J112" s="2">
        <f t="shared" si="257"/>
        <v>119964.88924067008</v>
      </c>
      <c r="K112" s="2">
        <f t="shared" si="258"/>
        <v>121033.27880298591</v>
      </c>
      <c r="W112" s="1">
        <f t="shared" si="204"/>
        <v>94</v>
      </c>
      <c r="X112" s="2">
        <f t="shared" si="177"/>
        <v>127024.49115924617</v>
      </c>
      <c r="Y112" s="8">
        <f t="shared" si="230"/>
        <v>3.9100000000000003E-2</v>
      </c>
      <c r="Z112" s="5">
        <f t="shared" si="205"/>
        <v>1284</v>
      </c>
      <c r="AA112" s="2">
        <f t="shared" si="206"/>
        <v>128271.6</v>
      </c>
      <c r="AB112" s="2">
        <f t="shared" si="207"/>
        <v>128400</v>
      </c>
      <c r="AC112" s="2">
        <f t="shared" si="208"/>
        <v>134049.60000000001</v>
      </c>
      <c r="AD112" s="8">
        <f t="shared" si="178"/>
        <v>4.3999999999999997E-2</v>
      </c>
      <c r="AE112" s="2">
        <f t="shared" si="179"/>
        <v>138964.75200000001</v>
      </c>
      <c r="AF112" s="2" t="str">
        <f t="shared" si="180"/>
        <v>nie</v>
      </c>
      <c r="AG112" s="2">
        <f t="shared" si="181"/>
        <v>1284</v>
      </c>
      <c r="AH112" s="1">
        <f t="shared" si="233"/>
        <v>1</v>
      </c>
      <c r="AI112" s="1">
        <f t="shared" si="265"/>
        <v>1</v>
      </c>
      <c r="AJ112" s="1">
        <f t="shared" si="228"/>
        <v>0</v>
      </c>
      <c r="AK112" s="1">
        <f t="shared" si="254"/>
        <v>0</v>
      </c>
      <c r="AL112" s="2">
        <f t="shared" si="243"/>
        <v>100</v>
      </c>
      <c r="AM112" s="8">
        <f t="shared" si="234"/>
        <v>4.3999999999999997E-2</v>
      </c>
      <c r="AN112" s="2">
        <f t="shared" si="244"/>
        <v>103.66666666666666</v>
      </c>
      <c r="AO112" s="2">
        <f t="shared" si="235"/>
        <v>1</v>
      </c>
      <c r="AP112" s="2">
        <f t="shared" si="272"/>
        <v>100</v>
      </c>
      <c r="AQ112" s="8">
        <f t="shared" si="266"/>
        <v>3.9100000000000003E-2</v>
      </c>
      <c r="AR112" s="2">
        <f t="shared" si="267"/>
        <v>103.25833333333334</v>
      </c>
      <c r="AS112" s="2">
        <f t="shared" si="268"/>
        <v>1</v>
      </c>
      <c r="AT112" s="2">
        <f t="shared" si="209"/>
        <v>0</v>
      </c>
      <c r="AU112" s="2">
        <f t="shared" si="245"/>
        <v>0</v>
      </c>
      <c r="AV112" s="2">
        <f t="shared" si="236"/>
        <v>19.547738079976995</v>
      </c>
      <c r="AW112" s="1">
        <f t="shared" si="231"/>
        <v>0</v>
      </c>
      <c r="AX112" s="2">
        <f t="shared" si="182"/>
        <v>19.547738079976995</v>
      </c>
      <c r="AY112" s="1">
        <f t="shared" si="237"/>
        <v>0</v>
      </c>
      <c r="AZ112" s="2">
        <f t="shared" si="210"/>
        <v>19.547738079976995</v>
      </c>
      <c r="BA112" s="2">
        <f t="shared" si="246"/>
        <v>139191.22473807997</v>
      </c>
      <c r="BB112" s="2">
        <f t="shared" si="183"/>
        <v>0</v>
      </c>
      <c r="BC112" s="2">
        <f t="shared" si="211"/>
        <v>972.24383222958386</v>
      </c>
      <c r="BD112" s="2">
        <f t="shared" si="184"/>
        <v>138218.98090585039</v>
      </c>
      <c r="BE112" s="2">
        <f t="shared" si="212"/>
        <v>1286</v>
      </c>
      <c r="BF112" s="2">
        <f t="shared" si="185"/>
        <v>7201.9927002351942</v>
      </c>
      <c r="BG112" s="2">
        <f t="shared" si="186"/>
        <v>129730.9882056152</v>
      </c>
      <c r="BI112" s="8">
        <f t="shared" si="238"/>
        <v>3.1E-2</v>
      </c>
      <c r="BJ112" s="5">
        <f t="shared" si="213"/>
        <v>1047</v>
      </c>
      <c r="BK112" s="2">
        <f t="shared" si="214"/>
        <v>104595.3</v>
      </c>
      <c r="BL112" s="2">
        <f t="shared" si="215"/>
        <v>104700</v>
      </c>
      <c r="BM112" s="2">
        <f t="shared" si="187"/>
        <v>104700</v>
      </c>
      <c r="BN112" s="8">
        <f t="shared" si="188"/>
        <v>4.5999999999999999E-2</v>
      </c>
      <c r="BO112" s="2">
        <f t="shared" si="189"/>
        <v>108713.5</v>
      </c>
      <c r="BP112" s="2" t="str">
        <f t="shared" si="190"/>
        <v>nie</v>
      </c>
      <c r="BQ112" s="2">
        <f t="shared" si="191"/>
        <v>2094</v>
      </c>
      <c r="BR112" s="1">
        <f t="shared" si="239"/>
        <v>112</v>
      </c>
      <c r="BS112" s="1">
        <f t="shared" si="269"/>
        <v>106</v>
      </c>
      <c r="BT112" s="1">
        <f t="shared" si="229"/>
        <v>103</v>
      </c>
      <c r="BU112" s="1">
        <f t="shared" si="255"/>
        <v>7</v>
      </c>
      <c r="BV112" s="2">
        <f t="shared" si="247"/>
        <v>11200</v>
      </c>
      <c r="BW112" s="8">
        <f t="shared" si="240"/>
        <v>4.7500000000000001E-2</v>
      </c>
      <c r="BX112" s="2">
        <f t="shared" si="248"/>
        <v>11643.333333333332</v>
      </c>
      <c r="BY112" s="2">
        <f t="shared" si="241"/>
        <v>224</v>
      </c>
      <c r="BZ112" s="2">
        <f t="shared" si="273"/>
        <v>21600</v>
      </c>
      <c r="CA112" s="8">
        <f t="shared" si="270"/>
        <v>4.5999999999999999E-2</v>
      </c>
      <c r="CB112" s="2">
        <f t="shared" si="249"/>
        <v>22428</v>
      </c>
      <c r="CC112" s="2">
        <f t="shared" si="271"/>
        <v>432</v>
      </c>
      <c r="CD112" s="2">
        <f t="shared" si="192"/>
        <v>0</v>
      </c>
      <c r="CE112" s="2">
        <f t="shared" si="250"/>
        <v>0</v>
      </c>
      <c r="CF112" s="2">
        <f t="shared" si="251"/>
        <v>47.450000000030741</v>
      </c>
      <c r="CG112" s="1">
        <f t="shared" si="232"/>
        <v>0</v>
      </c>
      <c r="CH112" s="2">
        <f t="shared" si="193"/>
        <v>47.450000000030741</v>
      </c>
      <c r="CI112" s="1">
        <f t="shared" si="242"/>
        <v>0</v>
      </c>
      <c r="CJ112" s="2">
        <f t="shared" si="252"/>
        <v>47.450000000030741</v>
      </c>
      <c r="CK112" s="2">
        <f t="shared" si="253"/>
        <v>142832.28333333335</v>
      </c>
      <c r="CL112" s="2">
        <f t="shared" si="194"/>
        <v>0</v>
      </c>
      <c r="CM112" s="2">
        <f t="shared" si="216"/>
        <v>987.5513900000002</v>
      </c>
      <c r="CN112" s="2">
        <f t="shared" si="195"/>
        <v>141844.73194333335</v>
      </c>
      <c r="CO112" s="2">
        <f t="shared" si="217"/>
        <v>2750</v>
      </c>
      <c r="CP112" s="2">
        <f t="shared" si="196"/>
        <v>7615.6338333333379</v>
      </c>
      <c r="CQ112" s="2">
        <f t="shared" si="197"/>
        <v>131479.09811000002</v>
      </c>
      <c r="CS112" s="5">
        <f t="shared" si="218"/>
        <v>1000</v>
      </c>
      <c r="CT112" s="2">
        <f t="shared" si="219"/>
        <v>100000</v>
      </c>
      <c r="CU112" s="2">
        <f t="shared" si="220"/>
        <v>100000</v>
      </c>
      <c r="CV112" s="2">
        <f t="shared" si="221"/>
        <v>141987.73656011029</v>
      </c>
      <c r="CW112" s="8">
        <f t="shared" si="198"/>
        <v>5.1000000000000004E-2</v>
      </c>
      <c r="CX112" s="2">
        <f t="shared" si="199"/>
        <v>148022.21536391499</v>
      </c>
      <c r="CY112" s="2" t="str">
        <f t="shared" si="200"/>
        <v>nie</v>
      </c>
      <c r="CZ112" s="2">
        <f t="shared" si="222"/>
        <v>0</v>
      </c>
      <c r="DA112" s="2">
        <f t="shared" si="223"/>
        <v>0</v>
      </c>
      <c r="DB112" s="2">
        <f t="shared" si="224"/>
        <v>148022.21536391499</v>
      </c>
      <c r="DC112" s="2">
        <f t="shared" si="201"/>
        <v>0</v>
      </c>
      <c r="DD112" s="2">
        <f t="shared" si="225"/>
        <v>1008.3460790318785</v>
      </c>
      <c r="DE112" s="2">
        <f t="shared" si="226"/>
        <v>147013.86928488311</v>
      </c>
      <c r="DF112" s="2">
        <f t="shared" si="202"/>
        <v>3000</v>
      </c>
      <c r="DG112" s="2">
        <f t="shared" si="203"/>
        <v>8554.2209191438487</v>
      </c>
      <c r="DH112" s="2">
        <f t="shared" si="227"/>
        <v>135459.64836573927</v>
      </c>
    </row>
    <row r="113" spans="2:112">
      <c r="B113" s="232"/>
      <c r="C113" s="1">
        <f t="shared" si="256"/>
        <v>76</v>
      </c>
      <c r="D113" s="2">
        <f t="shared" si="259"/>
        <v>129575.15663502894</v>
      </c>
      <c r="E113" s="2">
        <f t="shared" si="260"/>
        <v>122758.34189812708</v>
      </c>
      <c r="F113" s="2">
        <f t="shared" si="261"/>
        <v>132665.89519500002</v>
      </c>
      <c r="G113" s="2">
        <f t="shared" si="262"/>
        <v>124207.58169500002</v>
      </c>
      <c r="H113" s="2">
        <f t="shared" si="263"/>
        <v>136542.25344891226</v>
      </c>
      <c r="I113" s="2">
        <f t="shared" si="264"/>
        <v>127007.31497554394</v>
      </c>
      <c r="J113" s="2">
        <f t="shared" si="257"/>
        <v>120256.40392152489</v>
      </c>
      <c r="K113" s="2">
        <f t="shared" si="258"/>
        <v>121343.54355473425</v>
      </c>
      <c r="W113" s="1">
        <f t="shared" si="204"/>
        <v>95</v>
      </c>
      <c r="X113" s="2">
        <f t="shared" si="177"/>
        <v>127344.37411829871</v>
      </c>
      <c r="Y113" s="8">
        <f t="shared" si="230"/>
        <v>3.9100000000000003E-2</v>
      </c>
      <c r="Z113" s="5">
        <f t="shared" si="205"/>
        <v>1284</v>
      </c>
      <c r="AA113" s="2">
        <f t="shared" si="206"/>
        <v>128271.6</v>
      </c>
      <c r="AB113" s="2">
        <f t="shared" si="207"/>
        <v>128400</v>
      </c>
      <c r="AC113" s="2">
        <f t="shared" si="208"/>
        <v>134049.60000000001</v>
      </c>
      <c r="AD113" s="8">
        <f t="shared" si="178"/>
        <v>4.3999999999999997E-2</v>
      </c>
      <c r="AE113" s="2">
        <f t="shared" si="179"/>
        <v>139456.2672</v>
      </c>
      <c r="AF113" s="2" t="str">
        <f t="shared" si="180"/>
        <v>nie</v>
      </c>
      <c r="AG113" s="2">
        <f t="shared" si="181"/>
        <v>1284</v>
      </c>
      <c r="AH113" s="1">
        <f t="shared" si="233"/>
        <v>1</v>
      </c>
      <c r="AI113" s="1">
        <f t="shared" si="265"/>
        <v>1</v>
      </c>
      <c r="AJ113" s="1">
        <f t="shared" si="228"/>
        <v>0</v>
      </c>
      <c r="AK113" s="1">
        <f t="shared" si="254"/>
        <v>0</v>
      </c>
      <c r="AL113" s="2">
        <f t="shared" si="243"/>
        <v>100</v>
      </c>
      <c r="AM113" s="8">
        <f t="shared" si="234"/>
        <v>4.3999999999999997E-2</v>
      </c>
      <c r="AN113" s="2">
        <f t="shared" si="244"/>
        <v>104.03333333333333</v>
      </c>
      <c r="AO113" s="2">
        <f t="shared" si="235"/>
        <v>1</v>
      </c>
      <c r="AP113" s="2">
        <f t="shared" si="272"/>
        <v>100</v>
      </c>
      <c r="AQ113" s="8">
        <f t="shared" si="266"/>
        <v>3.9100000000000003E-2</v>
      </c>
      <c r="AR113" s="2">
        <f t="shared" si="267"/>
        <v>103.58416666666668</v>
      </c>
      <c r="AS113" s="2">
        <f t="shared" si="268"/>
        <v>1</v>
      </c>
      <c r="AT113" s="2">
        <f t="shared" si="209"/>
        <v>0</v>
      </c>
      <c r="AU113" s="2">
        <f t="shared" si="245"/>
        <v>0</v>
      </c>
      <c r="AV113" s="2">
        <f t="shared" si="236"/>
        <v>19.547738079976995</v>
      </c>
      <c r="AW113" s="1">
        <f t="shared" si="231"/>
        <v>0</v>
      </c>
      <c r="AX113" s="2">
        <f t="shared" si="182"/>
        <v>19.547738079976995</v>
      </c>
      <c r="AY113" s="1">
        <f t="shared" si="237"/>
        <v>0</v>
      </c>
      <c r="AZ113" s="2">
        <f t="shared" si="210"/>
        <v>19.547738079976995</v>
      </c>
      <c r="BA113" s="2">
        <f t="shared" si="246"/>
        <v>139683.43243807997</v>
      </c>
      <c r="BB113" s="2">
        <f t="shared" si="183"/>
        <v>0</v>
      </c>
      <c r="BC113" s="2">
        <f t="shared" si="211"/>
        <v>972.24383222958386</v>
      </c>
      <c r="BD113" s="2">
        <f t="shared" si="184"/>
        <v>138711.18860585039</v>
      </c>
      <c r="BE113" s="2">
        <f t="shared" si="212"/>
        <v>1286</v>
      </c>
      <c r="BF113" s="2">
        <f t="shared" si="185"/>
        <v>7295.5121632351938</v>
      </c>
      <c r="BG113" s="2">
        <f t="shared" si="186"/>
        <v>130129.67644261519</v>
      </c>
      <c r="BI113" s="8">
        <f t="shared" si="238"/>
        <v>3.1E-2</v>
      </c>
      <c r="BJ113" s="5">
        <f t="shared" si="213"/>
        <v>1047</v>
      </c>
      <c r="BK113" s="2">
        <f t="shared" si="214"/>
        <v>104595.3</v>
      </c>
      <c r="BL113" s="2">
        <f t="shared" si="215"/>
        <v>104700</v>
      </c>
      <c r="BM113" s="2">
        <f t="shared" si="187"/>
        <v>104700</v>
      </c>
      <c r="BN113" s="8">
        <f t="shared" si="188"/>
        <v>4.5999999999999999E-2</v>
      </c>
      <c r="BO113" s="2">
        <f t="shared" si="189"/>
        <v>109114.85</v>
      </c>
      <c r="BP113" s="2" t="str">
        <f t="shared" si="190"/>
        <v>nie</v>
      </c>
      <c r="BQ113" s="2">
        <f t="shared" si="191"/>
        <v>2094</v>
      </c>
      <c r="BR113" s="1">
        <f t="shared" si="239"/>
        <v>112</v>
      </c>
      <c r="BS113" s="1">
        <f t="shared" si="269"/>
        <v>106</v>
      </c>
      <c r="BT113" s="1">
        <f t="shared" si="229"/>
        <v>103</v>
      </c>
      <c r="BU113" s="1">
        <f t="shared" si="255"/>
        <v>7</v>
      </c>
      <c r="BV113" s="2">
        <f t="shared" si="247"/>
        <v>11200</v>
      </c>
      <c r="BW113" s="8">
        <f t="shared" si="240"/>
        <v>4.7500000000000001E-2</v>
      </c>
      <c r="BX113" s="2">
        <f t="shared" si="248"/>
        <v>11687.666666666666</v>
      </c>
      <c r="BY113" s="2">
        <f t="shared" si="241"/>
        <v>224</v>
      </c>
      <c r="BZ113" s="2">
        <f t="shared" si="273"/>
        <v>21600</v>
      </c>
      <c r="CA113" s="8">
        <f t="shared" si="270"/>
        <v>4.5999999999999999E-2</v>
      </c>
      <c r="CB113" s="2">
        <f t="shared" si="249"/>
        <v>22510.799999999999</v>
      </c>
      <c r="CC113" s="2">
        <f t="shared" si="271"/>
        <v>432</v>
      </c>
      <c r="CD113" s="2">
        <f t="shared" si="192"/>
        <v>0</v>
      </c>
      <c r="CE113" s="2">
        <f t="shared" si="250"/>
        <v>0</v>
      </c>
      <c r="CF113" s="2">
        <f t="shared" si="251"/>
        <v>47.450000000030741</v>
      </c>
      <c r="CG113" s="1">
        <f t="shared" si="232"/>
        <v>0</v>
      </c>
      <c r="CH113" s="2">
        <f t="shared" si="193"/>
        <v>47.450000000030741</v>
      </c>
      <c r="CI113" s="1">
        <f t="shared" si="242"/>
        <v>0</v>
      </c>
      <c r="CJ113" s="2">
        <f t="shared" si="252"/>
        <v>47.450000000030741</v>
      </c>
      <c r="CK113" s="2">
        <f t="shared" si="253"/>
        <v>143360.76666666672</v>
      </c>
      <c r="CL113" s="2">
        <f t="shared" si="194"/>
        <v>0</v>
      </c>
      <c r="CM113" s="2">
        <f t="shared" si="216"/>
        <v>987.5513900000002</v>
      </c>
      <c r="CN113" s="2">
        <f t="shared" si="195"/>
        <v>142373.21527666671</v>
      </c>
      <c r="CO113" s="2">
        <f t="shared" si="217"/>
        <v>2750</v>
      </c>
      <c r="CP113" s="2">
        <f t="shared" si="196"/>
        <v>7716.0456666666769</v>
      </c>
      <c r="CQ113" s="2">
        <f t="shared" si="197"/>
        <v>131907.16961000004</v>
      </c>
      <c r="CS113" s="5">
        <f t="shared" si="218"/>
        <v>1000</v>
      </c>
      <c r="CT113" s="2">
        <f t="shared" si="219"/>
        <v>100000</v>
      </c>
      <c r="CU113" s="2">
        <f t="shared" si="220"/>
        <v>100000</v>
      </c>
      <c r="CV113" s="2">
        <f t="shared" si="221"/>
        <v>141987.73656011029</v>
      </c>
      <c r="CW113" s="8">
        <f t="shared" si="198"/>
        <v>5.1000000000000004E-2</v>
      </c>
      <c r="CX113" s="2">
        <f t="shared" si="199"/>
        <v>148625.66324429546</v>
      </c>
      <c r="CY113" s="2" t="str">
        <f t="shared" si="200"/>
        <v>nie</v>
      </c>
      <c r="CZ113" s="2">
        <f t="shared" si="222"/>
        <v>0</v>
      </c>
      <c r="DA113" s="2">
        <f t="shared" si="223"/>
        <v>0</v>
      </c>
      <c r="DB113" s="2">
        <f t="shared" si="224"/>
        <v>148625.66324429546</v>
      </c>
      <c r="DC113" s="2">
        <f t="shared" si="201"/>
        <v>0</v>
      </c>
      <c r="DD113" s="2">
        <f t="shared" si="225"/>
        <v>1008.3460790318785</v>
      </c>
      <c r="DE113" s="2">
        <f t="shared" si="226"/>
        <v>147617.31716526358</v>
      </c>
      <c r="DF113" s="2">
        <f t="shared" si="202"/>
        <v>3000</v>
      </c>
      <c r="DG113" s="2">
        <f t="shared" si="203"/>
        <v>8668.8760164161376</v>
      </c>
      <c r="DH113" s="2">
        <f t="shared" si="227"/>
        <v>135948.44114884743</v>
      </c>
    </row>
    <row r="114" spans="2:112">
      <c r="B114" s="232"/>
      <c r="C114" s="1">
        <f t="shared" si="256"/>
        <v>77</v>
      </c>
      <c r="D114" s="2">
        <f t="shared" si="259"/>
        <v>130046.32330169561</v>
      </c>
      <c r="E114" s="2">
        <f t="shared" si="260"/>
        <v>123139.98689812708</v>
      </c>
      <c r="F114" s="2">
        <f t="shared" si="261"/>
        <v>133170.92019500001</v>
      </c>
      <c r="G114" s="2">
        <f t="shared" si="262"/>
        <v>124582.665695</v>
      </c>
      <c r="H114" s="2">
        <f t="shared" si="263"/>
        <v>137116.41889171005</v>
      </c>
      <c r="I114" s="2">
        <f t="shared" si="264"/>
        <v>127472.38898421015</v>
      </c>
      <c r="J114" s="2">
        <f t="shared" si="257"/>
        <v>120548.62698305419</v>
      </c>
      <c r="K114" s="2">
        <f t="shared" si="258"/>
        <v>121653.80830648258</v>
      </c>
      <c r="W114" s="1">
        <f t="shared" si="204"/>
        <v>96</v>
      </c>
      <c r="X114" s="2">
        <f t="shared" si="177"/>
        <v>127664.25707735121</v>
      </c>
      <c r="Y114" s="8">
        <f t="shared" si="230"/>
        <v>3.9100000000000003E-2</v>
      </c>
      <c r="Z114" s="5">
        <f t="shared" si="205"/>
        <v>1284</v>
      </c>
      <c r="AA114" s="2">
        <f t="shared" si="206"/>
        <v>128271.6</v>
      </c>
      <c r="AB114" s="2">
        <f t="shared" si="207"/>
        <v>128400</v>
      </c>
      <c r="AC114" s="2">
        <f t="shared" si="208"/>
        <v>134049.60000000001</v>
      </c>
      <c r="AD114" s="8">
        <f t="shared" si="178"/>
        <v>4.3999999999999997E-2</v>
      </c>
      <c r="AE114" s="2">
        <f t="shared" si="179"/>
        <v>139947.78240000003</v>
      </c>
      <c r="AF114" s="2" t="str">
        <f t="shared" si="180"/>
        <v>nie</v>
      </c>
      <c r="AG114" s="2">
        <f t="shared" si="181"/>
        <v>1284</v>
      </c>
      <c r="AH114" s="1">
        <f t="shared" si="233"/>
        <v>1</v>
      </c>
      <c r="AI114" s="1">
        <f t="shared" si="265"/>
        <v>1</v>
      </c>
      <c r="AJ114" s="1">
        <f t="shared" si="228"/>
        <v>0</v>
      </c>
      <c r="AK114" s="1">
        <f t="shared" si="254"/>
        <v>0</v>
      </c>
      <c r="AL114" s="2">
        <f t="shared" si="243"/>
        <v>100</v>
      </c>
      <c r="AM114" s="8">
        <f t="shared" si="234"/>
        <v>4.3999999999999997E-2</v>
      </c>
      <c r="AN114" s="2">
        <f t="shared" si="244"/>
        <v>104.4</v>
      </c>
      <c r="AO114" s="2">
        <f t="shared" si="235"/>
        <v>1</v>
      </c>
      <c r="AP114" s="2">
        <f t="shared" si="272"/>
        <v>100</v>
      </c>
      <c r="AQ114" s="8">
        <f t="shared" si="266"/>
        <v>3.9100000000000003E-2</v>
      </c>
      <c r="AR114" s="2">
        <f t="shared" si="267"/>
        <v>103.91</v>
      </c>
      <c r="AS114" s="2">
        <f t="shared" si="268"/>
        <v>1</v>
      </c>
      <c r="AT114" s="2">
        <f t="shared" si="209"/>
        <v>0</v>
      </c>
      <c r="AU114" s="2">
        <f t="shared" si="245"/>
        <v>8.3100000000000023</v>
      </c>
      <c r="AV114" s="2">
        <f t="shared" si="236"/>
        <v>27.857738079976997</v>
      </c>
      <c r="AW114" s="1">
        <f t="shared" si="231"/>
        <v>0</v>
      </c>
      <c r="AX114" s="2">
        <f t="shared" si="182"/>
        <v>27.857738079976997</v>
      </c>
      <c r="AY114" s="1">
        <f t="shared" si="237"/>
        <v>0</v>
      </c>
      <c r="AZ114" s="2">
        <f t="shared" si="210"/>
        <v>27.857738079976997</v>
      </c>
      <c r="BA114" s="2">
        <f t="shared" si="246"/>
        <v>140175.64013807999</v>
      </c>
      <c r="BB114" s="2">
        <f t="shared" si="183"/>
        <v>140.17564013807998</v>
      </c>
      <c r="BC114" s="2">
        <f t="shared" si="211"/>
        <v>1112.4194723676637</v>
      </c>
      <c r="BD114" s="2">
        <f t="shared" si="184"/>
        <v>139063.22066571232</v>
      </c>
      <c r="BE114" s="2">
        <f t="shared" si="212"/>
        <v>1286</v>
      </c>
      <c r="BF114" s="2">
        <f t="shared" si="185"/>
        <v>7389.0316262351989</v>
      </c>
      <c r="BG114" s="2">
        <f t="shared" si="186"/>
        <v>130388.18903947712</v>
      </c>
      <c r="BI114" s="8">
        <f t="shared" si="238"/>
        <v>3.1E-2</v>
      </c>
      <c r="BJ114" s="5">
        <f t="shared" si="213"/>
        <v>1047</v>
      </c>
      <c r="BK114" s="2">
        <f t="shared" si="214"/>
        <v>104595.3</v>
      </c>
      <c r="BL114" s="2">
        <f t="shared" si="215"/>
        <v>104700</v>
      </c>
      <c r="BM114" s="2">
        <f t="shared" si="187"/>
        <v>104700</v>
      </c>
      <c r="BN114" s="8">
        <f t="shared" si="188"/>
        <v>4.5999999999999999E-2</v>
      </c>
      <c r="BO114" s="2">
        <f t="shared" si="189"/>
        <v>109516.2</v>
      </c>
      <c r="BP114" s="2" t="str">
        <f t="shared" si="190"/>
        <v>tak</v>
      </c>
      <c r="BQ114" s="2">
        <f t="shared" si="191"/>
        <v>0</v>
      </c>
      <c r="BR114" s="1">
        <f t="shared" si="239"/>
        <v>112</v>
      </c>
      <c r="BS114" s="1">
        <f t="shared" si="269"/>
        <v>106</v>
      </c>
      <c r="BT114" s="1">
        <f t="shared" si="229"/>
        <v>103</v>
      </c>
      <c r="BU114" s="1">
        <f t="shared" si="255"/>
        <v>7</v>
      </c>
      <c r="BV114" s="2">
        <f t="shared" si="247"/>
        <v>11200</v>
      </c>
      <c r="BW114" s="8">
        <f t="shared" si="240"/>
        <v>4.7500000000000001E-2</v>
      </c>
      <c r="BX114" s="2">
        <f t="shared" si="248"/>
        <v>11732.000000000002</v>
      </c>
      <c r="BY114" s="2">
        <f t="shared" si="241"/>
        <v>224</v>
      </c>
      <c r="BZ114" s="2">
        <f t="shared" si="273"/>
        <v>21600</v>
      </c>
      <c r="CA114" s="8">
        <f t="shared" si="270"/>
        <v>4.5999999999999999E-2</v>
      </c>
      <c r="CB114" s="2">
        <f t="shared" si="249"/>
        <v>22593.600000000002</v>
      </c>
      <c r="CC114" s="2">
        <f t="shared" si="271"/>
        <v>432</v>
      </c>
      <c r="CD114" s="2">
        <f t="shared" si="192"/>
        <v>25.799999999988358</v>
      </c>
      <c r="CE114" s="2">
        <f t="shared" si="250"/>
        <v>2225.6000000000058</v>
      </c>
      <c r="CF114" s="2">
        <f t="shared" si="251"/>
        <v>2298.8500000000249</v>
      </c>
      <c r="CG114" s="1">
        <f t="shared" si="232"/>
        <v>7</v>
      </c>
      <c r="CH114" s="2">
        <f t="shared" si="193"/>
        <v>1599.5500000000247</v>
      </c>
      <c r="CI114" s="1">
        <f t="shared" si="242"/>
        <v>15</v>
      </c>
      <c r="CJ114" s="2">
        <f t="shared" si="252"/>
        <v>99.550000000024738</v>
      </c>
      <c r="CK114" s="2">
        <f t="shared" si="253"/>
        <v>143889.25000000003</v>
      </c>
      <c r="CL114" s="2">
        <f t="shared" si="194"/>
        <v>143.88925000000003</v>
      </c>
      <c r="CM114" s="2">
        <f t="shared" si="216"/>
        <v>1131.4406400000003</v>
      </c>
      <c r="CN114" s="2">
        <f t="shared" si="195"/>
        <v>142757.80936000004</v>
      </c>
      <c r="CO114" s="2">
        <f t="shared" si="217"/>
        <v>656</v>
      </c>
      <c r="CP114" s="2">
        <f t="shared" si="196"/>
        <v>8214.3175000000065</v>
      </c>
      <c r="CQ114" s="2">
        <f t="shared" si="197"/>
        <v>133887.49186000004</v>
      </c>
      <c r="CS114" s="5">
        <f t="shared" si="218"/>
        <v>1000</v>
      </c>
      <c r="CT114" s="2">
        <f t="shared" si="219"/>
        <v>100000</v>
      </c>
      <c r="CU114" s="2">
        <f t="shared" si="220"/>
        <v>100000</v>
      </c>
      <c r="CV114" s="2">
        <f t="shared" si="221"/>
        <v>141987.73656011029</v>
      </c>
      <c r="CW114" s="8">
        <f t="shared" si="198"/>
        <v>5.1000000000000004E-2</v>
      </c>
      <c r="CX114" s="2">
        <f t="shared" si="199"/>
        <v>149229.1111246759</v>
      </c>
      <c r="CY114" s="2" t="str">
        <f t="shared" si="200"/>
        <v>nie</v>
      </c>
      <c r="CZ114" s="2">
        <f t="shared" si="222"/>
        <v>0</v>
      </c>
      <c r="DA114" s="2">
        <f t="shared" si="223"/>
        <v>0</v>
      </c>
      <c r="DB114" s="2">
        <f t="shared" si="224"/>
        <v>149229.1111246759</v>
      </c>
      <c r="DC114" s="2">
        <f t="shared" si="201"/>
        <v>149.22911112467591</v>
      </c>
      <c r="DD114" s="2">
        <f t="shared" si="225"/>
        <v>1157.5751901565545</v>
      </c>
      <c r="DE114" s="2">
        <f t="shared" si="226"/>
        <v>148071.53593451934</v>
      </c>
      <c r="DF114" s="2">
        <f t="shared" si="202"/>
        <v>3000</v>
      </c>
      <c r="DG114" s="2">
        <f t="shared" si="203"/>
        <v>8783.5311136884211</v>
      </c>
      <c r="DH114" s="2">
        <f t="shared" si="227"/>
        <v>136288.00482083092</v>
      </c>
    </row>
    <row r="115" spans="2:112">
      <c r="B115" s="232"/>
      <c r="C115" s="1">
        <f t="shared" si="256"/>
        <v>78</v>
      </c>
      <c r="D115" s="2">
        <f t="shared" si="259"/>
        <v>130517.48996836228</v>
      </c>
      <c r="E115" s="2">
        <f t="shared" si="260"/>
        <v>123521.63189812709</v>
      </c>
      <c r="F115" s="2">
        <f t="shared" si="261"/>
        <v>133675.94519500001</v>
      </c>
      <c r="G115" s="2">
        <f t="shared" si="262"/>
        <v>124989.947195</v>
      </c>
      <c r="H115" s="2">
        <f t="shared" si="263"/>
        <v>137690.58433450785</v>
      </c>
      <c r="I115" s="2">
        <f t="shared" si="264"/>
        <v>127937.46299287636</v>
      </c>
      <c r="J115" s="2">
        <f t="shared" si="257"/>
        <v>120841.560146623</v>
      </c>
      <c r="K115" s="2">
        <f t="shared" si="258"/>
        <v>121964.07305823092</v>
      </c>
      <c r="W115" s="1">
        <f t="shared" si="204"/>
        <v>97</v>
      </c>
      <c r="X115" s="2">
        <f t="shared" ref="X115:X146" si="274">zakup_domyslny_wartosc*IFERROR((INDEX(scenariusz_I_inflacja_skumulowana,MATCH(ROUNDDOWN(W115/12,0),scenariusz_I_rok,0))+1),1)
*(1+MOD(W115,12)*INDEX(scenariusz_I_inflacja,MATCH(ROUNDUP(W115/12,0),scenariusz_I_rok,0))/12)</f>
        <v>127994.05640813438</v>
      </c>
      <c r="Y115" s="8">
        <f t="shared" si="230"/>
        <v>3.9100000000000003E-2</v>
      </c>
      <c r="Z115" s="5">
        <f t="shared" si="205"/>
        <v>1284</v>
      </c>
      <c r="AA115" s="2">
        <f t="shared" si="206"/>
        <v>128271.6</v>
      </c>
      <c r="AB115" s="2">
        <f t="shared" si="207"/>
        <v>128400</v>
      </c>
      <c r="AC115" s="2">
        <f t="shared" si="208"/>
        <v>139947.78240000003</v>
      </c>
      <c r="AD115" s="8">
        <f t="shared" ref="AD115:AD146" si="275">IF(AND(MOD($W115,zapadalnosc_TOS)&lt;=zmiana_oprocentowania_co_ile_mc_TOS,MOD($W115,zapadalnosc_TOS)&lt;&gt;0),proc_I_okres_TOS,(marza_TOS+$Y115))</f>
        <v>4.3999999999999997E-2</v>
      </c>
      <c r="AE115" s="2">
        <f t="shared" si="179"/>
        <v>140460.92426880004</v>
      </c>
      <c r="AF115" s="2" t="str">
        <f t="shared" ref="AF115:AF146" si="276">IF(MOD($W115,zapadalnosc_TOS)=0,"tak","nie")</f>
        <v>nie</v>
      </c>
      <c r="AG115" s="2">
        <f t="shared" ref="AG115:AG146" si="277">IF(MOD($W115,zapadalnosc_TOS)=0,0,
IF(AND(MOD($W115,zapadalnosc_TOS)&lt;zapadalnosc_TOS,MOD($W115,zapadalnosc_TOS)&lt;=koszt_wczesniejszy_wykup_ochrona_TOS),
MIN(AE115-AB115,Z115*koszt_wczesniejszy_wykup_TOS),Z115*koszt_wczesniejszy_wykup_TOS))</f>
        <v>1284</v>
      </c>
      <c r="AH115" s="1">
        <f t="shared" si="233"/>
        <v>1</v>
      </c>
      <c r="AI115" s="1">
        <f t="shared" si="265"/>
        <v>1</v>
      </c>
      <c r="AJ115" s="1">
        <f t="shared" si="228"/>
        <v>1</v>
      </c>
      <c r="AK115" s="1">
        <f t="shared" si="254"/>
        <v>0</v>
      </c>
      <c r="AL115" s="2">
        <f t="shared" si="243"/>
        <v>100</v>
      </c>
      <c r="AM115" s="8">
        <f t="shared" si="234"/>
        <v>4.3999999999999997E-2</v>
      </c>
      <c r="AN115" s="2">
        <f t="shared" si="244"/>
        <v>100.36666666666667</v>
      </c>
      <c r="AO115" s="2">
        <f t="shared" si="235"/>
        <v>0.36666666666667425</v>
      </c>
      <c r="AP115" s="2">
        <f t="shared" si="272"/>
        <v>200</v>
      </c>
      <c r="AQ115" s="8">
        <f t="shared" si="266"/>
        <v>3.9100000000000003E-2</v>
      </c>
      <c r="AR115" s="2">
        <f t="shared" si="267"/>
        <v>200.65166666666667</v>
      </c>
      <c r="AS115" s="2">
        <f t="shared" si="268"/>
        <v>2</v>
      </c>
      <c r="AT115" s="2">
        <f t="shared" si="209"/>
        <v>0</v>
      </c>
      <c r="AU115" s="2">
        <f t="shared" si="245"/>
        <v>0</v>
      </c>
      <c r="AV115" s="2">
        <f t="shared" si="236"/>
        <v>27.857738079976997</v>
      </c>
      <c r="AW115" s="1">
        <f t="shared" si="231"/>
        <v>0</v>
      </c>
      <c r="AX115" s="2">
        <f t="shared" ref="AX115:AX146" si="278">AV115-AW115*zamiana_TOS</f>
        <v>27.857738079976997</v>
      </c>
      <c r="AY115" s="1">
        <f t="shared" si="237"/>
        <v>0</v>
      </c>
      <c r="AZ115" s="2">
        <f t="shared" si="210"/>
        <v>27.857738079976997</v>
      </c>
      <c r="BA115" s="2">
        <f t="shared" si="246"/>
        <v>140789.80034021335</v>
      </c>
      <c r="BB115" s="2">
        <f t="shared" ref="BB115:BB146" si="279">MIN(IF(MOD($W115,12)=0,INDEX(IKE_oplata_wskaznik,MATCH(ROUNDUP($W115/12,0),IKE_oplata_rok,0)),0)*BA115,200)</f>
        <v>0</v>
      </c>
      <c r="BC115" s="2">
        <f t="shared" si="211"/>
        <v>1112.4194723676637</v>
      </c>
      <c r="BD115" s="2">
        <f t="shared" si="184"/>
        <v>139677.38086784567</v>
      </c>
      <c r="BE115" s="2">
        <f t="shared" si="212"/>
        <v>1286.3666666666668</v>
      </c>
      <c r="BF115" s="2">
        <f t="shared" si="185"/>
        <v>7505.6523979738686</v>
      </c>
      <c r="BG115" s="2">
        <f t="shared" si="186"/>
        <v>130885.36180320513</v>
      </c>
      <c r="BI115" s="8">
        <f t="shared" si="238"/>
        <v>3.1E-2</v>
      </c>
      <c r="BJ115" s="5">
        <f t="shared" si="213"/>
        <v>1096</v>
      </c>
      <c r="BK115" s="2">
        <f t="shared" si="214"/>
        <v>109490.40000000001</v>
      </c>
      <c r="BL115" s="2">
        <f t="shared" si="215"/>
        <v>109600</v>
      </c>
      <c r="BM115" s="2">
        <f t="shared" ref="BM115:BM146" si="280">BL115</f>
        <v>109600</v>
      </c>
      <c r="BN115" s="8">
        <f t="shared" ref="BN115:BN146" si="281">IF(AND(MOD($W115,zapadalnosc_COI)&lt;=zmiana_oprocentowania_co_ile_mc_COI,MOD($W115,zapadalnosc_COI)&lt;&gt;0),proc_I_okres_COI,(marza_COI+$BI115))</f>
        <v>4.7500000000000001E-2</v>
      </c>
      <c r="BO115" s="2">
        <f t="shared" ref="BO115:BO146" si="282">BM115*(1+BN115*IF(MOD($W115,12)&lt;&gt;0,MOD($W115,12),12)/12)</f>
        <v>110033.83333333333</v>
      </c>
      <c r="BP115" s="2" t="str">
        <f t="shared" ref="BP115:BP146" si="283">IF(MOD($W115,zapadalnosc_COI)=0,"tak","nie")</f>
        <v>nie</v>
      </c>
      <c r="BQ115" s="2">
        <f t="shared" ref="BQ115:BQ146" si="284">IF(MOD($W115,zapadalnosc_COI)=0,0,
IF(AND(MOD($W115,zapadalnosc_COI)&lt;zapadalnosc_COI,MOD($W115,zapadalnosc_COI)&lt;=koszt_wczesniejszy_wykup_ochrona_COI),
MIN(BO115-BL115,BJ115*koszt_wczesniejszy_wykup_COI),BJ115*koszt_wczesniejszy_wykup_COI))</f>
        <v>433.83333333332848</v>
      </c>
      <c r="BR115" s="1">
        <f t="shared" si="239"/>
        <v>22</v>
      </c>
      <c r="BS115" s="1">
        <f t="shared" si="269"/>
        <v>112</v>
      </c>
      <c r="BT115" s="1">
        <f t="shared" si="229"/>
        <v>106</v>
      </c>
      <c r="BU115" s="1">
        <f t="shared" si="255"/>
        <v>103</v>
      </c>
      <c r="BV115" s="2">
        <f t="shared" si="247"/>
        <v>2200</v>
      </c>
      <c r="BW115" s="8">
        <f t="shared" si="240"/>
        <v>4.7500000000000001E-2</v>
      </c>
      <c r="BX115" s="2">
        <f t="shared" si="248"/>
        <v>2208.708333333333</v>
      </c>
      <c r="BY115" s="2">
        <f t="shared" si="241"/>
        <v>8.7083333333330302</v>
      </c>
      <c r="BZ115" s="2">
        <f t="shared" si="273"/>
        <v>32100</v>
      </c>
      <c r="CA115" s="8">
        <f t="shared" si="270"/>
        <v>4.5999999999999999E-2</v>
      </c>
      <c r="CB115" s="2">
        <f t="shared" si="249"/>
        <v>32223.05</v>
      </c>
      <c r="CC115" s="2">
        <f t="shared" si="271"/>
        <v>642</v>
      </c>
      <c r="CD115" s="2">
        <f t="shared" ref="CD115:CD146" si="285">IF(MOD($W115,wyplata_odsetek_COI)=0, (BO115-BL115),0)
-IF(AND(BP115="tak",BK116&lt;&gt;""),BK116-BL115,0)</f>
        <v>0</v>
      </c>
      <c r="CE115" s="2">
        <f t="shared" si="250"/>
        <v>0</v>
      </c>
      <c r="CF115" s="2">
        <f t="shared" si="251"/>
        <v>99.550000000024738</v>
      </c>
      <c r="CG115" s="1">
        <f t="shared" si="232"/>
        <v>0</v>
      </c>
      <c r="CH115" s="2">
        <f t="shared" ref="CH115:CH146" si="286">CF115-CG115*zamiana_COI</f>
        <v>99.550000000024738</v>
      </c>
      <c r="CI115" s="1">
        <f t="shared" si="242"/>
        <v>0</v>
      </c>
      <c r="CJ115" s="2">
        <f t="shared" si="252"/>
        <v>99.550000000024738</v>
      </c>
      <c r="CK115" s="2">
        <f t="shared" si="253"/>
        <v>144565.14166666666</v>
      </c>
      <c r="CL115" s="2">
        <f t="shared" ref="CL115:CL146" si="287">MIN(IF(MOD($W115,12)=0,INDEX(IKE_oplata_wskaznik,MATCH(ROUNDUP($W115/12,0),IKE_oplata_rok,0)),0)*CK115,200)</f>
        <v>0</v>
      </c>
      <c r="CM115" s="2">
        <f t="shared" si="216"/>
        <v>1131.4406400000003</v>
      </c>
      <c r="CN115" s="2">
        <f t="shared" ref="CN115:CN146" si="288">CK115-CM115</f>
        <v>143433.70102666668</v>
      </c>
      <c r="CO115" s="2">
        <f t="shared" si="217"/>
        <v>1084.5416666666615</v>
      </c>
      <c r="CP115" s="2">
        <f t="shared" ref="CP115:CP146" si="289">(CK115-CO115-zakup_domyslny_wartosc)*podatek_Belki</f>
        <v>8261.3140000000003</v>
      </c>
      <c r="CQ115" s="2">
        <f t="shared" ref="CQ115:CQ146" si="290">CK115-CM115-CO115-CP115</f>
        <v>134087.84536000001</v>
      </c>
      <c r="CS115" s="5">
        <f t="shared" si="218"/>
        <v>1000</v>
      </c>
      <c r="CT115" s="2">
        <f t="shared" si="219"/>
        <v>100000</v>
      </c>
      <c r="CU115" s="2">
        <f t="shared" si="220"/>
        <v>100000</v>
      </c>
      <c r="CV115" s="2">
        <f t="shared" si="221"/>
        <v>149229.1111246759</v>
      </c>
      <c r="CW115" s="8">
        <f t="shared" ref="CW115:CW146" si="291">IF(AND(MOD($W115,zapadalnosc_EDO)&lt;=12,MOD($W115,zapadalnosc_EDO)&lt;&gt;0),proc_I_okres_EDO,(marza_EDO+$BI115))</f>
        <v>5.1000000000000004E-2</v>
      </c>
      <c r="CX115" s="2">
        <f t="shared" ref="CX115:CX146" si="292">CV115*(1+CW115*IF(MOD($W115,12)&lt;&gt;0,MOD($W115,12),12)/12)</f>
        <v>149863.33484695578</v>
      </c>
      <c r="CY115" s="2" t="str">
        <f t="shared" ref="CY115:CY146" si="293">IF(MOD($W115,zapadalnosc_EDO)=0,"tak","nie")</f>
        <v>nie</v>
      </c>
      <c r="CZ115" s="2">
        <f t="shared" si="222"/>
        <v>0</v>
      </c>
      <c r="DA115" s="2">
        <f t="shared" si="223"/>
        <v>0</v>
      </c>
      <c r="DB115" s="2">
        <f t="shared" si="224"/>
        <v>149863.33484695578</v>
      </c>
      <c r="DC115" s="2">
        <f t="shared" ref="DC115:DC146" si="294">MIN(IF(MOD(W115,12)=0,INDEX(IKE_oplata_wskaznik,MATCH(ROUNDUP(W115/12,0),IKE_oplata_rok,0)),0)*DB115,200)</f>
        <v>0</v>
      </c>
      <c r="DD115" s="2">
        <f t="shared" si="225"/>
        <v>1157.5751901565545</v>
      </c>
      <c r="DE115" s="2">
        <f t="shared" si="226"/>
        <v>148705.75965679923</v>
      </c>
      <c r="DF115" s="2">
        <f t="shared" ref="DF115:DF146" si="295">IF(AND(MOD($W115,zapadalnosc_EDO)&lt;zapadalnosc_EDO,MOD($W115,zapadalnosc_EDO)&lt;&gt;0),MIN(CX115-CU115,CS115*koszt_wczesniejszy_wykup_EDO),0)</f>
        <v>3000</v>
      </c>
      <c r="DG115" s="2">
        <f t="shared" ref="DG115:DG146" si="296">(CX115-DF115-zakup_domyslny_wartosc)*podatek_Belki</f>
        <v>8904.0336209215984</v>
      </c>
      <c r="DH115" s="2">
        <f t="shared" si="227"/>
        <v>136801.72603587763</v>
      </c>
    </row>
    <row r="116" spans="2:112">
      <c r="B116" s="232"/>
      <c r="C116" s="1">
        <f t="shared" si="256"/>
        <v>79</v>
      </c>
      <c r="D116" s="2">
        <f t="shared" si="259"/>
        <v>130988.65663502896</v>
      </c>
      <c r="E116" s="2">
        <f t="shared" si="260"/>
        <v>123903.27689812709</v>
      </c>
      <c r="F116" s="2">
        <f t="shared" si="261"/>
        <v>134180.970195</v>
      </c>
      <c r="G116" s="2">
        <f t="shared" si="262"/>
        <v>125399.017445</v>
      </c>
      <c r="H116" s="2">
        <f t="shared" si="263"/>
        <v>138264.74977730561</v>
      </c>
      <c r="I116" s="2">
        <f t="shared" si="264"/>
        <v>128402.53700154254</v>
      </c>
      <c r="J116" s="2">
        <f t="shared" si="257"/>
        <v>121135.20513777928</v>
      </c>
      <c r="K116" s="2">
        <f t="shared" si="258"/>
        <v>122274.33780997923</v>
      </c>
      <c r="W116" s="1">
        <f t="shared" ref="W116:W147" si="297">W115+1</f>
        <v>98</v>
      </c>
      <c r="X116" s="2">
        <f t="shared" si="274"/>
        <v>128323.85573891754</v>
      </c>
      <c r="Y116" s="8">
        <f t="shared" si="230"/>
        <v>3.9100000000000003E-2</v>
      </c>
      <c r="Z116" s="5">
        <f t="shared" ref="Z116:Z147" si="298">IF(AF115="tak",
ROUNDDOWN(AE115/zamiana_TOS,0),
Z115)</f>
        <v>1284</v>
      </c>
      <c r="AA116" s="2">
        <f t="shared" ref="AA116:AA147" si="299">IF(AF115="tak",
Z116*zamiana_TOS,
AA115)</f>
        <v>128271.6</v>
      </c>
      <c r="AB116" s="2">
        <f t="shared" si="207"/>
        <v>128400</v>
      </c>
      <c r="AC116" s="2">
        <f t="shared" ref="AC116:AC147" si="300">IF(AF115="tak",
 AB116,
IF(MOD($W116,kapitalizacja_odsetek_mc_TOS)&lt;&gt;1,AC115,AE115))</f>
        <v>139947.78240000003</v>
      </c>
      <c r="AD116" s="8">
        <f t="shared" si="275"/>
        <v>4.3999999999999997E-2</v>
      </c>
      <c r="AE116" s="2">
        <f t="shared" si="179"/>
        <v>140974.06613760005</v>
      </c>
      <c r="AF116" s="2" t="str">
        <f t="shared" si="276"/>
        <v>nie</v>
      </c>
      <c r="AG116" s="2">
        <f t="shared" si="277"/>
        <v>1284</v>
      </c>
      <c r="AH116" s="1">
        <f t="shared" si="233"/>
        <v>1</v>
      </c>
      <c r="AI116" s="1">
        <f t="shared" si="265"/>
        <v>1</v>
      </c>
      <c r="AJ116" s="1">
        <f t="shared" si="228"/>
        <v>1</v>
      </c>
      <c r="AK116" s="1">
        <f t="shared" si="254"/>
        <v>0</v>
      </c>
      <c r="AL116" s="2">
        <f t="shared" si="243"/>
        <v>100</v>
      </c>
      <c r="AM116" s="8">
        <f t="shared" si="234"/>
        <v>4.3999999999999997E-2</v>
      </c>
      <c r="AN116" s="2">
        <f t="shared" si="244"/>
        <v>100.73333333333335</v>
      </c>
      <c r="AO116" s="2">
        <f t="shared" si="235"/>
        <v>0.73333333333334849</v>
      </c>
      <c r="AP116" s="2">
        <f t="shared" si="272"/>
        <v>200</v>
      </c>
      <c r="AQ116" s="8">
        <f t="shared" si="266"/>
        <v>3.9100000000000003E-2</v>
      </c>
      <c r="AR116" s="2">
        <f t="shared" si="267"/>
        <v>201.30333333333334</v>
      </c>
      <c r="AS116" s="2">
        <f t="shared" si="268"/>
        <v>2</v>
      </c>
      <c r="AT116" s="2">
        <f t="shared" si="209"/>
        <v>0</v>
      </c>
      <c r="AU116" s="2">
        <f t="shared" si="245"/>
        <v>0</v>
      </c>
      <c r="AV116" s="2">
        <f t="shared" si="236"/>
        <v>27.857738079976997</v>
      </c>
      <c r="AW116" s="1">
        <f t="shared" si="231"/>
        <v>0</v>
      </c>
      <c r="AX116" s="2">
        <f t="shared" si="278"/>
        <v>27.857738079976997</v>
      </c>
      <c r="AY116" s="1">
        <f t="shared" si="237"/>
        <v>0</v>
      </c>
      <c r="AZ116" s="2">
        <f t="shared" si="210"/>
        <v>27.857738079976997</v>
      </c>
      <c r="BA116" s="2">
        <f t="shared" si="246"/>
        <v>141303.9605423467</v>
      </c>
      <c r="BB116" s="2">
        <f t="shared" si="279"/>
        <v>0</v>
      </c>
      <c r="BC116" s="2">
        <f t="shared" si="211"/>
        <v>1112.4194723676637</v>
      </c>
      <c r="BD116" s="2">
        <f t="shared" si="184"/>
        <v>140191.54106997902</v>
      </c>
      <c r="BE116" s="2">
        <f t="shared" si="212"/>
        <v>1286.7333333333333</v>
      </c>
      <c r="BF116" s="2">
        <f t="shared" si="185"/>
        <v>7603.2731697125391</v>
      </c>
      <c r="BG116" s="2">
        <f t="shared" si="186"/>
        <v>131301.53456693314</v>
      </c>
      <c r="BI116" s="8">
        <f t="shared" si="238"/>
        <v>3.1E-2</v>
      </c>
      <c r="BJ116" s="5">
        <f t="shared" ref="BJ116:BJ147" si="301">IF(BP115="tak",
ROUNDDOWN(BO115/zamiana_COI,0),
BJ115)</f>
        <v>1096</v>
      </c>
      <c r="BK116" s="2">
        <f t="shared" ref="BK116:BK147" si="302">IF(BP115="tak",
BJ116*zamiana_COI,
BK115)</f>
        <v>109490.40000000001</v>
      </c>
      <c r="BL116" s="2">
        <f t="shared" ref="BL116:BL147" si="303">IF(BP115="tak",
BJ116*100,
BL115)</f>
        <v>109600</v>
      </c>
      <c r="BM116" s="2">
        <f t="shared" si="280"/>
        <v>109600</v>
      </c>
      <c r="BN116" s="8">
        <f t="shared" si="281"/>
        <v>4.7500000000000001E-2</v>
      </c>
      <c r="BO116" s="2">
        <f t="shared" si="282"/>
        <v>110467.66666666666</v>
      </c>
      <c r="BP116" s="2" t="str">
        <f t="shared" si="283"/>
        <v>nie</v>
      </c>
      <c r="BQ116" s="2">
        <f t="shared" si="284"/>
        <v>867.66666666665697</v>
      </c>
      <c r="BR116" s="1">
        <f t="shared" si="239"/>
        <v>22</v>
      </c>
      <c r="BS116" s="1">
        <f t="shared" si="269"/>
        <v>112</v>
      </c>
      <c r="BT116" s="1">
        <f t="shared" si="229"/>
        <v>106</v>
      </c>
      <c r="BU116" s="1">
        <f t="shared" si="255"/>
        <v>103</v>
      </c>
      <c r="BV116" s="2">
        <f t="shared" si="247"/>
        <v>2200</v>
      </c>
      <c r="BW116" s="8">
        <f t="shared" si="240"/>
        <v>4.7500000000000001E-2</v>
      </c>
      <c r="BX116" s="2">
        <f t="shared" si="248"/>
        <v>2217.4166666666665</v>
      </c>
      <c r="BY116" s="2">
        <f t="shared" si="241"/>
        <v>17.416666666666515</v>
      </c>
      <c r="BZ116" s="2">
        <f t="shared" si="273"/>
        <v>32100</v>
      </c>
      <c r="CA116" s="8">
        <f t="shared" si="270"/>
        <v>4.5999999999999999E-2</v>
      </c>
      <c r="CB116" s="2">
        <f t="shared" si="249"/>
        <v>32346.100000000002</v>
      </c>
      <c r="CC116" s="2">
        <f t="shared" si="271"/>
        <v>642</v>
      </c>
      <c r="CD116" s="2">
        <f t="shared" si="285"/>
        <v>0</v>
      </c>
      <c r="CE116" s="2">
        <f t="shared" si="250"/>
        <v>0</v>
      </c>
      <c r="CF116" s="2">
        <f t="shared" si="251"/>
        <v>99.550000000024738</v>
      </c>
      <c r="CG116" s="1">
        <f t="shared" si="232"/>
        <v>0</v>
      </c>
      <c r="CH116" s="2">
        <f t="shared" si="286"/>
        <v>99.550000000024738</v>
      </c>
      <c r="CI116" s="1">
        <f t="shared" si="242"/>
        <v>0</v>
      </c>
      <c r="CJ116" s="2">
        <f t="shared" si="252"/>
        <v>99.550000000024738</v>
      </c>
      <c r="CK116" s="2">
        <f t="shared" si="253"/>
        <v>145130.73333333334</v>
      </c>
      <c r="CL116" s="2">
        <f t="shared" si="287"/>
        <v>0</v>
      </c>
      <c r="CM116" s="2">
        <f t="shared" si="216"/>
        <v>1131.4406400000003</v>
      </c>
      <c r="CN116" s="2">
        <f t="shared" si="288"/>
        <v>143999.29269333335</v>
      </c>
      <c r="CO116" s="2">
        <f t="shared" si="217"/>
        <v>1527.0833333333235</v>
      </c>
      <c r="CP116" s="2">
        <f t="shared" si="289"/>
        <v>8284.6935000000049</v>
      </c>
      <c r="CQ116" s="2">
        <f t="shared" si="290"/>
        <v>134187.51586000004</v>
      </c>
      <c r="CS116" s="5">
        <f t="shared" ref="CS116:CS147" si="304">IF(CY115="tak",
ROUNDDOWN(CX115/zamiana_EDO,0),
CS115)</f>
        <v>1000</v>
      </c>
      <c r="CT116" s="2">
        <f t="shared" ref="CT116:CT147" si="305">IF(CY115="tak",
CS116*zamiana_EDO,
CT115)</f>
        <v>100000</v>
      </c>
      <c r="CU116" s="2">
        <f t="shared" ref="CU116:CU147" si="306">IF(CY115="tak",
CS116*100,
CU115)</f>
        <v>100000</v>
      </c>
      <c r="CV116" s="2">
        <f t="shared" ref="CV116:CV147" si="307">IF(CY115="tak",
 CU116,
IF(MOD($W116,kapitalizacja_odsetek_mc_EDO)&lt;&gt;1,CV115,CX115))</f>
        <v>149229.1111246759</v>
      </c>
      <c r="CW116" s="8">
        <f t="shared" si="291"/>
        <v>5.1000000000000004E-2</v>
      </c>
      <c r="CX116" s="2">
        <f t="shared" si="292"/>
        <v>150497.55856923564</v>
      </c>
      <c r="CY116" s="2" t="str">
        <f t="shared" si="293"/>
        <v>nie</v>
      </c>
      <c r="CZ116" s="2">
        <f t="shared" si="222"/>
        <v>0</v>
      </c>
      <c r="DA116" s="2">
        <f t="shared" si="223"/>
        <v>0</v>
      </c>
      <c r="DB116" s="2">
        <f t="shared" si="224"/>
        <v>150497.55856923564</v>
      </c>
      <c r="DC116" s="2">
        <f t="shared" si="294"/>
        <v>0</v>
      </c>
      <c r="DD116" s="2">
        <f t="shared" si="225"/>
        <v>1157.5751901565545</v>
      </c>
      <c r="DE116" s="2">
        <f t="shared" si="226"/>
        <v>149339.98337907909</v>
      </c>
      <c r="DF116" s="2">
        <f t="shared" si="295"/>
        <v>3000</v>
      </c>
      <c r="DG116" s="2">
        <f t="shared" si="296"/>
        <v>9024.5361281547721</v>
      </c>
      <c r="DH116" s="2">
        <f t="shared" si="227"/>
        <v>137315.44725092431</v>
      </c>
    </row>
    <row r="117" spans="2:112">
      <c r="B117" s="232"/>
      <c r="C117" s="1">
        <f t="shared" si="256"/>
        <v>80</v>
      </c>
      <c r="D117" s="2">
        <f t="shared" si="259"/>
        <v>131459.82330169564</v>
      </c>
      <c r="E117" s="2">
        <f t="shared" si="260"/>
        <v>124284.92189812711</v>
      </c>
      <c r="F117" s="2">
        <f t="shared" si="261"/>
        <v>134685.995195</v>
      </c>
      <c r="G117" s="2">
        <f t="shared" si="262"/>
        <v>125808.08769499999</v>
      </c>
      <c r="H117" s="2">
        <f t="shared" si="263"/>
        <v>138838.9152201034</v>
      </c>
      <c r="I117" s="2">
        <f t="shared" si="264"/>
        <v>128867.61101020876</v>
      </c>
      <c r="J117" s="2">
        <f t="shared" si="257"/>
        <v>121429.56368626408</v>
      </c>
      <c r="K117" s="2">
        <f t="shared" si="258"/>
        <v>122584.60256172756</v>
      </c>
      <c r="W117" s="1">
        <f t="shared" si="297"/>
        <v>99</v>
      </c>
      <c r="X117" s="2">
        <f t="shared" si="274"/>
        <v>128653.65506970068</v>
      </c>
      <c r="Y117" s="8">
        <f t="shared" si="230"/>
        <v>3.9100000000000003E-2</v>
      </c>
      <c r="Z117" s="5">
        <f t="shared" si="298"/>
        <v>1284</v>
      </c>
      <c r="AA117" s="2">
        <f t="shared" si="299"/>
        <v>128271.6</v>
      </c>
      <c r="AB117" s="2">
        <f t="shared" si="207"/>
        <v>128400</v>
      </c>
      <c r="AC117" s="2">
        <f t="shared" si="300"/>
        <v>139947.78240000003</v>
      </c>
      <c r="AD117" s="8">
        <f t="shared" si="275"/>
        <v>4.3999999999999997E-2</v>
      </c>
      <c r="AE117" s="2">
        <f t="shared" si="179"/>
        <v>141487.2080064</v>
      </c>
      <c r="AF117" s="2" t="str">
        <f t="shared" si="276"/>
        <v>nie</v>
      </c>
      <c r="AG117" s="2">
        <f t="shared" si="277"/>
        <v>1284</v>
      </c>
      <c r="AH117" s="1">
        <f t="shared" si="233"/>
        <v>1</v>
      </c>
      <c r="AI117" s="1">
        <f t="shared" si="265"/>
        <v>1</v>
      </c>
      <c r="AJ117" s="1">
        <f t="shared" si="228"/>
        <v>1</v>
      </c>
      <c r="AK117" s="1">
        <f t="shared" si="254"/>
        <v>0</v>
      </c>
      <c r="AL117" s="2">
        <f t="shared" si="243"/>
        <v>100</v>
      </c>
      <c r="AM117" s="8">
        <f t="shared" si="234"/>
        <v>4.3999999999999997E-2</v>
      </c>
      <c r="AN117" s="2">
        <f t="shared" si="244"/>
        <v>101.1</v>
      </c>
      <c r="AO117" s="2">
        <f t="shared" si="235"/>
        <v>1</v>
      </c>
      <c r="AP117" s="2">
        <f t="shared" si="272"/>
        <v>200</v>
      </c>
      <c r="AQ117" s="8">
        <f t="shared" si="266"/>
        <v>3.9100000000000003E-2</v>
      </c>
      <c r="AR117" s="2">
        <f t="shared" si="267"/>
        <v>201.95500000000001</v>
      </c>
      <c r="AS117" s="2">
        <f t="shared" si="268"/>
        <v>2</v>
      </c>
      <c r="AT117" s="2">
        <f t="shared" si="209"/>
        <v>0</v>
      </c>
      <c r="AU117" s="2">
        <f t="shared" si="245"/>
        <v>0</v>
      </c>
      <c r="AV117" s="2">
        <f t="shared" si="236"/>
        <v>27.857738079976997</v>
      </c>
      <c r="AW117" s="1">
        <f t="shared" si="231"/>
        <v>0</v>
      </c>
      <c r="AX117" s="2">
        <f t="shared" si="278"/>
        <v>27.857738079976997</v>
      </c>
      <c r="AY117" s="1">
        <f t="shared" si="237"/>
        <v>0</v>
      </c>
      <c r="AZ117" s="2">
        <f t="shared" si="210"/>
        <v>27.857738079976997</v>
      </c>
      <c r="BA117" s="2">
        <f t="shared" si="246"/>
        <v>141818.12074447997</v>
      </c>
      <c r="BB117" s="2">
        <f t="shared" si="279"/>
        <v>0</v>
      </c>
      <c r="BC117" s="2">
        <f t="shared" si="211"/>
        <v>1112.4194723676637</v>
      </c>
      <c r="BD117" s="2">
        <f t="shared" si="184"/>
        <v>140705.70127211229</v>
      </c>
      <c r="BE117" s="2">
        <f t="shared" si="212"/>
        <v>1287</v>
      </c>
      <c r="BF117" s="2">
        <f t="shared" si="185"/>
        <v>7700.9129414511935</v>
      </c>
      <c r="BG117" s="2">
        <f t="shared" si="186"/>
        <v>131717.7883306611</v>
      </c>
      <c r="BI117" s="8">
        <f t="shared" si="238"/>
        <v>3.1E-2</v>
      </c>
      <c r="BJ117" s="5">
        <f t="shared" si="301"/>
        <v>1096</v>
      </c>
      <c r="BK117" s="2">
        <f t="shared" si="302"/>
        <v>109490.40000000001</v>
      </c>
      <c r="BL117" s="2">
        <f t="shared" si="303"/>
        <v>109600</v>
      </c>
      <c r="BM117" s="2">
        <f t="shared" si="280"/>
        <v>109600</v>
      </c>
      <c r="BN117" s="8">
        <f t="shared" si="281"/>
        <v>4.7500000000000001E-2</v>
      </c>
      <c r="BO117" s="2">
        <f t="shared" si="282"/>
        <v>110901.50000000001</v>
      </c>
      <c r="BP117" s="2" t="str">
        <f t="shared" si="283"/>
        <v>nie</v>
      </c>
      <c r="BQ117" s="2">
        <f t="shared" si="284"/>
        <v>1301.5000000000146</v>
      </c>
      <c r="BR117" s="1">
        <f t="shared" si="239"/>
        <v>22</v>
      </c>
      <c r="BS117" s="1">
        <f t="shared" si="269"/>
        <v>112</v>
      </c>
      <c r="BT117" s="1">
        <f t="shared" si="229"/>
        <v>106</v>
      </c>
      <c r="BU117" s="1">
        <f t="shared" si="255"/>
        <v>103</v>
      </c>
      <c r="BV117" s="2">
        <f t="shared" si="247"/>
        <v>2200</v>
      </c>
      <c r="BW117" s="8">
        <f t="shared" si="240"/>
        <v>4.7500000000000001E-2</v>
      </c>
      <c r="BX117" s="2">
        <f t="shared" si="248"/>
        <v>2226.125</v>
      </c>
      <c r="BY117" s="2">
        <f t="shared" si="241"/>
        <v>26.125</v>
      </c>
      <c r="BZ117" s="2">
        <f t="shared" si="273"/>
        <v>32100</v>
      </c>
      <c r="CA117" s="8">
        <f t="shared" si="270"/>
        <v>4.5999999999999999E-2</v>
      </c>
      <c r="CB117" s="2">
        <f t="shared" si="249"/>
        <v>32469.15</v>
      </c>
      <c r="CC117" s="2">
        <f t="shared" si="271"/>
        <v>642</v>
      </c>
      <c r="CD117" s="2">
        <f t="shared" si="285"/>
        <v>0</v>
      </c>
      <c r="CE117" s="2">
        <f t="shared" si="250"/>
        <v>0</v>
      </c>
      <c r="CF117" s="2">
        <f t="shared" si="251"/>
        <v>99.550000000024738</v>
      </c>
      <c r="CG117" s="1">
        <f t="shared" si="232"/>
        <v>0</v>
      </c>
      <c r="CH117" s="2">
        <f t="shared" si="286"/>
        <v>99.550000000024738</v>
      </c>
      <c r="CI117" s="1">
        <f t="shared" si="242"/>
        <v>0</v>
      </c>
      <c r="CJ117" s="2">
        <f t="shared" si="252"/>
        <v>99.550000000024738</v>
      </c>
      <c r="CK117" s="2">
        <f t="shared" si="253"/>
        <v>145696.32500000004</v>
      </c>
      <c r="CL117" s="2">
        <f t="shared" si="287"/>
        <v>0</v>
      </c>
      <c r="CM117" s="2">
        <f t="shared" si="216"/>
        <v>1131.4406400000003</v>
      </c>
      <c r="CN117" s="2">
        <f t="shared" si="288"/>
        <v>144564.88436000005</v>
      </c>
      <c r="CO117" s="2">
        <f t="shared" si="217"/>
        <v>1969.6250000000146</v>
      </c>
      <c r="CP117" s="2">
        <f t="shared" si="289"/>
        <v>8308.0730000000021</v>
      </c>
      <c r="CQ117" s="2">
        <f t="shared" si="290"/>
        <v>134287.18636000002</v>
      </c>
      <c r="CS117" s="5">
        <f t="shared" si="304"/>
        <v>1000</v>
      </c>
      <c r="CT117" s="2">
        <f t="shared" si="305"/>
        <v>100000</v>
      </c>
      <c r="CU117" s="2">
        <f t="shared" si="306"/>
        <v>100000</v>
      </c>
      <c r="CV117" s="2">
        <f t="shared" si="307"/>
        <v>149229.1111246759</v>
      </c>
      <c r="CW117" s="8">
        <f t="shared" si="291"/>
        <v>5.1000000000000004E-2</v>
      </c>
      <c r="CX117" s="2">
        <f t="shared" si="292"/>
        <v>151131.78229151553</v>
      </c>
      <c r="CY117" s="2" t="str">
        <f t="shared" si="293"/>
        <v>nie</v>
      </c>
      <c r="CZ117" s="2">
        <f t="shared" si="222"/>
        <v>0</v>
      </c>
      <c r="DA117" s="2">
        <f t="shared" si="223"/>
        <v>0</v>
      </c>
      <c r="DB117" s="2">
        <f t="shared" si="224"/>
        <v>151131.78229151553</v>
      </c>
      <c r="DC117" s="2">
        <f t="shared" si="294"/>
        <v>0</v>
      </c>
      <c r="DD117" s="2">
        <f t="shared" si="225"/>
        <v>1157.5751901565545</v>
      </c>
      <c r="DE117" s="2">
        <f t="shared" si="226"/>
        <v>149974.20710135897</v>
      </c>
      <c r="DF117" s="2">
        <f t="shared" si="295"/>
        <v>3000</v>
      </c>
      <c r="DG117" s="2">
        <f t="shared" si="296"/>
        <v>9145.0386353879494</v>
      </c>
      <c r="DH117" s="2">
        <f t="shared" si="227"/>
        <v>137829.16846597102</v>
      </c>
    </row>
    <row r="118" spans="2:112">
      <c r="B118" s="232"/>
      <c r="C118" s="1">
        <f t="shared" si="256"/>
        <v>81</v>
      </c>
      <c r="D118" s="2">
        <f t="shared" si="259"/>
        <v>131930.98996836226</v>
      </c>
      <c r="E118" s="2">
        <f t="shared" si="260"/>
        <v>124666.56689812707</v>
      </c>
      <c r="F118" s="2">
        <f t="shared" si="261"/>
        <v>135191.02019500002</v>
      </c>
      <c r="G118" s="2">
        <f t="shared" si="262"/>
        <v>126217.15794500001</v>
      </c>
      <c r="H118" s="2">
        <f t="shared" si="263"/>
        <v>139413.08066290116</v>
      </c>
      <c r="I118" s="2">
        <f t="shared" si="264"/>
        <v>129332.68501887495</v>
      </c>
      <c r="J118" s="2">
        <f t="shared" si="257"/>
        <v>121724.6375260217</v>
      </c>
      <c r="K118" s="2">
        <f t="shared" si="258"/>
        <v>122894.8673134759</v>
      </c>
      <c r="W118" s="1">
        <f t="shared" si="297"/>
        <v>100</v>
      </c>
      <c r="X118" s="2">
        <f t="shared" si="274"/>
        <v>128983.45440048384</v>
      </c>
      <c r="Y118" s="8">
        <f t="shared" si="230"/>
        <v>3.9100000000000003E-2</v>
      </c>
      <c r="Z118" s="5">
        <f t="shared" si="298"/>
        <v>1284</v>
      </c>
      <c r="AA118" s="2">
        <f t="shared" si="299"/>
        <v>128271.6</v>
      </c>
      <c r="AB118" s="2">
        <f t="shared" si="207"/>
        <v>128400</v>
      </c>
      <c r="AC118" s="2">
        <f t="shared" si="300"/>
        <v>139947.78240000003</v>
      </c>
      <c r="AD118" s="8">
        <f t="shared" si="275"/>
        <v>4.3999999999999997E-2</v>
      </c>
      <c r="AE118" s="2">
        <f t="shared" si="179"/>
        <v>142000.34987520002</v>
      </c>
      <c r="AF118" s="2" t="str">
        <f t="shared" si="276"/>
        <v>nie</v>
      </c>
      <c r="AG118" s="2">
        <f t="shared" si="277"/>
        <v>1284</v>
      </c>
      <c r="AH118" s="1">
        <f t="shared" si="233"/>
        <v>1</v>
      </c>
      <c r="AI118" s="1">
        <f t="shared" si="265"/>
        <v>1</v>
      </c>
      <c r="AJ118" s="1">
        <f t="shared" si="228"/>
        <v>1</v>
      </c>
      <c r="AK118" s="1">
        <f t="shared" si="254"/>
        <v>0</v>
      </c>
      <c r="AL118" s="2">
        <f t="shared" si="243"/>
        <v>100</v>
      </c>
      <c r="AM118" s="8">
        <f t="shared" si="234"/>
        <v>4.3999999999999997E-2</v>
      </c>
      <c r="AN118" s="2">
        <f t="shared" si="244"/>
        <v>101.46666666666665</v>
      </c>
      <c r="AO118" s="2">
        <f t="shared" si="235"/>
        <v>1</v>
      </c>
      <c r="AP118" s="2">
        <f t="shared" si="272"/>
        <v>200</v>
      </c>
      <c r="AQ118" s="8">
        <f t="shared" si="266"/>
        <v>3.9100000000000003E-2</v>
      </c>
      <c r="AR118" s="2">
        <f t="shared" si="267"/>
        <v>202.60666666666665</v>
      </c>
      <c r="AS118" s="2">
        <f t="shared" si="268"/>
        <v>2</v>
      </c>
      <c r="AT118" s="2">
        <f t="shared" si="209"/>
        <v>0</v>
      </c>
      <c r="AU118" s="2">
        <f t="shared" si="245"/>
        <v>0</v>
      </c>
      <c r="AV118" s="2">
        <f t="shared" si="236"/>
        <v>27.857738079976997</v>
      </c>
      <c r="AW118" s="1">
        <f t="shared" si="231"/>
        <v>0</v>
      </c>
      <c r="AX118" s="2">
        <f t="shared" si="278"/>
        <v>27.857738079976997</v>
      </c>
      <c r="AY118" s="1">
        <f t="shared" si="237"/>
        <v>0</v>
      </c>
      <c r="AZ118" s="2">
        <f t="shared" si="210"/>
        <v>27.857738079976997</v>
      </c>
      <c r="BA118" s="2">
        <f t="shared" si="246"/>
        <v>142332.28094661332</v>
      </c>
      <c r="BB118" s="2">
        <f t="shared" si="279"/>
        <v>0</v>
      </c>
      <c r="BC118" s="2">
        <f t="shared" si="211"/>
        <v>1112.4194723676637</v>
      </c>
      <c r="BD118" s="2">
        <f t="shared" si="184"/>
        <v>141219.86147424564</v>
      </c>
      <c r="BE118" s="2">
        <f t="shared" si="212"/>
        <v>1287</v>
      </c>
      <c r="BF118" s="2">
        <f t="shared" si="185"/>
        <v>7798.6033798565304</v>
      </c>
      <c r="BG118" s="2">
        <f t="shared" si="186"/>
        <v>132134.25809438911</v>
      </c>
      <c r="BI118" s="8">
        <f t="shared" si="238"/>
        <v>3.1E-2</v>
      </c>
      <c r="BJ118" s="5">
        <f t="shared" si="301"/>
        <v>1096</v>
      </c>
      <c r="BK118" s="2">
        <f t="shared" si="302"/>
        <v>109490.40000000001</v>
      </c>
      <c r="BL118" s="2">
        <f t="shared" si="303"/>
        <v>109600</v>
      </c>
      <c r="BM118" s="2">
        <f t="shared" si="280"/>
        <v>109600</v>
      </c>
      <c r="BN118" s="8">
        <f t="shared" si="281"/>
        <v>4.7500000000000001E-2</v>
      </c>
      <c r="BO118" s="2">
        <f t="shared" si="282"/>
        <v>111335.33333333334</v>
      </c>
      <c r="BP118" s="2" t="str">
        <f t="shared" si="283"/>
        <v>nie</v>
      </c>
      <c r="BQ118" s="2">
        <f t="shared" si="284"/>
        <v>1735.333333333343</v>
      </c>
      <c r="BR118" s="1">
        <f t="shared" si="239"/>
        <v>22</v>
      </c>
      <c r="BS118" s="1">
        <f t="shared" si="269"/>
        <v>112</v>
      </c>
      <c r="BT118" s="1">
        <f t="shared" si="229"/>
        <v>106</v>
      </c>
      <c r="BU118" s="1">
        <f t="shared" si="255"/>
        <v>103</v>
      </c>
      <c r="BV118" s="2">
        <f t="shared" si="247"/>
        <v>2200</v>
      </c>
      <c r="BW118" s="8">
        <f t="shared" si="240"/>
        <v>4.7500000000000001E-2</v>
      </c>
      <c r="BX118" s="2">
        <f t="shared" si="248"/>
        <v>2234.8333333333335</v>
      </c>
      <c r="BY118" s="2">
        <f t="shared" si="241"/>
        <v>34.833333333333485</v>
      </c>
      <c r="BZ118" s="2">
        <f t="shared" si="273"/>
        <v>32100</v>
      </c>
      <c r="CA118" s="8">
        <f t="shared" si="270"/>
        <v>4.5999999999999999E-2</v>
      </c>
      <c r="CB118" s="2">
        <f t="shared" si="249"/>
        <v>32592.200000000004</v>
      </c>
      <c r="CC118" s="2">
        <f t="shared" si="271"/>
        <v>642</v>
      </c>
      <c r="CD118" s="2">
        <f t="shared" si="285"/>
        <v>0</v>
      </c>
      <c r="CE118" s="2">
        <f t="shared" si="250"/>
        <v>0</v>
      </c>
      <c r="CF118" s="2">
        <f t="shared" si="251"/>
        <v>99.550000000024738</v>
      </c>
      <c r="CG118" s="1">
        <f t="shared" si="232"/>
        <v>0</v>
      </c>
      <c r="CH118" s="2">
        <f t="shared" si="286"/>
        <v>99.550000000024738</v>
      </c>
      <c r="CI118" s="1">
        <f t="shared" si="242"/>
        <v>0</v>
      </c>
      <c r="CJ118" s="2">
        <f t="shared" si="252"/>
        <v>99.550000000024738</v>
      </c>
      <c r="CK118" s="2">
        <f t="shared" si="253"/>
        <v>146261.91666666669</v>
      </c>
      <c r="CL118" s="2">
        <f t="shared" si="287"/>
        <v>0</v>
      </c>
      <c r="CM118" s="2">
        <f t="shared" si="216"/>
        <v>1131.4406400000003</v>
      </c>
      <c r="CN118" s="2">
        <f t="shared" si="288"/>
        <v>145130.4760266667</v>
      </c>
      <c r="CO118" s="2">
        <f t="shared" si="217"/>
        <v>2412.1666666666765</v>
      </c>
      <c r="CP118" s="2">
        <f t="shared" si="289"/>
        <v>8331.4524999999994</v>
      </c>
      <c r="CQ118" s="2">
        <f t="shared" si="290"/>
        <v>134386.85686</v>
      </c>
      <c r="CS118" s="5">
        <f t="shared" si="304"/>
        <v>1000</v>
      </c>
      <c r="CT118" s="2">
        <f t="shared" si="305"/>
        <v>100000</v>
      </c>
      <c r="CU118" s="2">
        <f t="shared" si="306"/>
        <v>100000</v>
      </c>
      <c r="CV118" s="2">
        <f t="shared" si="307"/>
        <v>149229.1111246759</v>
      </c>
      <c r="CW118" s="8">
        <f t="shared" si="291"/>
        <v>5.1000000000000004E-2</v>
      </c>
      <c r="CX118" s="2">
        <f t="shared" si="292"/>
        <v>151766.00601379538</v>
      </c>
      <c r="CY118" s="2" t="str">
        <f t="shared" si="293"/>
        <v>nie</v>
      </c>
      <c r="CZ118" s="2">
        <f t="shared" si="222"/>
        <v>0</v>
      </c>
      <c r="DA118" s="2">
        <f t="shared" si="223"/>
        <v>0</v>
      </c>
      <c r="DB118" s="2">
        <f t="shared" si="224"/>
        <v>151766.00601379538</v>
      </c>
      <c r="DC118" s="2">
        <f t="shared" si="294"/>
        <v>0</v>
      </c>
      <c r="DD118" s="2">
        <f t="shared" si="225"/>
        <v>1157.5751901565545</v>
      </c>
      <c r="DE118" s="2">
        <f t="shared" si="226"/>
        <v>150608.43082363883</v>
      </c>
      <c r="DF118" s="2">
        <f t="shared" si="295"/>
        <v>3000</v>
      </c>
      <c r="DG118" s="2">
        <f t="shared" si="296"/>
        <v>9265.5411426211231</v>
      </c>
      <c r="DH118" s="2">
        <f t="shared" si="227"/>
        <v>138342.8896810177</v>
      </c>
    </row>
    <row r="119" spans="2:112">
      <c r="B119" s="232"/>
      <c r="C119" s="1">
        <f t="shared" si="256"/>
        <v>82</v>
      </c>
      <c r="D119" s="2">
        <f t="shared" si="259"/>
        <v>132402.15663502895</v>
      </c>
      <c r="E119" s="2">
        <f t="shared" si="260"/>
        <v>125048.21189812709</v>
      </c>
      <c r="F119" s="2">
        <f t="shared" si="261"/>
        <v>135696.04519500001</v>
      </c>
      <c r="G119" s="2">
        <f t="shared" si="262"/>
        <v>126626.228195</v>
      </c>
      <c r="H119" s="2">
        <f t="shared" si="263"/>
        <v>139987.24610569896</v>
      </c>
      <c r="I119" s="2">
        <f t="shared" si="264"/>
        <v>129797.75902754116</v>
      </c>
      <c r="J119" s="2">
        <f t="shared" si="257"/>
        <v>122020.42839520992</v>
      </c>
      <c r="K119" s="2">
        <f t="shared" si="258"/>
        <v>123205.13206522424</v>
      </c>
      <c r="W119" s="1">
        <f t="shared" si="297"/>
        <v>101</v>
      </c>
      <c r="X119" s="2">
        <f t="shared" si="274"/>
        <v>129313.253731267</v>
      </c>
      <c r="Y119" s="8">
        <f t="shared" si="230"/>
        <v>3.9100000000000003E-2</v>
      </c>
      <c r="Z119" s="5">
        <f t="shared" si="298"/>
        <v>1284</v>
      </c>
      <c r="AA119" s="2">
        <f t="shared" si="299"/>
        <v>128271.6</v>
      </c>
      <c r="AB119" s="2">
        <f t="shared" si="207"/>
        <v>128400</v>
      </c>
      <c r="AC119" s="2">
        <f t="shared" si="300"/>
        <v>139947.78240000003</v>
      </c>
      <c r="AD119" s="8">
        <f t="shared" si="275"/>
        <v>4.3999999999999997E-2</v>
      </c>
      <c r="AE119" s="2">
        <f t="shared" si="179"/>
        <v>142513.49174400003</v>
      </c>
      <c r="AF119" s="2" t="str">
        <f t="shared" si="276"/>
        <v>nie</v>
      </c>
      <c r="AG119" s="2">
        <f t="shared" si="277"/>
        <v>1284</v>
      </c>
      <c r="AH119" s="1">
        <f t="shared" si="233"/>
        <v>1</v>
      </c>
      <c r="AI119" s="1">
        <f t="shared" si="265"/>
        <v>1</v>
      </c>
      <c r="AJ119" s="1">
        <f t="shared" ref="AJ119:AJ150" si="308">IF(zapadalnosc_TOS/12&gt;=AJ$18,AI107,0)</f>
        <v>1</v>
      </c>
      <c r="AK119" s="1">
        <f t="shared" si="254"/>
        <v>0</v>
      </c>
      <c r="AL119" s="2">
        <f t="shared" si="243"/>
        <v>100</v>
      </c>
      <c r="AM119" s="8">
        <f t="shared" si="234"/>
        <v>4.3999999999999997E-2</v>
      </c>
      <c r="AN119" s="2">
        <f t="shared" si="244"/>
        <v>101.83333333333333</v>
      </c>
      <c r="AO119" s="2">
        <f t="shared" si="235"/>
        <v>1</v>
      </c>
      <c r="AP119" s="2">
        <f t="shared" si="272"/>
        <v>200</v>
      </c>
      <c r="AQ119" s="8">
        <f t="shared" si="266"/>
        <v>3.9100000000000003E-2</v>
      </c>
      <c r="AR119" s="2">
        <f t="shared" si="267"/>
        <v>203.25833333333333</v>
      </c>
      <c r="AS119" s="2">
        <f t="shared" si="268"/>
        <v>2</v>
      </c>
      <c r="AT119" s="2">
        <f t="shared" si="209"/>
        <v>0</v>
      </c>
      <c r="AU119" s="2">
        <f t="shared" si="245"/>
        <v>0</v>
      </c>
      <c r="AV119" s="2">
        <f t="shared" si="236"/>
        <v>27.857738079976997</v>
      </c>
      <c r="AW119" s="1">
        <f t="shared" si="231"/>
        <v>0</v>
      </c>
      <c r="AX119" s="2">
        <f t="shared" si="278"/>
        <v>27.857738079976997</v>
      </c>
      <c r="AY119" s="1">
        <f t="shared" si="237"/>
        <v>0</v>
      </c>
      <c r="AZ119" s="2">
        <f t="shared" si="210"/>
        <v>27.857738079976997</v>
      </c>
      <c r="BA119" s="2">
        <f t="shared" si="246"/>
        <v>142846.44114874667</v>
      </c>
      <c r="BB119" s="2">
        <f t="shared" si="279"/>
        <v>0</v>
      </c>
      <c r="BC119" s="2">
        <f t="shared" si="211"/>
        <v>1112.4194723676637</v>
      </c>
      <c r="BD119" s="2">
        <f t="shared" si="184"/>
        <v>141734.02167637899</v>
      </c>
      <c r="BE119" s="2">
        <f t="shared" si="212"/>
        <v>1287</v>
      </c>
      <c r="BF119" s="2">
        <f t="shared" si="185"/>
        <v>7896.2938182618673</v>
      </c>
      <c r="BG119" s="2">
        <f t="shared" si="186"/>
        <v>132550.72785811714</v>
      </c>
      <c r="BI119" s="8">
        <f t="shared" si="238"/>
        <v>3.1E-2</v>
      </c>
      <c r="BJ119" s="5">
        <f t="shared" si="301"/>
        <v>1096</v>
      </c>
      <c r="BK119" s="2">
        <f t="shared" si="302"/>
        <v>109490.40000000001</v>
      </c>
      <c r="BL119" s="2">
        <f t="shared" si="303"/>
        <v>109600</v>
      </c>
      <c r="BM119" s="2">
        <f t="shared" si="280"/>
        <v>109600</v>
      </c>
      <c r="BN119" s="8">
        <f t="shared" si="281"/>
        <v>4.7500000000000001E-2</v>
      </c>
      <c r="BO119" s="2">
        <f t="shared" si="282"/>
        <v>111769.16666666667</v>
      </c>
      <c r="BP119" s="2" t="str">
        <f t="shared" si="283"/>
        <v>nie</v>
      </c>
      <c r="BQ119" s="2">
        <f t="shared" si="284"/>
        <v>2169.1666666666715</v>
      </c>
      <c r="BR119" s="1">
        <f t="shared" si="239"/>
        <v>22</v>
      </c>
      <c r="BS119" s="1">
        <f t="shared" si="269"/>
        <v>112</v>
      </c>
      <c r="BT119" s="1">
        <f t="shared" ref="BT119:BT150" si="309">IF(zapadalnosc_COI/12&gt;=BT$18,BS107,0)</f>
        <v>106</v>
      </c>
      <c r="BU119" s="1">
        <f t="shared" si="255"/>
        <v>103</v>
      </c>
      <c r="BV119" s="2">
        <f t="shared" si="247"/>
        <v>2200</v>
      </c>
      <c r="BW119" s="8">
        <f t="shared" si="240"/>
        <v>4.7500000000000001E-2</v>
      </c>
      <c r="BX119" s="2">
        <f t="shared" si="248"/>
        <v>2243.5416666666665</v>
      </c>
      <c r="BY119" s="2">
        <f t="shared" si="241"/>
        <v>43.541666666666515</v>
      </c>
      <c r="BZ119" s="2">
        <f t="shared" si="273"/>
        <v>32100</v>
      </c>
      <c r="CA119" s="8">
        <f t="shared" si="270"/>
        <v>4.5999999999999999E-2</v>
      </c>
      <c r="CB119" s="2">
        <f t="shared" si="249"/>
        <v>32715.249999999996</v>
      </c>
      <c r="CC119" s="2">
        <f t="shared" si="271"/>
        <v>642</v>
      </c>
      <c r="CD119" s="2">
        <f t="shared" si="285"/>
        <v>0</v>
      </c>
      <c r="CE119" s="2">
        <f t="shared" si="250"/>
        <v>0</v>
      </c>
      <c r="CF119" s="2">
        <f t="shared" si="251"/>
        <v>99.550000000024738</v>
      </c>
      <c r="CG119" s="1">
        <f t="shared" si="232"/>
        <v>0</v>
      </c>
      <c r="CH119" s="2">
        <f t="shared" si="286"/>
        <v>99.550000000024738</v>
      </c>
      <c r="CI119" s="1">
        <f t="shared" si="242"/>
        <v>0</v>
      </c>
      <c r="CJ119" s="2">
        <f t="shared" si="252"/>
        <v>99.550000000024738</v>
      </c>
      <c r="CK119" s="2">
        <f t="shared" si="253"/>
        <v>146827.50833333336</v>
      </c>
      <c r="CL119" s="2">
        <f t="shared" si="287"/>
        <v>0</v>
      </c>
      <c r="CM119" s="2">
        <f t="shared" si="216"/>
        <v>1131.4406400000003</v>
      </c>
      <c r="CN119" s="2">
        <f t="shared" si="288"/>
        <v>145696.06769333337</v>
      </c>
      <c r="CO119" s="2">
        <f t="shared" si="217"/>
        <v>2854.708333333338</v>
      </c>
      <c r="CP119" s="2">
        <f t="shared" si="289"/>
        <v>8354.832000000004</v>
      </c>
      <c r="CQ119" s="2">
        <f t="shared" si="290"/>
        <v>134486.52736000004</v>
      </c>
      <c r="CS119" s="5">
        <f t="shared" si="304"/>
        <v>1000</v>
      </c>
      <c r="CT119" s="2">
        <f t="shared" si="305"/>
        <v>100000</v>
      </c>
      <c r="CU119" s="2">
        <f t="shared" si="306"/>
        <v>100000</v>
      </c>
      <c r="CV119" s="2">
        <f t="shared" si="307"/>
        <v>149229.1111246759</v>
      </c>
      <c r="CW119" s="8">
        <f t="shared" si="291"/>
        <v>5.1000000000000004E-2</v>
      </c>
      <c r="CX119" s="2">
        <f t="shared" si="292"/>
        <v>152400.22973607527</v>
      </c>
      <c r="CY119" s="2" t="str">
        <f t="shared" si="293"/>
        <v>nie</v>
      </c>
      <c r="CZ119" s="2">
        <f t="shared" si="222"/>
        <v>0</v>
      </c>
      <c r="DA119" s="2">
        <f t="shared" si="223"/>
        <v>0</v>
      </c>
      <c r="DB119" s="2">
        <f t="shared" si="224"/>
        <v>152400.22973607527</v>
      </c>
      <c r="DC119" s="2">
        <f t="shared" si="294"/>
        <v>0</v>
      </c>
      <c r="DD119" s="2">
        <f t="shared" si="225"/>
        <v>1157.5751901565545</v>
      </c>
      <c r="DE119" s="2">
        <f t="shared" si="226"/>
        <v>151242.65454591872</v>
      </c>
      <c r="DF119" s="2">
        <f t="shared" si="295"/>
        <v>3000</v>
      </c>
      <c r="DG119" s="2">
        <f t="shared" si="296"/>
        <v>9386.0436498543022</v>
      </c>
      <c r="DH119" s="2">
        <f t="shared" si="227"/>
        <v>138856.61089606441</v>
      </c>
    </row>
    <row r="120" spans="2:112">
      <c r="B120" s="233"/>
      <c r="C120" s="1">
        <f t="shared" si="256"/>
        <v>83</v>
      </c>
      <c r="D120" s="2">
        <f t="shared" si="259"/>
        <v>132873.32330169561</v>
      </c>
      <c r="E120" s="2">
        <f t="shared" si="260"/>
        <v>125429.85689812708</v>
      </c>
      <c r="F120" s="2">
        <f t="shared" si="261"/>
        <v>136201.07019500004</v>
      </c>
      <c r="G120" s="2">
        <f t="shared" si="262"/>
        <v>127035.29844500002</v>
      </c>
      <c r="H120" s="2">
        <f t="shared" si="263"/>
        <v>140561.41154849678</v>
      </c>
      <c r="I120" s="2">
        <f t="shared" si="264"/>
        <v>130262.83303620739</v>
      </c>
      <c r="J120" s="2">
        <f t="shared" si="257"/>
        <v>122316.93803621027</v>
      </c>
      <c r="K120" s="2">
        <f t="shared" si="258"/>
        <v>123515.39681697257</v>
      </c>
      <c r="W120" s="1">
        <f t="shared" si="297"/>
        <v>102</v>
      </c>
      <c r="X120" s="2">
        <f t="shared" si="274"/>
        <v>129643.05306205017</v>
      </c>
      <c r="Y120" s="8">
        <f t="shared" si="230"/>
        <v>3.9100000000000003E-2</v>
      </c>
      <c r="Z120" s="5">
        <f t="shared" si="298"/>
        <v>1284</v>
      </c>
      <c r="AA120" s="2">
        <f t="shared" si="299"/>
        <v>128271.6</v>
      </c>
      <c r="AB120" s="2">
        <f t="shared" si="207"/>
        <v>128400</v>
      </c>
      <c r="AC120" s="2">
        <f t="shared" si="300"/>
        <v>139947.78240000003</v>
      </c>
      <c r="AD120" s="8">
        <f t="shared" si="275"/>
        <v>4.3999999999999997E-2</v>
      </c>
      <c r="AE120" s="2">
        <f t="shared" si="179"/>
        <v>143026.63361280004</v>
      </c>
      <c r="AF120" s="2" t="str">
        <f t="shared" si="276"/>
        <v>nie</v>
      </c>
      <c r="AG120" s="2">
        <f t="shared" si="277"/>
        <v>1284</v>
      </c>
      <c r="AH120" s="1">
        <f t="shared" si="233"/>
        <v>1</v>
      </c>
      <c r="AI120" s="1">
        <f t="shared" si="265"/>
        <v>1</v>
      </c>
      <c r="AJ120" s="1">
        <f t="shared" si="308"/>
        <v>1</v>
      </c>
      <c r="AK120" s="1">
        <f t="shared" si="254"/>
        <v>0</v>
      </c>
      <c r="AL120" s="2">
        <f t="shared" si="243"/>
        <v>100</v>
      </c>
      <c r="AM120" s="8">
        <f t="shared" si="234"/>
        <v>4.3999999999999997E-2</v>
      </c>
      <c r="AN120" s="2">
        <f t="shared" si="244"/>
        <v>102.2</v>
      </c>
      <c r="AO120" s="2">
        <f t="shared" si="235"/>
        <v>1</v>
      </c>
      <c r="AP120" s="2">
        <f t="shared" si="272"/>
        <v>200</v>
      </c>
      <c r="AQ120" s="8">
        <f t="shared" si="266"/>
        <v>3.9100000000000003E-2</v>
      </c>
      <c r="AR120" s="2">
        <f t="shared" si="267"/>
        <v>203.91</v>
      </c>
      <c r="AS120" s="2">
        <f t="shared" si="268"/>
        <v>2</v>
      </c>
      <c r="AT120" s="2">
        <f t="shared" si="209"/>
        <v>0</v>
      </c>
      <c r="AU120" s="2">
        <f t="shared" si="245"/>
        <v>0</v>
      </c>
      <c r="AV120" s="2">
        <f t="shared" si="236"/>
        <v>27.857738079976997</v>
      </c>
      <c r="AW120" s="1">
        <f t="shared" si="231"/>
        <v>0</v>
      </c>
      <c r="AX120" s="2">
        <f t="shared" si="278"/>
        <v>27.857738079976997</v>
      </c>
      <c r="AY120" s="1">
        <f t="shared" si="237"/>
        <v>0</v>
      </c>
      <c r="AZ120" s="2">
        <f t="shared" si="210"/>
        <v>27.857738079976997</v>
      </c>
      <c r="BA120" s="2">
        <f t="shared" si="246"/>
        <v>143360.60135088002</v>
      </c>
      <c r="BB120" s="2">
        <f t="shared" si="279"/>
        <v>0</v>
      </c>
      <c r="BC120" s="2">
        <f t="shared" si="211"/>
        <v>1112.4194723676637</v>
      </c>
      <c r="BD120" s="2">
        <f t="shared" si="184"/>
        <v>142248.18187851235</v>
      </c>
      <c r="BE120" s="2">
        <f t="shared" si="212"/>
        <v>1287</v>
      </c>
      <c r="BF120" s="2">
        <f t="shared" si="185"/>
        <v>7993.984256667205</v>
      </c>
      <c r="BG120" s="2">
        <f t="shared" si="186"/>
        <v>132967.19762184515</v>
      </c>
      <c r="BI120" s="8">
        <f t="shared" si="238"/>
        <v>3.1E-2</v>
      </c>
      <c r="BJ120" s="5">
        <f t="shared" si="301"/>
        <v>1096</v>
      </c>
      <c r="BK120" s="2">
        <f t="shared" si="302"/>
        <v>109490.40000000001</v>
      </c>
      <c r="BL120" s="2">
        <f t="shared" si="303"/>
        <v>109600</v>
      </c>
      <c r="BM120" s="2">
        <f t="shared" si="280"/>
        <v>109600</v>
      </c>
      <c r="BN120" s="8">
        <f t="shared" si="281"/>
        <v>4.7500000000000001E-2</v>
      </c>
      <c r="BO120" s="2">
        <f t="shared" si="282"/>
        <v>112203</v>
      </c>
      <c r="BP120" s="2" t="str">
        <f t="shared" si="283"/>
        <v>nie</v>
      </c>
      <c r="BQ120" s="2">
        <f t="shared" si="284"/>
        <v>2192</v>
      </c>
      <c r="BR120" s="1">
        <f t="shared" si="239"/>
        <v>22</v>
      </c>
      <c r="BS120" s="1">
        <f t="shared" si="269"/>
        <v>112</v>
      </c>
      <c r="BT120" s="1">
        <f t="shared" si="309"/>
        <v>106</v>
      </c>
      <c r="BU120" s="1">
        <f t="shared" si="255"/>
        <v>103</v>
      </c>
      <c r="BV120" s="2">
        <f t="shared" si="247"/>
        <v>2200</v>
      </c>
      <c r="BW120" s="8">
        <f t="shared" si="240"/>
        <v>4.7500000000000001E-2</v>
      </c>
      <c r="BX120" s="2">
        <f t="shared" si="248"/>
        <v>2252.25</v>
      </c>
      <c r="BY120" s="2">
        <f t="shared" si="241"/>
        <v>44</v>
      </c>
      <c r="BZ120" s="2">
        <f t="shared" si="273"/>
        <v>32100</v>
      </c>
      <c r="CA120" s="8">
        <f t="shared" si="270"/>
        <v>4.5999999999999999E-2</v>
      </c>
      <c r="CB120" s="2">
        <f t="shared" si="249"/>
        <v>32838.299999999996</v>
      </c>
      <c r="CC120" s="2">
        <f t="shared" si="271"/>
        <v>642</v>
      </c>
      <c r="CD120" s="2">
        <f t="shared" si="285"/>
        <v>0</v>
      </c>
      <c r="CE120" s="2">
        <f t="shared" si="250"/>
        <v>0</v>
      </c>
      <c r="CF120" s="2">
        <f t="shared" si="251"/>
        <v>99.550000000024738</v>
      </c>
      <c r="CG120" s="1">
        <f t="shared" si="232"/>
        <v>0</v>
      </c>
      <c r="CH120" s="2">
        <f t="shared" si="286"/>
        <v>99.550000000024738</v>
      </c>
      <c r="CI120" s="1">
        <f t="shared" si="242"/>
        <v>0</v>
      </c>
      <c r="CJ120" s="2">
        <f t="shared" si="252"/>
        <v>99.550000000024738</v>
      </c>
      <c r="CK120" s="2">
        <f t="shared" si="253"/>
        <v>147393.1</v>
      </c>
      <c r="CL120" s="2">
        <f t="shared" si="287"/>
        <v>0</v>
      </c>
      <c r="CM120" s="2">
        <f t="shared" si="216"/>
        <v>1131.4406400000003</v>
      </c>
      <c r="CN120" s="2">
        <f t="shared" si="288"/>
        <v>146261.65936000002</v>
      </c>
      <c r="CO120" s="2">
        <f t="shared" si="217"/>
        <v>2878</v>
      </c>
      <c r="CP120" s="2">
        <f t="shared" si="289"/>
        <v>8457.8690000000006</v>
      </c>
      <c r="CQ120" s="2">
        <f t="shared" si="290"/>
        <v>134925.79036000001</v>
      </c>
      <c r="CS120" s="5">
        <f t="shared" si="304"/>
        <v>1000</v>
      </c>
      <c r="CT120" s="2">
        <f t="shared" si="305"/>
        <v>100000</v>
      </c>
      <c r="CU120" s="2">
        <f t="shared" si="306"/>
        <v>100000</v>
      </c>
      <c r="CV120" s="2">
        <f t="shared" si="307"/>
        <v>149229.1111246759</v>
      </c>
      <c r="CW120" s="8">
        <f t="shared" si="291"/>
        <v>5.1000000000000004E-2</v>
      </c>
      <c r="CX120" s="2">
        <f t="shared" si="292"/>
        <v>153034.45345835513</v>
      </c>
      <c r="CY120" s="2" t="str">
        <f t="shared" si="293"/>
        <v>nie</v>
      </c>
      <c r="CZ120" s="2">
        <f t="shared" si="222"/>
        <v>0</v>
      </c>
      <c r="DA120" s="2">
        <f t="shared" si="223"/>
        <v>0</v>
      </c>
      <c r="DB120" s="2">
        <f t="shared" si="224"/>
        <v>153034.45345835513</v>
      </c>
      <c r="DC120" s="2">
        <f t="shared" si="294"/>
        <v>0</v>
      </c>
      <c r="DD120" s="2">
        <f t="shared" si="225"/>
        <v>1157.5751901565545</v>
      </c>
      <c r="DE120" s="2">
        <f t="shared" si="226"/>
        <v>151876.87826819858</v>
      </c>
      <c r="DF120" s="2">
        <f t="shared" si="295"/>
        <v>3000</v>
      </c>
      <c r="DG120" s="2">
        <f t="shared" si="296"/>
        <v>9506.5461570874741</v>
      </c>
      <c r="DH120" s="2">
        <f t="shared" si="227"/>
        <v>139370.33211111111</v>
      </c>
    </row>
    <row r="121" spans="2:112">
      <c r="B121" s="231">
        <f>ROUNDUP(C122/12,0)</f>
        <v>8</v>
      </c>
      <c r="C121" s="3">
        <f t="shared" si="256"/>
        <v>84</v>
      </c>
      <c r="D121" s="10">
        <f t="shared" si="259"/>
        <v>133196.9039058504</v>
      </c>
      <c r="E121" s="10">
        <f t="shared" si="260"/>
        <v>125663.9158356152</v>
      </c>
      <c r="F121" s="10">
        <f t="shared" si="261"/>
        <v>136554.79861</v>
      </c>
      <c r="G121" s="10">
        <f t="shared" si="262"/>
        <v>127293.07210999999</v>
      </c>
      <c r="H121" s="10">
        <f t="shared" si="263"/>
        <v>140979.39048107842</v>
      </c>
      <c r="I121" s="10">
        <f t="shared" si="264"/>
        <v>130571.72053465746</v>
      </c>
      <c r="J121" s="10">
        <f t="shared" si="257"/>
        <v>122614.16819563825</v>
      </c>
      <c r="K121" s="10">
        <f t="shared" si="258"/>
        <v>123825.66156872088</v>
      </c>
      <c r="W121" s="1">
        <f t="shared" si="297"/>
        <v>103</v>
      </c>
      <c r="X121" s="2">
        <f t="shared" si="274"/>
        <v>129972.8523928333</v>
      </c>
      <c r="Y121" s="8">
        <f t="shared" ref="Y121:Y152" si="310">MAX(INDEX(scenariusz_I_WIBOR6M,MATCH(ROUNDUP(W121/12,0),scenariusz_I_rok,0)),0)</f>
        <v>3.9100000000000003E-2</v>
      </c>
      <c r="Z121" s="5">
        <f t="shared" si="298"/>
        <v>1284</v>
      </c>
      <c r="AA121" s="2">
        <f t="shared" si="299"/>
        <v>128271.6</v>
      </c>
      <c r="AB121" s="2">
        <f t="shared" si="207"/>
        <v>128400</v>
      </c>
      <c r="AC121" s="2">
        <f t="shared" si="300"/>
        <v>139947.78240000003</v>
      </c>
      <c r="AD121" s="8">
        <f t="shared" si="275"/>
        <v>4.3999999999999997E-2</v>
      </c>
      <c r="AE121" s="2">
        <f t="shared" si="179"/>
        <v>143539.77548160002</v>
      </c>
      <c r="AF121" s="2" t="str">
        <f t="shared" si="276"/>
        <v>nie</v>
      </c>
      <c r="AG121" s="2">
        <f t="shared" si="277"/>
        <v>1284</v>
      </c>
      <c r="AH121" s="1">
        <f t="shared" si="233"/>
        <v>1</v>
      </c>
      <c r="AI121" s="1">
        <f t="shared" si="265"/>
        <v>1</v>
      </c>
      <c r="AJ121" s="1">
        <f t="shared" si="308"/>
        <v>1</v>
      </c>
      <c r="AK121" s="1">
        <f t="shared" si="254"/>
        <v>0</v>
      </c>
      <c r="AL121" s="2">
        <f t="shared" si="243"/>
        <v>100</v>
      </c>
      <c r="AM121" s="8">
        <f t="shared" si="234"/>
        <v>4.3999999999999997E-2</v>
      </c>
      <c r="AN121" s="2">
        <f t="shared" si="244"/>
        <v>102.56666666666668</v>
      </c>
      <c r="AO121" s="2">
        <f t="shared" si="235"/>
        <v>1</v>
      </c>
      <c r="AP121" s="2">
        <f t="shared" si="272"/>
        <v>200</v>
      </c>
      <c r="AQ121" s="8">
        <f t="shared" si="266"/>
        <v>3.9100000000000003E-2</v>
      </c>
      <c r="AR121" s="2">
        <f t="shared" si="267"/>
        <v>204.56166666666667</v>
      </c>
      <c r="AS121" s="2">
        <f t="shared" si="268"/>
        <v>2</v>
      </c>
      <c r="AT121" s="2">
        <f t="shared" si="209"/>
        <v>0</v>
      </c>
      <c r="AU121" s="2">
        <f t="shared" si="245"/>
        <v>0</v>
      </c>
      <c r="AV121" s="2">
        <f t="shared" si="236"/>
        <v>27.857738079976997</v>
      </c>
      <c r="AW121" s="1">
        <f t="shared" si="231"/>
        <v>0</v>
      </c>
      <c r="AX121" s="2">
        <f t="shared" si="278"/>
        <v>27.857738079976997</v>
      </c>
      <c r="AY121" s="1">
        <f t="shared" si="237"/>
        <v>0</v>
      </c>
      <c r="AZ121" s="2">
        <f t="shared" si="210"/>
        <v>27.857738079976997</v>
      </c>
      <c r="BA121" s="2">
        <f t="shared" si="246"/>
        <v>143874.76155301335</v>
      </c>
      <c r="BB121" s="2">
        <f t="shared" si="279"/>
        <v>0</v>
      </c>
      <c r="BC121" s="2">
        <f t="shared" si="211"/>
        <v>1112.4194723676637</v>
      </c>
      <c r="BD121" s="2">
        <f t="shared" si="184"/>
        <v>142762.34208064567</v>
      </c>
      <c r="BE121" s="2">
        <f t="shared" si="212"/>
        <v>1287</v>
      </c>
      <c r="BF121" s="2">
        <f t="shared" si="185"/>
        <v>8091.6746950725365</v>
      </c>
      <c r="BG121" s="2">
        <f t="shared" si="186"/>
        <v>133383.66738557312</v>
      </c>
      <c r="BI121" s="8">
        <f t="shared" si="238"/>
        <v>3.1E-2</v>
      </c>
      <c r="BJ121" s="5">
        <f t="shared" si="301"/>
        <v>1096</v>
      </c>
      <c r="BK121" s="2">
        <f t="shared" si="302"/>
        <v>109490.40000000001</v>
      </c>
      <c r="BL121" s="2">
        <f t="shared" si="303"/>
        <v>109600</v>
      </c>
      <c r="BM121" s="2">
        <f t="shared" si="280"/>
        <v>109600</v>
      </c>
      <c r="BN121" s="8">
        <f t="shared" si="281"/>
        <v>4.7500000000000001E-2</v>
      </c>
      <c r="BO121" s="2">
        <f t="shared" si="282"/>
        <v>112636.83333333334</v>
      </c>
      <c r="BP121" s="2" t="str">
        <f t="shared" si="283"/>
        <v>nie</v>
      </c>
      <c r="BQ121" s="2">
        <f t="shared" si="284"/>
        <v>2192</v>
      </c>
      <c r="BR121" s="1">
        <f t="shared" si="239"/>
        <v>22</v>
      </c>
      <c r="BS121" s="1">
        <f t="shared" si="269"/>
        <v>112</v>
      </c>
      <c r="BT121" s="1">
        <f t="shared" si="309"/>
        <v>106</v>
      </c>
      <c r="BU121" s="1">
        <f t="shared" si="255"/>
        <v>103</v>
      </c>
      <c r="BV121" s="2">
        <f t="shared" si="247"/>
        <v>2200</v>
      </c>
      <c r="BW121" s="8">
        <f t="shared" si="240"/>
        <v>4.7500000000000001E-2</v>
      </c>
      <c r="BX121" s="2">
        <f t="shared" si="248"/>
        <v>2260.9583333333335</v>
      </c>
      <c r="BY121" s="2">
        <f t="shared" si="241"/>
        <v>44</v>
      </c>
      <c r="BZ121" s="2">
        <f t="shared" si="273"/>
        <v>32100</v>
      </c>
      <c r="CA121" s="8">
        <f t="shared" si="270"/>
        <v>4.5999999999999999E-2</v>
      </c>
      <c r="CB121" s="2">
        <f t="shared" si="249"/>
        <v>32961.35</v>
      </c>
      <c r="CC121" s="2">
        <f t="shared" si="271"/>
        <v>642</v>
      </c>
      <c r="CD121" s="2">
        <f t="shared" si="285"/>
        <v>0</v>
      </c>
      <c r="CE121" s="2">
        <f t="shared" si="250"/>
        <v>0</v>
      </c>
      <c r="CF121" s="2">
        <f t="shared" si="251"/>
        <v>99.550000000024738</v>
      </c>
      <c r="CG121" s="1">
        <f t="shared" si="232"/>
        <v>0</v>
      </c>
      <c r="CH121" s="2">
        <f t="shared" si="286"/>
        <v>99.550000000024738</v>
      </c>
      <c r="CI121" s="1">
        <f t="shared" si="242"/>
        <v>0</v>
      </c>
      <c r="CJ121" s="2">
        <f t="shared" si="252"/>
        <v>99.550000000024738</v>
      </c>
      <c r="CK121" s="2">
        <f t="shared" si="253"/>
        <v>147958.69166666668</v>
      </c>
      <c r="CL121" s="2">
        <f t="shared" si="287"/>
        <v>0</v>
      </c>
      <c r="CM121" s="2">
        <f t="shared" si="216"/>
        <v>1131.4406400000003</v>
      </c>
      <c r="CN121" s="2">
        <f t="shared" si="288"/>
        <v>146827.25102666669</v>
      </c>
      <c r="CO121" s="2">
        <f t="shared" si="217"/>
        <v>2878</v>
      </c>
      <c r="CP121" s="2">
        <f t="shared" si="289"/>
        <v>8565.3314166666696</v>
      </c>
      <c r="CQ121" s="2">
        <f t="shared" si="290"/>
        <v>135383.91961000001</v>
      </c>
      <c r="CS121" s="5">
        <f t="shared" si="304"/>
        <v>1000</v>
      </c>
      <c r="CT121" s="2">
        <f t="shared" si="305"/>
        <v>100000</v>
      </c>
      <c r="CU121" s="2">
        <f t="shared" si="306"/>
        <v>100000</v>
      </c>
      <c r="CV121" s="2">
        <f t="shared" si="307"/>
        <v>149229.1111246759</v>
      </c>
      <c r="CW121" s="8">
        <f t="shared" si="291"/>
        <v>5.1000000000000004E-2</v>
      </c>
      <c r="CX121" s="2">
        <f t="shared" si="292"/>
        <v>153668.67718063499</v>
      </c>
      <c r="CY121" s="2" t="str">
        <f t="shared" si="293"/>
        <v>nie</v>
      </c>
      <c r="CZ121" s="2">
        <f t="shared" si="222"/>
        <v>0</v>
      </c>
      <c r="DA121" s="2">
        <f t="shared" si="223"/>
        <v>0</v>
      </c>
      <c r="DB121" s="2">
        <f t="shared" si="224"/>
        <v>153668.67718063499</v>
      </c>
      <c r="DC121" s="2">
        <f t="shared" si="294"/>
        <v>0</v>
      </c>
      <c r="DD121" s="2">
        <f t="shared" si="225"/>
        <v>1157.5751901565545</v>
      </c>
      <c r="DE121" s="2">
        <f t="shared" si="226"/>
        <v>152511.10199047843</v>
      </c>
      <c r="DF121" s="2">
        <f t="shared" si="295"/>
        <v>3000</v>
      </c>
      <c r="DG121" s="2">
        <f t="shared" si="296"/>
        <v>9627.0486643206477</v>
      </c>
      <c r="DH121" s="2">
        <f t="shared" si="227"/>
        <v>139884.05332615779</v>
      </c>
    </row>
    <row r="122" spans="2:112">
      <c r="B122" s="232"/>
      <c r="C122" s="1">
        <f t="shared" si="256"/>
        <v>85</v>
      </c>
      <c r="D122" s="2">
        <f t="shared" si="259"/>
        <v>133789.1116058504</v>
      </c>
      <c r="E122" s="2">
        <f t="shared" si="260"/>
        <v>126143.30707261521</v>
      </c>
      <c r="F122" s="2">
        <f t="shared" si="261"/>
        <v>137088.38194333337</v>
      </c>
      <c r="G122" s="2">
        <f t="shared" si="262"/>
        <v>127771.98461000001</v>
      </c>
      <c r="H122" s="2">
        <f t="shared" si="263"/>
        <v>141582.83836145888</v>
      </c>
      <c r="I122" s="2">
        <f t="shared" si="264"/>
        <v>131060.51331776564</v>
      </c>
      <c r="J122" s="2">
        <f t="shared" si="257"/>
        <v>122912.12062435364</v>
      </c>
      <c r="K122" s="2">
        <f t="shared" si="258"/>
        <v>124145.54452777343</v>
      </c>
      <c r="W122" s="1">
        <f t="shared" si="297"/>
        <v>104</v>
      </c>
      <c r="X122" s="2">
        <f t="shared" si="274"/>
        <v>130302.65172361647</v>
      </c>
      <c r="Y122" s="8">
        <f t="shared" si="310"/>
        <v>3.9100000000000003E-2</v>
      </c>
      <c r="Z122" s="5">
        <f t="shared" si="298"/>
        <v>1284</v>
      </c>
      <c r="AA122" s="2">
        <f t="shared" si="299"/>
        <v>128271.6</v>
      </c>
      <c r="AB122" s="2">
        <f t="shared" si="207"/>
        <v>128400</v>
      </c>
      <c r="AC122" s="2">
        <f t="shared" si="300"/>
        <v>139947.78240000003</v>
      </c>
      <c r="AD122" s="8">
        <f t="shared" si="275"/>
        <v>4.3999999999999997E-2</v>
      </c>
      <c r="AE122" s="2">
        <f t="shared" si="179"/>
        <v>144052.91735040004</v>
      </c>
      <c r="AF122" s="2" t="str">
        <f t="shared" si="276"/>
        <v>nie</v>
      </c>
      <c r="AG122" s="2">
        <f t="shared" si="277"/>
        <v>1284</v>
      </c>
      <c r="AH122" s="1">
        <f t="shared" si="233"/>
        <v>1</v>
      </c>
      <c r="AI122" s="1">
        <f t="shared" si="265"/>
        <v>1</v>
      </c>
      <c r="AJ122" s="1">
        <f t="shared" si="308"/>
        <v>1</v>
      </c>
      <c r="AK122" s="1">
        <f t="shared" si="254"/>
        <v>0</v>
      </c>
      <c r="AL122" s="2">
        <f t="shared" si="243"/>
        <v>100</v>
      </c>
      <c r="AM122" s="8">
        <f t="shared" si="234"/>
        <v>4.3999999999999997E-2</v>
      </c>
      <c r="AN122" s="2">
        <f t="shared" si="244"/>
        <v>102.93333333333334</v>
      </c>
      <c r="AO122" s="2">
        <f t="shared" si="235"/>
        <v>1</v>
      </c>
      <c r="AP122" s="2">
        <f t="shared" si="272"/>
        <v>200</v>
      </c>
      <c r="AQ122" s="8">
        <f t="shared" si="266"/>
        <v>3.9100000000000003E-2</v>
      </c>
      <c r="AR122" s="2">
        <f t="shared" si="267"/>
        <v>205.21333333333334</v>
      </c>
      <c r="AS122" s="2">
        <f t="shared" si="268"/>
        <v>2</v>
      </c>
      <c r="AT122" s="2">
        <f t="shared" si="209"/>
        <v>0</v>
      </c>
      <c r="AU122" s="2">
        <f t="shared" si="245"/>
        <v>0</v>
      </c>
      <c r="AV122" s="2">
        <f t="shared" si="236"/>
        <v>27.857738079976997</v>
      </c>
      <c r="AW122" s="1">
        <f t="shared" si="231"/>
        <v>0</v>
      </c>
      <c r="AX122" s="2">
        <f t="shared" si="278"/>
        <v>27.857738079976997</v>
      </c>
      <c r="AY122" s="1">
        <f t="shared" si="237"/>
        <v>0</v>
      </c>
      <c r="AZ122" s="2">
        <f t="shared" si="210"/>
        <v>27.857738079976997</v>
      </c>
      <c r="BA122" s="2">
        <f t="shared" si="246"/>
        <v>144388.92175514667</v>
      </c>
      <c r="BB122" s="2">
        <f t="shared" si="279"/>
        <v>0</v>
      </c>
      <c r="BC122" s="2">
        <f t="shared" si="211"/>
        <v>1112.4194723676637</v>
      </c>
      <c r="BD122" s="2">
        <f t="shared" si="184"/>
        <v>143276.50228277899</v>
      </c>
      <c r="BE122" s="2">
        <f t="shared" si="212"/>
        <v>1287</v>
      </c>
      <c r="BF122" s="2">
        <f t="shared" si="185"/>
        <v>8189.3651334778679</v>
      </c>
      <c r="BG122" s="2">
        <f t="shared" si="186"/>
        <v>133800.13714930112</v>
      </c>
      <c r="BI122" s="8">
        <f t="shared" si="238"/>
        <v>3.1E-2</v>
      </c>
      <c r="BJ122" s="5">
        <f t="shared" si="301"/>
        <v>1096</v>
      </c>
      <c r="BK122" s="2">
        <f t="shared" si="302"/>
        <v>109490.40000000001</v>
      </c>
      <c r="BL122" s="2">
        <f t="shared" si="303"/>
        <v>109600</v>
      </c>
      <c r="BM122" s="2">
        <f t="shared" si="280"/>
        <v>109600</v>
      </c>
      <c r="BN122" s="8">
        <f t="shared" si="281"/>
        <v>4.7500000000000001E-2</v>
      </c>
      <c r="BO122" s="2">
        <f t="shared" si="282"/>
        <v>113070.66666666667</v>
      </c>
      <c r="BP122" s="2" t="str">
        <f t="shared" si="283"/>
        <v>nie</v>
      </c>
      <c r="BQ122" s="2">
        <f t="shared" si="284"/>
        <v>2192</v>
      </c>
      <c r="BR122" s="1">
        <f t="shared" si="239"/>
        <v>22</v>
      </c>
      <c r="BS122" s="1">
        <f t="shared" si="269"/>
        <v>112</v>
      </c>
      <c r="BT122" s="1">
        <f t="shared" si="309"/>
        <v>106</v>
      </c>
      <c r="BU122" s="1">
        <f t="shared" si="255"/>
        <v>103</v>
      </c>
      <c r="BV122" s="2">
        <f t="shared" si="247"/>
        <v>2200</v>
      </c>
      <c r="BW122" s="8">
        <f t="shared" si="240"/>
        <v>4.7500000000000001E-2</v>
      </c>
      <c r="BX122" s="2">
        <f t="shared" si="248"/>
        <v>2269.666666666667</v>
      </c>
      <c r="BY122" s="2">
        <f t="shared" si="241"/>
        <v>44</v>
      </c>
      <c r="BZ122" s="2">
        <f t="shared" si="273"/>
        <v>32100</v>
      </c>
      <c r="CA122" s="8">
        <f t="shared" si="270"/>
        <v>4.5999999999999999E-2</v>
      </c>
      <c r="CB122" s="2">
        <f t="shared" si="249"/>
        <v>33084.400000000001</v>
      </c>
      <c r="CC122" s="2">
        <f t="shared" si="271"/>
        <v>642</v>
      </c>
      <c r="CD122" s="2">
        <f t="shared" si="285"/>
        <v>0</v>
      </c>
      <c r="CE122" s="2">
        <f t="shared" si="250"/>
        <v>0</v>
      </c>
      <c r="CF122" s="2">
        <f t="shared" si="251"/>
        <v>99.550000000024738</v>
      </c>
      <c r="CG122" s="1">
        <f t="shared" si="232"/>
        <v>0</v>
      </c>
      <c r="CH122" s="2">
        <f t="shared" si="286"/>
        <v>99.550000000024738</v>
      </c>
      <c r="CI122" s="1">
        <f t="shared" si="242"/>
        <v>0</v>
      </c>
      <c r="CJ122" s="2">
        <f t="shared" si="252"/>
        <v>99.550000000024738</v>
      </c>
      <c r="CK122" s="2">
        <f t="shared" si="253"/>
        <v>148524.28333333335</v>
      </c>
      <c r="CL122" s="2">
        <f t="shared" si="287"/>
        <v>0</v>
      </c>
      <c r="CM122" s="2">
        <f t="shared" si="216"/>
        <v>1131.4406400000003</v>
      </c>
      <c r="CN122" s="2">
        <f t="shared" si="288"/>
        <v>147392.84269333337</v>
      </c>
      <c r="CO122" s="2">
        <f t="shared" si="217"/>
        <v>2878</v>
      </c>
      <c r="CP122" s="2">
        <f t="shared" si="289"/>
        <v>8672.7938333333368</v>
      </c>
      <c r="CQ122" s="2">
        <f t="shared" si="290"/>
        <v>135842.04886000004</v>
      </c>
      <c r="CS122" s="5">
        <f t="shared" si="304"/>
        <v>1000</v>
      </c>
      <c r="CT122" s="2">
        <f t="shared" si="305"/>
        <v>100000</v>
      </c>
      <c r="CU122" s="2">
        <f t="shared" si="306"/>
        <v>100000</v>
      </c>
      <c r="CV122" s="2">
        <f t="shared" si="307"/>
        <v>149229.1111246759</v>
      </c>
      <c r="CW122" s="8">
        <f t="shared" si="291"/>
        <v>5.1000000000000004E-2</v>
      </c>
      <c r="CX122" s="2">
        <f t="shared" si="292"/>
        <v>154302.90090291487</v>
      </c>
      <c r="CY122" s="2" t="str">
        <f t="shared" si="293"/>
        <v>nie</v>
      </c>
      <c r="CZ122" s="2">
        <f t="shared" si="222"/>
        <v>0</v>
      </c>
      <c r="DA122" s="2">
        <f t="shared" si="223"/>
        <v>0</v>
      </c>
      <c r="DB122" s="2">
        <f t="shared" si="224"/>
        <v>154302.90090291487</v>
      </c>
      <c r="DC122" s="2">
        <f t="shared" si="294"/>
        <v>0</v>
      </c>
      <c r="DD122" s="2">
        <f t="shared" si="225"/>
        <v>1157.5751901565545</v>
      </c>
      <c r="DE122" s="2">
        <f t="shared" si="226"/>
        <v>153145.32571275832</v>
      </c>
      <c r="DF122" s="2">
        <f t="shared" si="295"/>
        <v>3000</v>
      </c>
      <c r="DG122" s="2">
        <f t="shared" si="296"/>
        <v>9747.5511715538269</v>
      </c>
      <c r="DH122" s="2">
        <f t="shared" si="227"/>
        <v>140397.7745412045</v>
      </c>
    </row>
    <row r="123" spans="2:112">
      <c r="B123" s="232"/>
      <c r="C123" s="1">
        <f t="shared" si="256"/>
        <v>86</v>
      </c>
      <c r="D123" s="2">
        <f t="shared" si="259"/>
        <v>134281.31930585043</v>
      </c>
      <c r="E123" s="2">
        <f t="shared" si="260"/>
        <v>126541.69830961523</v>
      </c>
      <c r="F123" s="2">
        <f t="shared" si="261"/>
        <v>137616.86527666671</v>
      </c>
      <c r="G123" s="2">
        <f t="shared" si="262"/>
        <v>128164.14611000005</v>
      </c>
      <c r="H123" s="2">
        <f t="shared" si="263"/>
        <v>142186.28624183935</v>
      </c>
      <c r="I123" s="2">
        <f t="shared" si="264"/>
        <v>131549.30610087383</v>
      </c>
      <c r="J123" s="2">
        <f t="shared" si="257"/>
        <v>123210.79707747081</v>
      </c>
      <c r="K123" s="2">
        <f t="shared" si="258"/>
        <v>124465.42748682595</v>
      </c>
      <c r="W123" s="1">
        <f t="shared" si="297"/>
        <v>105</v>
      </c>
      <c r="X123" s="2">
        <f t="shared" si="274"/>
        <v>130632.45105439963</v>
      </c>
      <c r="Y123" s="8">
        <f t="shared" si="310"/>
        <v>3.9100000000000003E-2</v>
      </c>
      <c r="Z123" s="5">
        <f t="shared" si="298"/>
        <v>1284</v>
      </c>
      <c r="AA123" s="2">
        <f t="shared" si="299"/>
        <v>128271.6</v>
      </c>
      <c r="AB123" s="2">
        <f t="shared" si="207"/>
        <v>128400</v>
      </c>
      <c r="AC123" s="2">
        <f t="shared" si="300"/>
        <v>139947.78240000003</v>
      </c>
      <c r="AD123" s="8">
        <f t="shared" si="275"/>
        <v>4.3999999999999997E-2</v>
      </c>
      <c r="AE123" s="2">
        <f t="shared" si="179"/>
        <v>144566.05921920002</v>
      </c>
      <c r="AF123" s="2" t="str">
        <f t="shared" si="276"/>
        <v>nie</v>
      </c>
      <c r="AG123" s="2">
        <f t="shared" si="277"/>
        <v>1284</v>
      </c>
      <c r="AH123" s="1">
        <f t="shared" si="233"/>
        <v>1</v>
      </c>
      <c r="AI123" s="1">
        <f t="shared" si="265"/>
        <v>1</v>
      </c>
      <c r="AJ123" s="1">
        <f t="shared" si="308"/>
        <v>1</v>
      </c>
      <c r="AK123" s="1">
        <f t="shared" si="254"/>
        <v>0</v>
      </c>
      <c r="AL123" s="2">
        <f t="shared" si="243"/>
        <v>100</v>
      </c>
      <c r="AM123" s="8">
        <f t="shared" si="234"/>
        <v>4.3999999999999997E-2</v>
      </c>
      <c r="AN123" s="2">
        <f t="shared" si="244"/>
        <v>103.3</v>
      </c>
      <c r="AO123" s="2">
        <f t="shared" si="235"/>
        <v>1</v>
      </c>
      <c r="AP123" s="2">
        <f t="shared" si="272"/>
        <v>200</v>
      </c>
      <c r="AQ123" s="8">
        <f t="shared" si="266"/>
        <v>3.9100000000000003E-2</v>
      </c>
      <c r="AR123" s="2">
        <f t="shared" si="267"/>
        <v>205.86500000000001</v>
      </c>
      <c r="AS123" s="2">
        <f t="shared" si="268"/>
        <v>2</v>
      </c>
      <c r="AT123" s="2">
        <f t="shared" si="209"/>
        <v>0</v>
      </c>
      <c r="AU123" s="2">
        <f t="shared" si="245"/>
        <v>0</v>
      </c>
      <c r="AV123" s="2">
        <f t="shared" si="236"/>
        <v>27.857738079976997</v>
      </c>
      <c r="AW123" s="1">
        <f t="shared" si="231"/>
        <v>0</v>
      </c>
      <c r="AX123" s="2">
        <f t="shared" si="278"/>
        <v>27.857738079976997</v>
      </c>
      <c r="AY123" s="1">
        <f t="shared" si="237"/>
        <v>0</v>
      </c>
      <c r="AZ123" s="2">
        <f t="shared" si="210"/>
        <v>27.857738079976997</v>
      </c>
      <c r="BA123" s="2">
        <f t="shared" si="246"/>
        <v>144903.08195727997</v>
      </c>
      <c r="BB123" s="2">
        <f t="shared" si="279"/>
        <v>0</v>
      </c>
      <c r="BC123" s="2">
        <f t="shared" si="211"/>
        <v>1112.4194723676637</v>
      </c>
      <c r="BD123" s="2">
        <f t="shared" si="184"/>
        <v>143790.66248491229</v>
      </c>
      <c r="BE123" s="2">
        <f t="shared" si="212"/>
        <v>1287</v>
      </c>
      <c r="BF123" s="2">
        <f t="shared" si="185"/>
        <v>8287.0555718831929</v>
      </c>
      <c r="BG123" s="2">
        <f t="shared" si="186"/>
        <v>134216.6069130291</v>
      </c>
      <c r="BI123" s="8">
        <f t="shared" si="238"/>
        <v>3.1E-2</v>
      </c>
      <c r="BJ123" s="5">
        <f t="shared" si="301"/>
        <v>1096</v>
      </c>
      <c r="BK123" s="2">
        <f t="shared" si="302"/>
        <v>109490.40000000001</v>
      </c>
      <c r="BL123" s="2">
        <f t="shared" si="303"/>
        <v>109600</v>
      </c>
      <c r="BM123" s="2">
        <f t="shared" si="280"/>
        <v>109600</v>
      </c>
      <c r="BN123" s="8">
        <f t="shared" si="281"/>
        <v>4.7500000000000001E-2</v>
      </c>
      <c r="BO123" s="2">
        <f t="shared" si="282"/>
        <v>113504.5</v>
      </c>
      <c r="BP123" s="2" t="str">
        <f t="shared" si="283"/>
        <v>nie</v>
      </c>
      <c r="BQ123" s="2">
        <f t="shared" si="284"/>
        <v>2192</v>
      </c>
      <c r="BR123" s="1">
        <f t="shared" si="239"/>
        <v>22</v>
      </c>
      <c r="BS123" s="1">
        <f t="shared" si="269"/>
        <v>112</v>
      </c>
      <c r="BT123" s="1">
        <f t="shared" si="309"/>
        <v>106</v>
      </c>
      <c r="BU123" s="1">
        <f t="shared" si="255"/>
        <v>103</v>
      </c>
      <c r="BV123" s="2">
        <f t="shared" si="247"/>
        <v>2200</v>
      </c>
      <c r="BW123" s="8">
        <f t="shared" si="240"/>
        <v>4.7500000000000001E-2</v>
      </c>
      <c r="BX123" s="2">
        <f t="shared" si="248"/>
        <v>2278.375</v>
      </c>
      <c r="BY123" s="2">
        <f t="shared" si="241"/>
        <v>44</v>
      </c>
      <c r="BZ123" s="2">
        <f t="shared" si="273"/>
        <v>32100</v>
      </c>
      <c r="CA123" s="8">
        <f t="shared" si="270"/>
        <v>4.5999999999999999E-2</v>
      </c>
      <c r="CB123" s="2">
        <f t="shared" si="249"/>
        <v>33207.449999999997</v>
      </c>
      <c r="CC123" s="2">
        <f t="shared" si="271"/>
        <v>642</v>
      </c>
      <c r="CD123" s="2">
        <f t="shared" si="285"/>
        <v>0</v>
      </c>
      <c r="CE123" s="2">
        <f t="shared" si="250"/>
        <v>0</v>
      </c>
      <c r="CF123" s="2">
        <f t="shared" si="251"/>
        <v>99.550000000024738</v>
      </c>
      <c r="CG123" s="1">
        <f t="shared" si="232"/>
        <v>0</v>
      </c>
      <c r="CH123" s="2">
        <f t="shared" si="286"/>
        <v>99.550000000024738</v>
      </c>
      <c r="CI123" s="1">
        <f t="shared" si="242"/>
        <v>0</v>
      </c>
      <c r="CJ123" s="2">
        <f t="shared" si="252"/>
        <v>99.550000000024738</v>
      </c>
      <c r="CK123" s="2">
        <f t="shared" si="253"/>
        <v>149089.87500000003</v>
      </c>
      <c r="CL123" s="2">
        <f t="shared" si="287"/>
        <v>0</v>
      </c>
      <c r="CM123" s="2">
        <f t="shared" si="216"/>
        <v>1131.4406400000003</v>
      </c>
      <c r="CN123" s="2">
        <f t="shared" si="288"/>
        <v>147958.43436000004</v>
      </c>
      <c r="CO123" s="2">
        <f t="shared" si="217"/>
        <v>2878</v>
      </c>
      <c r="CP123" s="2">
        <f t="shared" si="289"/>
        <v>8780.2562500000058</v>
      </c>
      <c r="CQ123" s="2">
        <f t="shared" si="290"/>
        <v>136300.17811000004</v>
      </c>
      <c r="CS123" s="5">
        <f t="shared" si="304"/>
        <v>1000</v>
      </c>
      <c r="CT123" s="2">
        <f t="shared" si="305"/>
        <v>100000</v>
      </c>
      <c r="CU123" s="2">
        <f t="shared" si="306"/>
        <v>100000</v>
      </c>
      <c r="CV123" s="2">
        <f t="shared" si="307"/>
        <v>149229.1111246759</v>
      </c>
      <c r="CW123" s="8">
        <f t="shared" si="291"/>
        <v>5.1000000000000004E-2</v>
      </c>
      <c r="CX123" s="2">
        <f t="shared" si="292"/>
        <v>154937.12462519473</v>
      </c>
      <c r="CY123" s="2" t="str">
        <f t="shared" si="293"/>
        <v>nie</v>
      </c>
      <c r="CZ123" s="2">
        <f t="shared" si="222"/>
        <v>0</v>
      </c>
      <c r="DA123" s="2">
        <f t="shared" si="223"/>
        <v>0</v>
      </c>
      <c r="DB123" s="2">
        <f t="shared" si="224"/>
        <v>154937.12462519473</v>
      </c>
      <c r="DC123" s="2">
        <f t="shared" si="294"/>
        <v>0</v>
      </c>
      <c r="DD123" s="2">
        <f t="shared" si="225"/>
        <v>1157.5751901565545</v>
      </c>
      <c r="DE123" s="2">
        <f t="shared" si="226"/>
        <v>153779.54943503818</v>
      </c>
      <c r="DF123" s="2">
        <f t="shared" si="295"/>
        <v>3000</v>
      </c>
      <c r="DG123" s="2">
        <f t="shared" si="296"/>
        <v>9868.0536787869987</v>
      </c>
      <c r="DH123" s="2">
        <f t="shared" si="227"/>
        <v>140911.49575625118</v>
      </c>
    </row>
    <row r="124" spans="2:112">
      <c r="B124" s="232"/>
      <c r="C124" s="1">
        <f t="shared" si="256"/>
        <v>87</v>
      </c>
      <c r="D124" s="2">
        <f t="shared" si="259"/>
        <v>134773.5270058504</v>
      </c>
      <c r="E124" s="2">
        <f t="shared" si="260"/>
        <v>126940.17054661521</v>
      </c>
      <c r="F124" s="2">
        <f t="shared" si="261"/>
        <v>138145.34861000004</v>
      </c>
      <c r="G124" s="2">
        <f t="shared" si="262"/>
        <v>128556.30761000003</v>
      </c>
      <c r="H124" s="2">
        <f t="shared" si="263"/>
        <v>142789.73412221982</v>
      </c>
      <c r="I124" s="2">
        <f t="shared" si="264"/>
        <v>132038.09888398199</v>
      </c>
      <c r="J124" s="2">
        <f t="shared" si="257"/>
        <v>123510.19931436905</v>
      </c>
      <c r="K124" s="2">
        <f t="shared" si="258"/>
        <v>124785.31044587847</v>
      </c>
      <c r="W124" s="1">
        <f t="shared" si="297"/>
        <v>106</v>
      </c>
      <c r="X124" s="2">
        <f t="shared" si="274"/>
        <v>130962.25038518279</v>
      </c>
      <c r="Y124" s="8">
        <f t="shared" si="310"/>
        <v>3.9100000000000003E-2</v>
      </c>
      <c r="Z124" s="5">
        <f t="shared" si="298"/>
        <v>1284</v>
      </c>
      <c r="AA124" s="2">
        <f t="shared" si="299"/>
        <v>128271.6</v>
      </c>
      <c r="AB124" s="2">
        <f t="shared" si="207"/>
        <v>128400</v>
      </c>
      <c r="AC124" s="2">
        <f t="shared" si="300"/>
        <v>139947.78240000003</v>
      </c>
      <c r="AD124" s="8">
        <f t="shared" si="275"/>
        <v>4.3999999999999997E-2</v>
      </c>
      <c r="AE124" s="2">
        <f t="shared" si="179"/>
        <v>145079.20108800003</v>
      </c>
      <c r="AF124" s="2" t="str">
        <f t="shared" si="276"/>
        <v>nie</v>
      </c>
      <c r="AG124" s="2">
        <f t="shared" si="277"/>
        <v>1284</v>
      </c>
      <c r="AH124" s="1">
        <f t="shared" si="233"/>
        <v>1</v>
      </c>
      <c r="AI124" s="1">
        <f t="shared" si="265"/>
        <v>1</v>
      </c>
      <c r="AJ124" s="1">
        <f t="shared" si="308"/>
        <v>1</v>
      </c>
      <c r="AK124" s="1">
        <f t="shared" si="254"/>
        <v>0</v>
      </c>
      <c r="AL124" s="2">
        <f t="shared" si="243"/>
        <v>100</v>
      </c>
      <c r="AM124" s="8">
        <f t="shared" si="234"/>
        <v>4.3999999999999997E-2</v>
      </c>
      <c r="AN124" s="2">
        <f t="shared" si="244"/>
        <v>103.66666666666666</v>
      </c>
      <c r="AO124" s="2">
        <f t="shared" si="235"/>
        <v>1</v>
      </c>
      <c r="AP124" s="2">
        <f t="shared" si="272"/>
        <v>200</v>
      </c>
      <c r="AQ124" s="8">
        <f t="shared" si="266"/>
        <v>3.9100000000000003E-2</v>
      </c>
      <c r="AR124" s="2">
        <f t="shared" si="267"/>
        <v>206.51666666666668</v>
      </c>
      <c r="AS124" s="2">
        <f t="shared" si="268"/>
        <v>2</v>
      </c>
      <c r="AT124" s="2">
        <f t="shared" si="209"/>
        <v>0</v>
      </c>
      <c r="AU124" s="2">
        <f t="shared" si="245"/>
        <v>0</v>
      </c>
      <c r="AV124" s="2">
        <f t="shared" si="236"/>
        <v>27.857738079976997</v>
      </c>
      <c r="AW124" s="1">
        <f t="shared" si="231"/>
        <v>0</v>
      </c>
      <c r="AX124" s="2">
        <f t="shared" si="278"/>
        <v>27.857738079976997</v>
      </c>
      <c r="AY124" s="1">
        <f t="shared" si="237"/>
        <v>0</v>
      </c>
      <c r="AZ124" s="2">
        <f t="shared" si="210"/>
        <v>27.857738079976997</v>
      </c>
      <c r="BA124" s="2">
        <f t="shared" si="246"/>
        <v>145417.24215941332</v>
      </c>
      <c r="BB124" s="2">
        <f t="shared" si="279"/>
        <v>0</v>
      </c>
      <c r="BC124" s="2">
        <f t="shared" si="211"/>
        <v>1112.4194723676637</v>
      </c>
      <c r="BD124" s="2">
        <f t="shared" si="184"/>
        <v>144304.82268704564</v>
      </c>
      <c r="BE124" s="2">
        <f t="shared" si="212"/>
        <v>1287</v>
      </c>
      <c r="BF124" s="2">
        <f t="shared" si="185"/>
        <v>8384.7460102885307</v>
      </c>
      <c r="BG124" s="2">
        <f t="shared" si="186"/>
        <v>134633.0766767571</v>
      </c>
      <c r="BI124" s="8">
        <f t="shared" si="238"/>
        <v>3.1E-2</v>
      </c>
      <c r="BJ124" s="5">
        <f t="shared" si="301"/>
        <v>1096</v>
      </c>
      <c r="BK124" s="2">
        <f t="shared" si="302"/>
        <v>109490.40000000001</v>
      </c>
      <c r="BL124" s="2">
        <f t="shared" si="303"/>
        <v>109600</v>
      </c>
      <c r="BM124" s="2">
        <f t="shared" si="280"/>
        <v>109600</v>
      </c>
      <c r="BN124" s="8">
        <f t="shared" si="281"/>
        <v>4.7500000000000001E-2</v>
      </c>
      <c r="BO124" s="2">
        <f t="shared" si="282"/>
        <v>113938.33333333333</v>
      </c>
      <c r="BP124" s="2" t="str">
        <f t="shared" si="283"/>
        <v>nie</v>
      </c>
      <c r="BQ124" s="2">
        <f t="shared" si="284"/>
        <v>2192</v>
      </c>
      <c r="BR124" s="1">
        <f t="shared" si="239"/>
        <v>22</v>
      </c>
      <c r="BS124" s="1">
        <f t="shared" si="269"/>
        <v>112</v>
      </c>
      <c r="BT124" s="1">
        <f t="shared" si="309"/>
        <v>106</v>
      </c>
      <c r="BU124" s="1">
        <f t="shared" si="255"/>
        <v>103</v>
      </c>
      <c r="BV124" s="2">
        <f t="shared" si="247"/>
        <v>2200</v>
      </c>
      <c r="BW124" s="8">
        <f t="shared" si="240"/>
        <v>4.7500000000000001E-2</v>
      </c>
      <c r="BX124" s="2">
        <f t="shared" si="248"/>
        <v>2287.0833333333335</v>
      </c>
      <c r="BY124" s="2">
        <f t="shared" si="241"/>
        <v>44</v>
      </c>
      <c r="BZ124" s="2">
        <f t="shared" si="273"/>
        <v>32100</v>
      </c>
      <c r="CA124" s="8">
        <f t="shared" si="270"/>
        <v>4.5999999999999999E-2</v>
      </c>
      <c r="CB124" s="2">
        <f t="shared" si="249"/>
        <v>33330.5</v>
      </c>
      <c r="CC124" s="2">
        <f t="shared" si="271"/>
        <v>642</v>
      </c>
      <c r="CD124" s="2">
        <f t="shared" si="285"/>
        <v>0</v>
      </c>
      <c r="CE124" s="2">
        <f t="shared" si="250"/>
        <v>0</v>
      </c>
      <c r="CF124" s="2">
        <f t="shared" si="251"/>
        <v>99.550000000024738</v>
      </c>
      <c r="CG124" s="1">
        <f t="shared" si="232"/>
        <v>0</v>
      </c>
      <c r="CH124" s="2">
        <f t="shared" si="286"/>
        <v>99.550000000024738</v>
      </c>
      <c r="CI124" s="1">
        <f t="shared" si="242"/>
        <v>0</v>
      </c>
      <c r="CJ124" s="2">
        <f t="shared" si="252"/>
        <v>99.550000000024738</v>
      </c>
      <c r="CK124" s="2">
        <f t="shared" si="253"/>
        <v>149655.46666666667</v>
      </c>
      <c r="CL124" s="2">
        <f t="shared" si="287"/>
        <v>0</v>
      </c>
      <c r="CM124" s="2">
        <f t="shared" si="216"/>
        <v>1131.4406400000003</v>
      </c>
      <c r="CN124" s="2">
        <f t="shared" si="288"/>
        <v>148524.02602666669</v>
      </c>
      <c r="CO124" s="2">
        <f t="shared" si="217"/>
        <v>2878</v>
      </c>
      <c r="CP124" s="2">
        <f t="shared" si="289"/>
        <v>8887.7186666666676</v>
      </c>
      <c r="CQ124" s="2">
        <f t="shared" si="290"/>
        <v>136758.30736000004</v>
      </c>
      <c r="CS124" s="5">
        <f t="shared" si="304"/>
        <v>1000</v>
      </c>
      <c r="CT124" s="2">
        <f t="shared" si="305"/>
        <v>100000</v>
      </c>
      <c r="CU124" s="2">
        <f t="shared" si="306"/>
        <v>100000</v>
      </c>
      <c r="CV124" s="2">
        <f t="shared" si="307"/>
        <v>149229.1111246759</v>
      </c>
      <c r="CW124" s="8">
        <f t="shared" si="291"/>
        <v>5.1000000000000004E-2</v>
      </c>
      <c r="CX124" s="2">
        <f t="shared" si="292"/>
        <v>155571.34834747462</v>
      </c>
      <c r="CY124" s="2" t="str">
        <f t="shared" si="293"/>
        <v>nie</v>
      </c>
      <c r="CZ124" s="2">
        <f t="shared" si="222"/>
        <v>0</v>
      </c>
      <c r="DA124" s="2">
        <f t="shared" si="223"/>
        <v>0</v>
      </c>
      <c r="DB124" s="2">
        <f t="shared" si="224"/>
        <v>155571.34834747462</v>
      </c>
      <c r="DC124" s="2">
        <f t="shared" si="294"/>
        <v>0</v>
      </c>
      <c r="DD124" s="2">
        <f t="shared" si="225"/>
        <v>1157.5751901565545</v>
      </c>
      <c r="DE124" s="2">
        <f t="shared" si="226"/>
        <v>154413.77315731806</v>
      </c>
      <c r="DF124" s="2">
        <f t="shared" si="295"/>
        <v>3000</v>
      </c>
      <c r="DG124" s="2">
        <f t="shared" si="296"/>
        <v>9988.5561860201778</v>
      </c>
      <c r="DH124" s="2">
        <f t="shared" si="227"/>
        <v>141425.21697129789</v>
      </c>
    </row>
    <row r="125" spans="2:112">
      <c r="B125" s="232"/>
      <c r="C125" s="1">
        <f t="shared" si="256"/>
        <v>88</v>
      </c>
      <c r="D125" s="2">
        <f t="shared" si="259"/>
        <v>135265.73470585039</v>
      </c>
      <c r="E125" s="2">
        <f t="shared" si="260"/>
        <v>127338.8587836152</v>
      </c>
      <c r="F125" s="2">
        <f t="shared" si="261"/>
        <v>138673.83194333338</v>
      </c>
      <c r="G125" s="2">
        <f t="shared" si="262"/>
        <v>128948.46911000003</v>
      </c>
      <c r="H125" s="2">
        <f t="shared" si="263"/>
        <v>143393.18200260028</v>
      </c>
      <c r="I125" s="2">
        <f t="shared" si="264"/>
        <v>132526.89166709018</v>
      </c>
      <c r="J125" s="2">
        <f t="shared" si="257"/>
        <v>123810.32909870296</v>
      </c>
      <c r="K125" s="2">
        <f t="shared" si="258"/>
        <v>125105.19340493099</v>
      </c>
      <c r="W125" s="1">
        <f t="shared" si="297"/>
        <v>107</v>
      </c>
      <c r="X125" s="2">
        <f t="shared" si="274"/>
        <v>131292.04971596596</v>
      </c>
      <c r="Y125" s="8">
        <f t="shared" si="310"/>
        <v>3.9100000000000003E-2</v>
      </c>
      <c r="Z125" s="5">
        <f t="shared" si="298"/>
        <v>1284</v>
      </c>
      <c r="AA125" s="2">
        <f t="shared" si="299"/>
        <v>128271.6</v>
      </c>
      <c r="AB125" s="2">
        <f t="shared" si="207"/>
        <v>128400</v>
      </c>
      <c r="AC125" s="2">
        <f t="shared" si="300"/>
        <v>139947.78240000003</v>
      </c>
      <c r="AD125" s="8">
        <f t="shared" si="275"/>
        <v>4.3999999999999997E-2</v>
      </c>
      <c r="AE125" s="2">
        <f t="shared" si="179"/>
        <v>145592.34295680001</v>
      </c>
      <c r="AF125" s="2" t="str">
        <f t="shared" si="276"/>
        <v>nie</v>
      </c>
      <c r="AG125" s="2">
        <f t="shared" si="277"/>
        <v>1284</v>
      </c>
      <c r="AH125" s="1">
        <f t="shared" si="233"/>
        <v>1</v>
      </c>
      <c r="AI125" s="1">
        <f t="shared" si="265"/>
        <v>1</v>
      </c>
      <c r="AJ125" s="1">
        <f t="shared" si="308"/>
        <v>1</v>
      </c>
      <c r="AK125" s="1">
        <f t="shared" si="254"/>
        <v>0</v>
      </c>
      <c r="AL125" s="2">
        <f t="shared" si="243"/>
        <v>100</v>
      </c>
      <c r="AM125" s="8">
        <f t="shared" si="234"/>
        <v>4.3999999999999997E-2</v>
      </c>
      <c r="AN125" s="2">
        <f t="shared" si="244"/>
        <v>104.03333333333333</v>
      </c>
      <c r="AO125" s="2">
        <f t="shared" si="235"/>
        <v>1</v>
      </c>
      <c r="AP125" s="2">
        <f t="shared" si="272"/>
        <v>200</v>
      </c>
      <c r="AQ125" s="8">
        <f t="shared" si="266"/>
        <v>3.9100000000000003E-2</v>
      </c>
      <c r="AR125" s="2">
        <f t="shared" si="267"/>
        <v>207.16833333333335</v>
      </c>
      <c r="AS125" s="2">
        <f t="shared" si="268"/>
        <v>2</v>
      </c>
      <c r="AT125" s="2">
        <f t="shared" si="209"/>
        <v>0</v>
      </c>
      <c r="AU125" s="2">
        <f t="shared" si="245"/>
        <v>0</v>
      </c>
      <c r="AV125" s="2">
        <f t="shared" si="236"/>
        <v>27.857738079976997</v>
      </c>
      <c r="AW125" s="1">
        <f t="shared" si="231"/>
        <v>0</v>
      </c>
      <c r="AX125" s="2">
        <f t="shared" si="278"/>
        <v>27.857738079976997</v>
      </c>
      <c r="AY125" s="1">
        <f t="shared" si="237"/>
        <v>0</v>
      </c>
      <c r="AZ125" s="2">
        <f t="shared" si="210"/>
        <v>27.857738079976997</v>
      </c>
      <c r="BA125" s="2">
        <f t="shared" si="246"/>
        <v>145931.40236154664</v>
      </c>
      <c r="BB125" s="2">
        <f t="shared" si="279"/>
        <v>0</v>
      </c>
      <c r="BC125" s="2">
        <f t="shared" si="211"/>
        <v>1112.4194723676637</v>
      </c>
      <c r="BD125" s="2">
        <f t="shared" si="184"/>
        <v>144818.98288917897</v>
      </c>
      <c r="BE125" s="2">
        <f t="shared" si="212"/>
        <v>1287</v>
      </c>
      <c r="BF125" s="2">
        <f t="shared" si="185"/>
        <v>8482.436448693863</v>
      </c>
      <c r="BG125" s="2">
        <f t="shared" si="186"/>
        <v>135049.54644048511</v>
      </c>
      <c r="BI125" s="8">
        <f t="shared" si="238"/>
        <v>3.1E-2</v>
      </c>
      <c r="BJ125" s="5">
        <f t="shared" si="301"/>
        <v>1096</v>
      </c>
      <c r="BK125" s="2">
        <f t="shared" si="302"/>
        <v>109490.40000000001</v>
      </c>
      <c r="BL125" s="2">
        <f t="shared" si="303"/>
        <v>109600</v>
      </c>
      <c r="BM125" s="2">
        <f t="shared" si="280"/>
        <v>109600</v>
      </c>
      <c r="BN125" s="8">
        <f t="shared" si="281"/>
        <v>4.7500000000000001E-2</v>
      </c>
      <c r="BO125" s="2">
        <f t="shared" si="282"/>
        <v>114372.16666666666</v>
      </c>
      <c r="BP125" s="2" t="str">
        <f t="shared" si="283"/>
        <v>nie</v>
      </c>
      <c r="BQ125" s="2">
        <f t="shared" si="284"/>
        <v>2192</v>
      </c>
      <c r="BR125" s="1">
        <f t="shared" si="239"/>
        <v>22</v>
      </c>
      <c r="BS125" s="1">
        <f t="shared" si="269"/>
        <v>112</v>
      </c>
      <c r="BT125" s="1">
        <f t="shared" si="309"/>
        <v>106</v>
      </c>
      <c r="BU125" s="1">
        <f t="shared" si="255"/>
        <v>103</v>
      </c>
      <c r="BV125" s="2">
        <f t="shared" si="247"/>
        <v>2200</v>
      </c>
      <c r="BW125" s="8">
        <f t="shared" si="240"/>
        <v>4.7500000000000001E-2</v>
      </c>
      <c r="BX125" s="2">
        <f t="shared" si="248"/>
        <v>2295.7916666666665</v>
      </c>
      <c r="BY125" s="2">
        <f t="shared" si="241"/>
        <v>44</v>
      </c>
      <c r="BZ125" s="2">
        <f t="shared" si="273"/>
        <v>32100</v>
      </c>
      <c r="CA125" s="8">
        <f t="shared" si="270"/>
        <v>4.5999999999999999E-2</v>
      </c>
      <c r="CB125" s="2">
        <f t="shared" si="249"/>
        <v>33453.550000000003</v>
      </c>
      <c r="CC125" s="2">
        <f t="shared" si="271"/>
        <v>642</v>
      </c>
      <c r="CD125" s="2">
        <f t="shared" si="285"/>
        <v>0</v>
      </c>
      <c r="CE125" s="2">
        <f t="shared" si="250"/>
        <v>0</v>
      </c>
      <c r="CF125" s="2">
        <f t="shared" si="251"/>
        <v>99.550000000024738</v>
      </c>
      <c r="CG125" s="1">
        <f t="shared" si="232"/>
        <v>0</v>
      </c>
      <c r="CH125" s="2">
        <f t="shared" si="286"/>
        <v>99.550000000024738</v>
      </c>
      <c r="CI125" s="1">
        <f t="shared" si="242"/>
        <v>0</v>
      </c>
      <c r="CJ125" s="2">
        <f t="shared" si="252"/>
        <v>99.550000000024738</v>
      </c>
      <c r="CK125" s="2">
        <f t="shared" si="253"/>
        <v>150221.05833333335</v>
      </c>
      <c r="CL125" s="2">
        <f t="shared" si="287"/>
        <v>0</v>
      </c>
      <c r="CM125" s="2">
        <f t="shared" si="216"/>
        <v>1131.4406400000003</v>
      </c>
      <c r="CN125" s="2">
        <f t="shared" si="288"/>
        <v>149089.61769333336</v>
      </c>
      <c r="CO125" s="2">
        <f t="shared" si="217"/>
        <v>2878</v>
      </c>
      <c r="CP125" s="2">
        <f t="shared" si="289"/>
        <v>8995.1810833333366</v>
      </c>
      <c r="CQ125" s="2">
        <f t="shared" si="290"/>
        <v>137216.43661000003</v>
      </c>
      <c r="CS125" s="5">
        <f t="shared" si="304"/>
        <v>1000</v>
      </c>
      <c r="CT125" s="2">
        <f t="shared" si="305"/>
        <v>100000</v>
      </c>
      <c r="CU125" s="2">
        <f t="shared" si="306"/>
        <v>100000</v>
      </c>
      <c r="CV125" s="2">
        <f t="shared" si="307"/>
        <v>149229.1111246759</v>
      </c>
      <c r="CW125" s="8">
        <f t="shared" si="291"/>
        <v>5.1000000000000004E-2</v>
      </c>
      <c r="CX125" s="2">
        <f t="shared" si="292"/>
        <v>156205.5720697545</v>
      </c>
      <c r="CY125" s="2" t="str">
        <f t="shared" si="293"/>
        <v>nie</v>
      </c>
      <c r="CZ125" s="2">
        <f t="shared" si="222"/>
        <v>0</v>
      </c>
      <c r="DA125" s="2">
        <f t="shared" si="223"/>
        <v>0</v>
      </c>
      <c r="DB125" s="2">
        <f t="shared" si="224"/>
        <v>156205.5720697545</v>
      </c>
      <c r="DC125" s="2">
        <f t="shared" si="294"/>
        <v>0</v>
      </c>
      <c r="DD125" s="2">
        <f t="shared" si="225"/>
        <v>1157.5751901565545</v>
      </c>
      <c r="DE125" s="2">
        <f t="shared" si="226"/>
        <v>155047.99687959795</v>
      </c>
      <c r="DF125" s="2">
        <f t="shared" si="295"/>
        <v>3000</v>
      </c>
      <c r="DG125" s="2">
        <f t="shared" si="296"/>
        <v>10109.058693253355</v>
      </c>
      <c r="DH125" s="2">
        <f t="shared" si="227"/>
        <v>141938.9381863446</v>
      </c>
    </row>
    <row r="126" spans="2:112">
      <c r="B126" s="232"/>
      <c r="C126" s="1">
        <f t="shared" si="256"/>
        <v>89</v>
      </c>
      <c r="D126" s="2">
        <f t="shared" si="259"/>
        <v>135757.94240585042</v>
      </c>
      <c r="E126" s="2">
        <f t="shared" si="260"/>
        <v>127737.54702061522</v>
      </c>
      <c r="F126" s="2">
        <f t="shared" si="261"/>
        <v>139202.31527666669</v>
      </c>
      <c r="G126" s="2">
        <f t="shared" si="262"/>
        <v>129340.63061000002</v>
      </c>
      <c r="H126" s="2">
        <f t="shared" si="263"/>
        <v>143996.62988298075</v>
      </c>
      <c r="I126" s="2">
        <f t="shared" si="264"/>
        <v>133015.68445019834</v>
      </c>
      <c r="J126" s="2">
        <f t="shared" si="257"/>
        <v>124111.1881984128</v>
      </c>
      <c r="K126" s="2">
        <f t="shared" si="258"/>
        <v>125425.07636398353</v>
      </c>
      <c r="W126" s="1">
        <f t="shared" si="297"/>
        <v>108</v>
      </c>
      <c r="X126" s="2">
        <f t="shared" si="274"/>
        <v>131621.84904674906</v>
      </c>
      <c r="Y126" s="8">
        <f t="shared" si="310"/>
        <v>3.9100000000000003E-2</v>
      </c>
      <c r="Z126" s="5">
        <f t="shared" si="298"/>
        <v>1284</v>
      </c>
      <c r="AA126" s="2">
        <f t="shared" si="299"/>
        <v>128271.6</v>
      </c>
      <c r="AB126" s="2">
        <f t="shared" si="207"/>
        <v>128400</v>
      </c>
      <c r="AC126" s="2">
        <f t="shared" si="300"/>
        <v>139947.78240000003</v>
      </c>
      <c r="AD126" s="8">
        <f t="shared" si="275"/>
        <v>3.9100000000000003E-2</v>
      </c>
      <c r="AE126" s="2">
        <f t="shared" si="179"/>
        <v>145419.74069184001</v>
      </c>
      <c r="AF126" s="2" t="str">
        <f t="shared" si="276"/>
        <v>tak</v>
      </c>
      <c r="AG126" s="2">
        <f t="shared" si="277"/>
        <v>0</v>
      </c>
      <c r="AH126" s="1">
        <f t="shared" si="233"/>
        <v>1</v>
      </c>
      <c r="AI126" s="1">
        <f t="shared" si="265"/>
        <v>1</v>
      </c>
      <c r="AJ126" s="1">
        <f t="shared" si="308"/>
        <v>1</v>
      </c>
      <c r="AK126" s="1">
        <f t="shared" si="254"/>
        <v>0</v>
      </c>
      <c r="AL126" s="2">
        <f t="shared" si="243"/>
        <v>100</v>
      </c>
      <c r="AM126" s="8">
        <f t="shared" si="234"/>
        <v>4.3999999999999997E-2</v>
      </c>
      <c r="AN126" s="2">
        <f t="shared" si="244"/>
        <v>104.4</v>
      </c>
      <c r="AO126" s="2">
        <f t="shared" si="235"/>
        <v>1</v>
      </c>
      <c r="AP126" s="2">
        <f t="shared" si="272"/>
        <v>200</v>
      </c>
      <c r="AQ126" s="8">
        <f t="shared" si="266"/>
        <v>3.9100000000000003E-2</v>
      </c>
      <c r="AR126" s="2">
        <f t="shared" si="267"/>
        <v>207.82</v>
      </c>
      <c r="AS126" s="2">
        <f t="shared" si="268"/>
        <v>2</v>
      </c>
      <c r="AT126" s="2">
        <f t="shared" si="209"/>
        <v>65.240691840008367</v>
      </c>
      <c r="AU126" s="2">
        <f t="shared" si="245"/>
        <v>12.219999999999999</v>
      </c>
      <c r="AV126" s="2">
        <f t="shared" si="236"/>
        <v>105.31842991998536</v>
      </c>
      <c r="AW126" s="1">
        <f t="shared" ref="AW126:AW157" si="311">IF(AT126&lt;&gt;0,MIN(IF(AK126&lt;&gt;"",AK126,0),ROUNDDOWN(AV126/zamiana_TOS,0)),0)</f>
        <v>0</v>
      </c>
      <c r="AX126" s="2">
        <f t="shared" si="278"/>
        <v>105.31842991998536</v>
      </c>
      <c r="AY126" s="1">
        <f t="shared" si="237"/>
        <v>1</v>
      </c>
      <c r="AZ126" s="2">
        <f t="shared" si="210"/>
        <v>5.3184299199853626</v>
      </c>
      <c r="BA126" s="2">
        <f t="shared" si="246"/>
        <v>145759.81842991998</v>
      </c>
      <c r="BB126" s="2">
        <f t="shared" si="279"/>
        <v>145.75981842991999</v>
      </c>
      <c r="BC126" s="2">
        <f t="shared" si="211"/>
        <v>1258.1792907975837</v>
      </c>
      <c r="BD126" s="2">
        <f t="shared" si="184"/>
        <v>144501.63913912239</v>
      </c>
      <c r="BE126" s="2">
        <f t="shared" si="212"/>
        <v>3</v>
      </c>
      <c r="BF126" s="2">
        <f t="shared" si="185"/>
        <v>8693.7955016847955</v>
      </c>
      <c r="BG126" s="2">
        <f t="shared" si="186"/>
        <v>135804.84363743759</v>
      </c>
      <c r="BI126" s="8">
        <f t="shared" si="238"/>
        <v>3.1E-2</v>
      </c>
      <c r="BJ126" s="5">
        <f t="shared" si="301"/>
        <v>1096</v>
      </c>
      <c r="BK126" s="2">
        <f t="shared" si="302"/>
        <v>109490.40000000001</v>
      </c>
      <c r="BL126" s="2">
        <f t="shared" si="303"/>
        <v>109600</v>
      </c>
      <c r="BM126" s="2">
        <f t="shared" si="280"/>
        <v>109600</v>
      </c>
      <c r="BN126" s="8">
        <f t="shared" si="281"/>
        <v>4.7500000000000001E-2</v>
      </c>
      <c r="BO126" s="2">
        <f t="shared" si="282"/>
        <v>114806.00000000001</v>
      </c>
      <c r="BP126" s="2" t="str">
        <f t="shared" si="283"/>
        <v>nie</v>
      </c>
      <c r="BQ126" s="2">
        <f t="shared" si="284"/>
        <v>2192</v>
      </c>
      <c r="BR126" s="1">
        <f t="shared" si="239"/>
        <v>22</v>
      </c>
      <c r="BS126" s="1">
        <f t="shared" si="269"/>
        <v>112</v>
      </c>
      <c r="BT126" s="1">
        <f t="shared" si="309"/>
        <v>106</v>
      </c>
      <c r="BU126" s="1">
        <f t="shared" si="255"/>
        <v>103</v>
      </c>
      <c r="BV126" s="2">
        <f t="shared" si="247"/>
        <v>2200</v>
      </c>
      <c r="BW126" s="8">
        <f t="shared" si="240"/>
        <v>4.7500000000000001E-2</v>
      </c>
      <c r="BX126" s="2">
        <f t="shared" si="248"/>
        <v>2304.5</v>
      </c>
      <c r="BY126" s="2">
        <f t="shared" si="241"/>
        <v>44</v>
      </c>
      <c r="BZ126" s="2">
        <f t="shared" si="273"/>
        <v>32100</v>
      </c>
      <c r="CA126" s="8">
        <f t="shared" si="270"/>
        <v>4.5999999999999999E-2</v>
      </c>
      <c r="CB126" s="2">
        <f t="shared" si="249"/>
        <v>33576.6</v>
      </c>
      <c r="CC126" s="2">
        <f t="shared" si="271"/>
        <v>642</v>
      </c>
      <c r="CD126" s="2">
        <f t="shared" si="285"/>
        <v>5206.0000000000146</v>
      </c>
      <c r="CE126" s="2">
        <f t="shared" si="250"/>
        <v>11881.099999999999</v>
      </c>
      <c r="CF126" s="2">
        <f t="shared" si="251"/>
        <v>17186.650000000038</v>
      </c>
      <c r="CG126" s="1">
        <f t="shared" ref="CG126:CG157" si="312">IF(CD126&lt;&gt;0,MIN(IF(BU126&lt;&gt;"",BU126,0),ROUNDDOWN(CF126/zamiana_COI,0)),0)</f>
        <v>103</v>
      </c>
      <c r="CH126" s="2">
        <f t="shared" si="286"/>
        <v>6896.9500000000371</v>
      </c>
      <c r="CI126" s="1">
        <f t="shared" si="242"/>
        <v>68</v>
      </c>
      <c r="CJ126" s="2">
        <f t="shared" si="252"/>
        <v>96.950000000037107</v>
      </c>
      <c r="CK126" s="2">
        <f t="shared" si="253"/>
        <v>150786.65000000002</v>
      </c>
      <c r="CL126" s="2">
        <f t="shared" si="287"/>
        <v>150.78665000000004</v>
      </c>
      <c r="CM126" s="2">
        <f t="shared" si="216"/>
        <v>1282.2272900000003</v>
      </c>
      <c r="CN126" s="2">
        <f t="shared" si="288"/>
        <v>149504.42271000001</v>
      </c>
      <c r="CO126" s="2">
        <f t="shared" si="217"/>
        <v>2878</v>
      </c>
      <c r="CP126" s="2">
        <f t="shared" si="289"/>
        <v>9102.6435000000038</v>
      </c>
      <c r="CQ126" s="2">
        <f t="shared" si="290"/>
        <v>137523.77921000001</v>
      </c>
      <c r="CS126" s="5">
        <f t="shared" si="304"/>
        <v>1000</v>
      </c>
      <c r="CT126" s="2">
        <f t="shared" si="305"/>
        <v>100000</v>
      </c>
      <c r="CU126" s="2">
        <f t="shared" si="306"/>
        <v>100000</v>
      </c>
      <c r="CV126" s="2">
        <f t="shared" si="307"/>
        <v>149229.1111246759</v>
      </c>
      <c r="CW126" s="8">
        <f t="shared" si="291"/>
        <v>5.1000000000000004E-2</v>
      </c>
      <c r="CX126" s="2">
        <f t="shared" si="292"/>
        <v>156839.79579203436</v>
      </c>
      <c r="CY126" s="2" t="str">
        <f t="shared" si="293"/>
        <v>nie</v>
      </c>
      <c r="CZ126" s="2">
        <f t="shared" si="222"/>
        <v>0</v>
      </c>
      <c r="DA126" s="2">
        <f t="shared" si="223"/>
        <v>0</v>
      </c>
      <c r="DB126" s="2">
        <f t="shared" si="224"/>
        <v>156839.79579203436</v>
      </c>
      <c r="DC126" s="2">
        <f t="shared" si="294"/>
        <v>156.83979579203435</v>
      </c>
      <c r="DD126" s="2">
        <f t="shared" si="225"/>
        <v>1314.4149859485888</v>
      </c>
      <c r="DE126" s="2">
        <f t="shared" si="226"/>
        <v>155525.38080608577</v>
      </c>
      <c r="DF126" s="2">
        <f t="shared" si="295"/>
        <v>3000</v>
      </c>
      <c r="DG126" s="2">
        <f t="shared" si="296"/>
        <v>10229.561200486529</v>
      </c>
      <c r="DH126" s="2">
        <f t="shared" si="227"/>
        <v>142295.81960559924</v>
      </c>
    </row>
    <row r="127" spans="2:112">
      <c r="B127" s="232"/>
      <c r="C127" s="1">
        <f t="shared" si="256"/>
        <v>90</v>
      </c>
      <c r="D127" s="2">
        <f t="shared" si="259"/>
        <v>136250.15010585039</v>
      </c>
      <c r="E127" s="2">
        <f t="shared" si="260"/>
        <v>128136.2352576152</v>
      </c>
      <c r="F127" s="2">
        <f t="shared" si="261"/>
        <v>139730.79861000003</v>
      </c>
      <c r="G127" s="2">
        <f t="shared" si="262"/>
        <v>129766.81211000003</v>
      </c>
      <c r="H127" s="2">
        <f t="shared" si="263"/>
        <v>144600.07776336125</v>
      </c>
      <c r="I127" s="2">
        <f t="shared" si="264"/>
        <v>133504.47723330656</v>
      </c>
      <c r="J127" s="2">
        <f t="shared" si="257"/>
        <v>124412.77838573493</v>
      </c>
      <c r="K127" s="2">
        <f t="shared" si="258"/>
        <v>125744.95932303606</v>
      </c>
      <c r="W127" s="1">
        <f t="shared" si="297"/>
        <v>109</v>
      </c>
      <c r="X127" s="2">
        <f t="shared" si="274"/>
        <v>131961.8721567865</v>
      </c>
      <c r="Y127" s="8">
        <f t="shared" si="310"/>
        <v>3.9100000000000003E-2</v>
      </c>
      <c r="Z127" s="5">
        <f t="shared" si="298"/>
        <v>1455</v>
      </c>
      <c r="AA127" s="2">
        <f t="shared" si="299"/>
        <v>145354.5</v>
      </c>
      <c r="AB127" s="2">
        <f t="shared" si="207"/>
        <v>145500</v>
      </c>
      <c r="AC127" s="2">
        <f t="shared" si="300"/>
        <v>145500</v>
      </c>
      <c r="AD127" s="8">
        <f t="shared" si="275"/>
        <v>4.3999999999999997E-2</v>
      </c>
      <c r="AE127" s="2">
        <f t="shared" si="179"/>
        <v>146033.5</v>
      </c>
      <c r="AF127" s="2" t="str">
        <f t="shared" si="276"/>
        <v>nie</v>
      </c>
      <c r="AG127" s="2">
        <f t="shared" si="277"/>
        <v>533.5</v>
      </c>
      <c r="AH127" s="1">
        <f t="shared" si="233"/>
        <v>1</v>
      </c>
      <c r="AI127" s="1">
        <f t="shared" si="265"/>
        <v>1</v>
      </c>
      <c r="AJ127" s="1">
        <f t="shared" si="308"/>
        <v>1</v>
      </c>
      <c r="AK127" s="1">
        <f t="shared" si="254"/>
        <v>0</v>
      </c>
      <c r="AL127" s="2">
        <f t="shared" si="243"/>
        <v>100</v>
      </c>
      <c r="AM127" s="8">
        <f t="shared" ref="AM127:AM162" si="313">proc_I_okres_TOS</f>
        <v>4.3999999999999997E-2</v>
      </c>
      <c r="AN127" s="2">
        <f t="shared" si="244"/>
        <v>100.36666666666667</v>
      </c>
      <c r="AO127" s="2">
        <f t="shared" ref="AO127:AO158" si="314">MIN(AH127*koszt_wczesniejszy_wykup_TOS,AN127-AL127)</f>
        <v>0.36666666666667425</v>
      </c>
      <c r="AP127" s="2">
        <f t="shared" si="272"/>
        <v>200</v>
      </c>
      <c r="AQ127" s="8">
        <f t="shared" si="266"/>
        <v>3.9100000000000003E-2</v>
      </c>
      <c r="AR127" s="2">
        <f t="shared" si="267"/>
        <v>200.65166666666667</v>
      </c>
      <c r="AS127" s="2">
        <f t="shared" si="268"/>
        <v>2</v>
      </c>
      <c r="AT127" s="2">
        <f t="shared" si="209"/>
        <v>0</v>
      </c>
      <c r="AU127" s="2">
        <f t="shared" si="245"/>
        <v>0</v>
      </c>
      <c r="AV127" s="2">
        <f t="shared" si="236"/>
        <v>5.3184299199853626</v>
      </c>
      <c r="AW127" s="1">
        <f t="shared" si="311"/>
        <v>0</v>
      </c>
      <c r="AX127" s="2">
        <f t="shared" si="278"/>
        <v>5.3184299199853626</v>
      </c>
      <c r="AY127" s="1">
        <f t="shared" si="237"/>
        <v>0</v>
      </c>
      <c r="AZ127" s="2">
        <f t="shared" si="210"/>
        <v>5.3184299199853626</v>
      </c>
      <c r="BA127" s="2">
        <f t="shared" si="246"/>
        <v>146339.83676325332</v>
      </c>
      <c r="BB127" s="2">
        <f t="shared" si="279"/>
        <v>0</v>
      </c>
      <c r="BC127" s="2">
        <f t="shared" si="211"/>
        <v>1258.1792907975837</v>
      </c>
      <c r="BD127" s="2">
        <f t="shared" si="184"/>
        <v>145081.65747245573</v>
      </c>
      <c r="BE127" s="2">
        <f t="shared" si="212"/>
        <v>535.86666666666667</v>
      </c>
      <c r="BF127" s="2">
        <f t="shared" si="185"/>
        <v>8702.7543183514645</v>
      </c>
      <c r="BG127" s="2">
        <f t="shared" si="186"/>
        <v>135843.03648743761</v>
      </c>
      <c r="BI127" s="8">
        <f t="shared" ref="BI127:BI162" si="315">MAX(INDEX(scenariusz_I_inflacja,MATCH(ROUNDUP(W127/12,0)-1,scenariusz_I_rok,0)),0)</f>
        <v>3.1E-2</v>
      </c>
      <c r="BJ127" s="5">
        <f t="shared" si="301"/>
        <v>1096</v>
      </c>
      <c r="BK127" s="2">
        <f t="shared" si="302"/>
        <v>109490.40000000001</v>
      </c>
      <c r="BL127" s="2">
        <f t="shared" si="303"/>
        <v>109600</v>
      </c>
      <c r="BM127" s="2">
        <f t="shared" si="280"/>
        <v>109600</v>
      </c>
      <c r="BN127" s="8">
        <f t="shared" si="281"/>
        <v>4.5999999999999999E-2</v>
      </c>
      <c r="BO127" s="2">
        <f t="shared" si="282"/>
        <v>110020.13333333333</v>
      </c>
      <c r="BP127" s="2" t="str">
        <f t="shared" si="283"/>
        <v>nie</v>
      </c>
      <c r="BQ127" s="2">
        <f t="shared" si="284"/>
        <v>2192</v>
      </c>
      <c r="BR127" s="1">
        <f t="shared" ref="BR127:BR162" si="316">IF(CD126&lt;&gt;0,CG126+CI126,BR126)</f>
        <v>171</v>
      </c>
      <c r="BS127" s="1">
        <f t="shared" si="269"/>
        <v>22</v>
      </c>
      <c r="BT127" s="1">
        <f t="shared" si="309"/>
        <v>112</v>
      </c>
      <c r="BU127" s="1">
        <f t="shared" si="255"/>
        <v>106</v>
      </c>
      <c r="BV127" s="2">
        <f t="shared" si="247"/>
        <v>17100</v>
      </c>
      <c r="BW127" s="8">
        <f t="shared" ref="BW127:BW162" si="317">proc_I_okres_COI</f>
        <v>4.7500000000000001E-2</v>
      </c>
      <c r="BX127" s="2">
        <f t="shared" si="248"/>
        <v>17167.6875</v>
      </c>
      <c r="BY127" s="2">
        <f t="shared" ref="BY127:BY158" si="318">MIN(BR127*koszt_wczesniejszy_wykup_COI,BX127-BV127)</f>
        <v>67.6875</v>
      </c>
      <c r="BZ127" s="2">
        <f t="shared" si="273"/>
        <v>24000</v>
      </c>
      <c r="CA127" s="8">
        <f t="shared" si="270"/>
        <v>4.5999999999999999E-2</v>
      </c>
      <c r="CB127" s="2">
        <f t="shared" si="249"/>
        <v>24092</v>
      </c>
      <c r="CC127" s="2">
        <f t="shared" si="271"/>
        <v>480</v>
      </c>
      <c r="CD127" s="2">
        <f t="shared" si="285"/>
        <v>0</v>
      </c>
      <c r="CE127" s="2">
        <f t="shared" si="250"/>
        <v>0</v>
      </c>
      <c r="CF127" s="2">
        <f t="shared" si="251"/>
        <v>96.950000000037107</v>
      </c>
      <c r="CG127" s="1">
        <f t="shared" si="312"/>
        <v>0</v>
      </c>
      <c r="CH127" s="2">
        <f t="shared" si="286"/>
        <v>96.950000000037107</v>
      </c>
      <c r="CI127" s="1">
        <f t="shared" si="242"/>
        <v>0</v>
      </c>
      <c r="CJ127" s="2">
        <f t="shared" si="252"/>
        <v>96.950000000037107</v>
      </c>
      <c r="CK127" s="2">
        <f t="shared" si="253"/>
        <v>151376.77083333337</v>
      </c>
      <c r="CL127" s="2">
        <f t="shared" si="287"/>
        <v>0</v>
      </c>
      <c r="CM127" s="2">
        <f t="shared" si="216"/>
        <v>1282.2272900000003</v>
      </c>
      <c r="CN127" s="2">
        <f t="shared" si="288"/>
        <v>150094.54354333336</v>
      </c>
      <c r="CO127" s="2">
        <f t="shared" si="217"/>
        <v>2739.6875</v>
      </c>
      <c r="CP127" s="2">
        <f t="shared" si="289"/>
        <v>9241.0458333333409</v>
      </c>
      <c r="CQ127" s="2">
        <f t="shared" si="290"/>
        <v>138113.81021000003</v>
      </c>
      <c r="CS127" s="5">
        <f t="shared" si="304"/>
        <v>1000</v>
      </c>
      <c r="CT127" s="2">
        <f t="shared" si="305"/>
        <v>100000</v>
      </c>
      <c r="CU127" s="2">
        <f t="shared" si="306"/>
        <v>100000</v>
      </c>
      <c r="CV127" s="2">
        <f t="shared" si="307"/>
        <v>156839.79579203436</v>
      </c>
      <c r="CW127" s="8">
        <f t="shared" si="291"/>
        <v>5.1000000000000004E-2</v>
      </c>
      <c r="CX127" s="2">
        <f t="shared" si="292"/>
        <v>157506.36492415052</v>
      </c>
      <c r="CY127" s="2" t="str">
        <f t="shared" si="293"/>
        <v>nie</v>
      </c>
      <c r="CZ127" s="2">
        <f t="shared" si="222"/>
        <v>0</v>
      </c>
      <c r="DA127" s="2">
        <f t="shared" si="223"/>
        <v>0</v>
      </c>
      <c r="DB127" s="2">
        <f t="shared" si="224"/>
        <v>157506.36492415052</v>
      </c>
      <c r="DC127" s="2">
        <f t="shared" si="294"/>
        <v>0</v>
      </c>
      <c r="DD127" s="2">
        <f t="shared" si="225"/>
        <v>1314.4149859485888</v>
      </c>
      <c r="DE127" s="2">
        <f t="shared" si="226"/>
        <v>156191.94993820193</v>
      </c>
      <c r="DF127" s="2">
        <f t="shared" si="295"/>
        <v>3000</v>
      </c>
      <c r="DG127" s="2">
        <f t="shared" si="296"/>
        <v>10356.209335588599</v>
      </c>
      <c r="DH127" s="2">
        <f t="shared" si="227"/>
        <v>142835.74060261334</v>
      </c>
    </row>
    <row r="128" spans="2:112">
      <c r="B128" s="232"/>
      <c r="C128" s="1">
        <f t="shared" si="256"/>
        <v>91</v>
      </c>
      <c r="D128" s="2">
        <f t="shared" si="259"/>
        <v>136742.35780585042</v>
      </c>
      <c r="E128" s="2">
        <f t="shared" si="260"/>
        <v>128534.92349461521</v>
      </c>
      <c r="F128" s="2">
        <f t="shared" si="261"/>
        <v>140259.28194333336</v>
      </c>
      <c r="G128" s="2">
        <f t="shared" si="262"/>
        <v>130194.88361000002</v>
      </c>
      <c r="H128" s="2">
        <f t="shared" si="263"/>
        <v>145203.52564374168</v>
      </c>
      <c r="I128" s="2">
        <f t="shared" si="264"/>
        <v>133993.2700164147</v>
      </c>
      <c r="J128" s="2">
        <f t="shared" si="257"/>
        <v>124715.10143721226</v>
      </c>
      <c r="K128" s="2">
        <f t="shared" si="258"/>
        <v>126064.84228208858</v>
      </c>
      <c r="W128" s="1">
        <f t="shared" si="297"/>
        <v>110</v>
      </c>
      <c r="X128" s="2">
        <f t="shared" si="274"/>
        <v>132301.89526682394</v>
      </c>
      <c r="Y128" s="8">
        <f t="shared" si="310"/>
        <v>3.9100000000000003E-2</v>
      </c>
      <c r="Z128" s="5">
        <f t="shared" si="298"/>
        <v>1455</v>
      </c>
      <c r="AA128" s="2">
        <f t="shared" si="299"/>
        <v>145354.5</v>
      </c>
      <c r="AB128" s="2">
        <f t="shared" si="207"/>
        <v>145500</v>
      </c>
      <c r="AC128" s="2">
        <f t="shared" si="300"/>
        <v>145500</v>
      </c>
      <c r="AD128" s="8">
        <f t="shared" si="275"/>
        <v>4.3999999999999997E-2</v>
      </c>
      <c r="AE128" s="2">
        <f t="shared" si="179"/>
        <v>146567</v>
      </c>
      <c r="AF128" s="2" t="str">
        <f t="shared" si="276"/>
        <v>nie</v>
      </c>
      <c r="AG128" s="2">
        <f t="shared" si="277"/>
        <v>1067</v>
      </c>
      <c r="AH128" s="1">
        <f t="shared" si="233"/>
        <v>1</v>
      </c>
      <c r="AI128" s="1">
        <f t="shared" si="265"/>
        <v>1</v>
      </c>
      <c r="AJ128" s="1">
        <f t="shared" si="308"/>
        <v>1</v>
      </c>
      <c r="AK128" s="1">
        <f t="shared" si="254"/>
        <v>0</v>
      </c>
      <c r="AL128" s="2">
        <f t="shared" si="243"/>
        <v>100</v>
      </c>
      <c r="AM128" s="8">
        <f t="shared" si="313"/>
        <v>4.3999999999999997E-2</v>
      </c>
      <c r="AN128" s="2">
        <f t="shared" si="244"/>
        <v>100.73333333333335</v>
      </c>
      <c r="AO128" s="2">
        <f t="shared" si="314"/>
        <v>0.73333333333334849</v>
      </c>
      <c r="AP128" s="2">
        <f t="shared" si="272"/>
        <v>200</v>
      </c>
      <c r="AQ128" s="8">
        <f t="shared" si="266"/>
        <v>3.9100000000000003E-2</v>
      </c>
      <c r="AR128" s="2">
        <f t="shared" si="267"/>
        <v>201.30333333333334</v>
      </c>
      <c r="AS128" s="2">
        <f t="shared" si="268"/>
        <v>2</v>
      </c>
      <c r="AT128" s="2">
        <f t="shared" si="209"/>
        <v>0</v>
      </c>
      <c r="AU128" s="2">
        <f t="shared" si="245"/>
        <v>0</v>
      </c>
      <c r="AV128" s="2">
        <f t="shared" si="236"/>
        <v>5.3184299199853626</v>
      </c>
      <c r="AW128" s="1">
        <f t="shared" si="311"/>
        <v>0</v>
      </c>
      <c r="AX128" s="2">
        <f t="shared" si="278"/>
        <v>5.3184299199853626</v>
      </c>
      <c r="AY128" s="1">
        <f t="shared" si="237"/>
        <v>0</v>
      </c>
      <c r="AZ128" s="2">
        <f t="shared" si="210"/>
        <v>5.3184299199853626</v>
      </c>
      <c r="BA128" s="2">
        <f t="shared" si="246"/>
        <v>146874.35509658666</v>
      </c>
      <c r="BB128" s="2">
        <f t="shared" si="279"/>
        <v>0</v>
      </c>
      <c r="BC128" s="2">
        <f t="shared" si="211"/>
        <v>1258.1792907975837</v>
      </c>
      <c r="BD128" s="2">
        <f t="shared" si="184"/>
        <v>145616.17580578907</v>
      </c>
      <c r="BE128" s="2">
        <f t="shared" si="212"/>
        <v>1069.7333333333333</v>
      </c>
      <c r="BF128" s="2">
        <f t="shared" si="185"/>
        <v>8702.8781350181307</v>
      </c>
      <c r="BG128" s="2">
        <f t="shared" si="186"/>
        <v>135843.56433743759</v>
      </c>
      <c r="BI128" s="8">
        <f t="shared" si="315"/>
        <v>3.1E-2</v>
      </c>
      <c r="BJ128" s="5">
        <f t="shared" si="301"/>
        <v>1096</v>
      </c>
      <c r="BK128" s="2">
        <f t="shared" si="302"/>
        <v>109490.40000000001</v>
      </c>
      <c r="BL128" s="2">
        <f t="shared" si="303"/>
        <v>109600</v>
      </c>
      <c r="BM128" s="2">
        <f t="shared" si="280"/>
        <v>109600</v>
      </c>
      <c r="BN128" s="8">
        <f t="shared" si="281"/>
        <v>4.5999999999999999E-2</v>
      </c>
      <c r="BO128" s="2">
        <f t="shared" si="282"/>
        <v>110440.26666666668</v>
      </c>
      <c r="BP128" s="2" t="str">
        <f t="shared" si="283"/>
        <v>nie</v>
      </c>
      <c r="BQ128" s="2">
        <f t="shared" si="284"/>
        <v>2192</v>
      </c>
      <c r="BR128" s="1">
        <f t="shared" si="316"/>
        <v>171</v>
      </c>
      <c r="BS128" s="1">
        <f t="shared" si="269"/>
        <v>22</v>
      </c>
      <c r="BT128" s="1">
        <f t="shared" si="309"/>
        <v>112</v>
      </c>
      <c r="BU128" s="1">
        <f t="shared" si="255"/>
        <v>106</v>
      </c>
      <c r="BV128" s="2">
        <f t="shared" si="247"/>
        <v>17100</v>
      </c>
      <c r="BW128" s="8">
        <f t="shared" si="317"/>
        <v>4.7500000000000001E-2</v>
      </c>
      <c r="BX128" s="2">
        <f t="shared" si="248"/>
        <v>17235.375</v>
      </c>
      <c r="BY128" s="2">
        <f t="shared" si="318"/>
        <v>135.375</v>
      </c>
      <c r="BZ128" s="2">
        <f t="shared" si="273"/>
        <v>24000</v>
      </c>
      <c r="CA128" s="8">
        <f t="shared" si="270"/>
        <v>4.5999999999999999E-2</v>
      </c>
      <c r="CB128" s="2">
        <f t="shared" si="249"/>
        <v>24184</v>
      </c>
      <c r="CC128" s="2">
        <f t="shared" si="271"/>
        <v>480</v>
      </c>
      <c r="CD128" s="2">
        <f t="shared" si="285"/>
        <v>0</v>
      </c>
      <c r="CE128" s="2">
        <f t="shared" si="250"/>
        <v>0</v>
      </c>
      <c r="CF128" s="2">
        <f t="shared" si="251"/>
        <v>96.950000000037107</v>
      </c>
      <c r="CG128" s="1">
        <f t="shared" si="312"/>
        <v>0</v>
      </c>
      <c r="CH128" s="2">
        <f t="shared" si="286"/>
        <v>96.950000000037107</v>
      </c>
      <c r="CI128" s="1">
        <f t="shared" si="242"/>
        <v>0</v>
      </c>
      <c r="CJ128" s="2">
        <f t="shared" si="252"/>
        <v>96.950000000037107</v>
      </c>
      <c r="CK128" s="2">
        <f t="shared" si="253"/>
        <v>151956.5916666667</v>
      </c>
      <c r="CL128" s="2">
        <f t="shared" si="287"/>
        <v>0</v>
      </c>
      <c r="CM128" s="2">
        <f t="shared" si="216"/>
        <v>1282.2272900000003</v>
      </c>
      <c r="CN128" s="2">
        <f t="shared" si="288"/>
        <v>150674.36437666669</v>
      </c>
      <c r="CO128" s="2">
        <f t="shared" si="217"/>
        <v>2807.375</v>
      </c>
      <c r="CP128" s="2">
        <f t="shared" si="289"/>
        <v>9338.3511666666745</v>
      </c>
      <c r="CQ128" s="2">
        <f t="shared" si="290"/>
        <v>138528.63821</v>
      </c>
      <c r="CS128" s="5">
        <f t="shared" si="304"/>
        <v>1000</v>
      </c>
      <c r="CT128" s="2">
        <f t="shared" si="305"/>
        <v>100000</v>
      </c>
      <c r="CU128" s="2">
        <f t="shared" si="306"/>
        <v>100000</v>
      </c>
      <c r="CV128" s="2">
        <f t="shared" si="307"/>
        <v>156839.79579203436</v>
      </c>
      <c r="CW128" s="8">
        <f t="shared" si="291"/>
        <v>5.1000000000000004E-2</v>
      </c>
      <c r="CX128" s="2">
        <f t="shared" si="292"/>
        <v>158172.93405626665</v>
      </c>
      <c r="CY128" s="2" t="str">
        <f t="shared" si="293"/>
        <v>nie</v>
      </c>
      <c r="CZ128" s="2">
        <f t="shared" si="222"/>
        <v>0</v>
      </c>
      <c r="DA128" s="2">
        <f t="shared" si="223"/>
        <v>0</v>
      </c>
      <c r="DB128" s="2">
        <f t="shared" si="224"/>
        <v>158172.93405626665</v>
      </c>
      <c r="DC128" s="2">
        <f t="shared" si="294"/>
        <v>0</v>
      </c>
      <c r="DD128" s="2">
        <f t="shared" si="225"/>
        <v>1314.4149859485888</v>
      </c>
      <c r="DE128" s="2">
        <f t="shared" si="226"/>
        <v>156858.51907031806</v>
      </c>
      <c r="DF128" s="2">
        <f t="shared" si="295"/>
        <v>3000</v>
      </c>
      <c r="DG128" s="2">
        <f t="shared" si="296"/>
        <v>10482.857470690664</v>
      </c>
      <c r="DH128" s="2">
        <f t="shared" si="227"/>
        <v>143375.6615996274</v>
      </c>
    </row>
    <row r="129" spans="2:112">
      <c r="B129" s="232"/>
      <c r="C129" s="1">
        <f t="shared" si="256"/>
        <v>92</v>
      </c>
      <c r="D129" s="2">
        <f t="shared" si="259"/>
        <v>137234.56550585039</v>
      </c>
      <c r="E129" s="2">
        <f t="shared" si="260"/>
        <v>128933.61173161519</v>
      </c>
      <c r="F129" s="2">
        <f t="shared" si="261"/>
        <v>140787.7652766667</v>
      </c>
      <c r="G129" s="2">
        <f t="shared" si="262"/>
        <v>130622.95511000002</v>
      </c>
      <c r="H129" s="2">
        <f t="shared" si="263"/>
        <v>145806.97352412218</v>
      </c>
      <c r="I129" s="2">
        <f t="shared" si="264"/>
        <v>134482.06279952292</v>
      </c>
      <c r="J129" s="2">
        <f t="shared" si="257"/>
        <v>125018.15913370467</v>
      </c>
      <c r="K129" s="2">
        <f t="shared" si="258"/>
        <v>126384.7252411411</v>
      </c>
      <c r="W129" s="1">
        <f t="shared" si="297"/>
        <v>111</v>
      </c>
      <c r="X129" s="2">
        <f t="shared" si="274"/>
        <v>132641.91837686134</v>
      </c>
      <c r="Y129" s="8">
        <f t="shared" si="310"/>
        <v>3.9100000000000003E-2</v>
      </c>
      <c r="Z129" s="5">
        <f t="shared" si="298"/>
        <v>1455</v>
      </c>
      <c r="AA129" s="2">
        <f t="shared" si="299"/>
        <v>145354.5</v>
      </c>
      <c r="AB129" s="2">
        <f t="shared" si="207"/>
        <v>145500</v>
      </c>
      <c r="AC129" s="2">
        <f t="shared" si="300"/>
        <v>145500</v>
      </c>
      <c r="AD129" s="8">
        <f t="shared" si="275"/>
        <v>4.3999999999999997E-2</v>
      </c>
      <c r="AE129" s="2">
        <f t="shared" si="179"/>
        <v>147100.49999999997</v>
      </c>
      <c r="AF129" s="2" t="str">
        <f t="shared" si="276"/>
        <v>nie</v>
      </c>
      <c r="AG129" s="2">
        <f t="shared" si="277"/>
        <v>1455</v>
      </c>
      <c r="AH129" s="1">
        <f t="shared" si="233"/>
        <v>1</v>
      </c>
      <c r="AI129" s="1">
        <f t="shared" si="265"/>
        <v>1</v>
      </c>
      <c r="AJ129" s="1">
        <f t="shared" si="308"/>
        <v>1</v>
      </c>
      <c r="AK129" s="1">
        <f t="shared" si="254"/>
        <v>0</v>
      </c>
      <c r="AL129" s="2">
        <f t="shared" si="243"/>
        <v>100</v>
      </c>
      <c r="AM129" s="8">
        <f t="shared" si="313"/>
        <v>4.3999999999999997E-2</v>
      </c>
      <c r="AN129" s="2">
        <f t="shared" si="244"/>
        <v>101.1</v>
      </c>
      <c r="AO129" s="2">
        <f t="shared" si="314"/>
        <v>1</v>
      </c>
      <c r="AP129" s="2">
        <f t="shared" si="272"/>
        <v>200</v>
      </c>
      <c r="AQ129" s="8">
        <f t="shared" si="266"/>
        <v>3.9100000000000003E-2</v>
      </c>
      <c r="AR129" s="2">
        <f t="shared" si="267"/>
        <v>201.95500000000001</v>
      </c>
      <c r="AS129" s="2">
        <f t="shared" si="268"/>
        <v>2</v>
      </c>
      <c r="AT129" s="2">
        <f t="shared" si="209"/>
        <v>0</v>
      </c>
      <c r="AU129" s="2">
        <f t="shared" si="245"/>
        <v>0</v>
      </c>
      <c r="AV129" s="2">
        <f t="shared" si="236"/>
        <v>5.3184299199853626</v>
      </c>
      <c r="AW129" s="1">
        <f t="shared" si="311"/>
        <v>0</v>
      </c>
      <c r="AX129" s="2">
        <f t="shared" si="278"/>
        <v>5.3184299199853626</v>
      </c>
      <c r="AY129" s="1">
        <f t="shared" si="237"/>
        <v>0</v>
      </c>
      <c r="AZ129" s="2">
        <f t="shared" si="210"/>
        <v>5.3184299199853626</v>
      </c>
      <c r="BA129" s="2">
        <f t="shared" si="246"/>
        <v>147408.87342991994</v>
      </c>
      <c r="BB129" s="2">
        <f t="shared" si="279"/>
        <v>0</v>
      </c>
      <c r="BC129" s="2">
        <f t="shared" si="211"/>
        <v>1258.1792907975837</v>
      </c>
      <c r="BD129" s="2">
        <f t="shared" si="184"/>
        <v>146150.69413912235</v>
      </c>
      <c r="BE129" s="2">
        <f t="shared" si="212"/>
        <v>1458</v>
      </c>
      <c r="BF129" s="2">
        <f t="shared" si="185"/>
        <v>8730.6659516847885</v>
      </c>
      <c r="BG129" s="2">
        <f t="shared" si="186"/>
        <v>135962.02818743757</v>
      </c>
      <c r="BI129" s="8">
        <f t="shared" si="315"/>
        <v>3.1E-2</v>
      </c>
      <c r="BJ129" s="5">
        <f t="shared" si="301"/>
        <v>1096</v>
      </c>
      <c r="BK129" s="2">
        <f t="shared" si="302"/>
        <v>109490.40000000001</v>
      </c>
      <c r="BL129" s="2">
        <f t="shared" si="303"/>
        <v>109600</v>
      </c>
      <c r="BM129" s="2">
        <f t="shared" si="280"/>
        <v>109600</v>
      </c>
      <c r="BN129" s="8">
        <f t="shared" si="281"/>
        <v>4.5999999999999999E-2</v>
      </c>
      <c r="BO129" s="2">
        <f t="shared" si="282"/>
        <v>110860.40000000001</v>
      </c>
      <c r="BP129" s="2" t="str">
        <f t="shared" si="283"/>
        <v>nie</v>
      </c>
      <c r="BQ129" s="2">
        <f t="shared" si="284"/>
        <v>2192</v>
      </c>
      <c r="BR129" s="1">
        <f t="shared" si="316"/>
        <v>171</v>
      </c>
      <c r="BS129" s="1">
        <f t="shared" si="269"/>
        <v>22</v>
      </c>
      <c r="BT129" s="1">
        <f t="shared" si="309"/>
        <v>112</v>
      </c>
      <c r="BU129" s="1">
        <f t="shared" si="255"/>
        <v>106</v>
      </c>
      <c r="BV129" s="2">
        <f t="shared" si="247"/>
        <v>17100</v>
      </c>
      <c r="BW129" s="8">
        <f t="shared" si="317"/>
        <v>4.7500000000000001E-2</v>
      </c>
      <c r="BX129" s="2">
        <f t="shared" si="248"/>
        <v>17303.0625</v>
      </c>
      <c r="BY129" s="2">
        <f t="shared" si="318"/>
        <v>203.0625</v>
      </c>
      <c r="BZ129" s="2">
        <f t="shared" si="273"/>
        <v>24000</v>
      </c>
      <c r="CA129" s="8">
        <f t="shared" si="270"/>
        <v>4.5999999999999999E-2</v>
      </c>
      <c r="CB129" s="2">
        <f t="shared" si="249"/>
        <v>24276</v>
      </c>
      <c r="CC129" s="2">
        <f t="shared" si="271"/>
        <v>480</v>
      </c>
      <c r="CD129" s="2">
        <f t="shared" si="285"/>
        <v>0</v>
      </c>
      <c r="CE129" s="2">
        <f t="shared" si="250"/>
        <v>0</v>
      </c>
      <c r="CF129" s="2">
        <f t="shared" si="251"/>
        <v>96.950000000037107</v>
      </c>
      <c r="CG129" s="1">
        <f t="shared" si="312"/>
        <v>0</v>
      </c>
      <c r="CH129" s="2">
        <f t="shared" si="286"/>
        <v>96.950000000037107</v>
      </c>
      <c r="CI129" s="1">
        <f t="shared" si="242"/>
        <v>0</v>
      </c>
      <c r="CJ129" s="2">
        <f t="shared" si="252"/>
        <v>96.950000000037107</v>
      </c>
      <c r="CK129" s="2">
        <f t="shared" si="253"/>
        <v>152536.41250000006</v>
      </c>
      <c r="CL129" s="2">
        <f t="shared" si="287"/>
        <v>0</v>
      </c>
      <c r="CM129" s="2">
        <f t="shared" si="216"/>
        <v>1282.2272900000003</v>
      </c>
      <c r="CN129" s="2">
        <f t="shared" si="288"/>
        <v>151254.18521000005</v>
      </c>
      <c r="CO129" s="2">
        <f t="shared" si="217"/>
        <v>2875.0625</v>
      </c>
      <c r="CP129" s="2">
        <f t="shared" si="289"/>
        <v>9435.6565000000119</v>
      </c>
      <c r="CQ129" s="2">
        <f t="shared" si="290"/>
        <v>138943.46621000004</v>
      </c>
      <c r="CS129" s="5">
        <f t="shared" si="304"/>
        <v>1000</v>
      </c>
      <c r="CT129" s="2">
        <f t="shared" si="305"/>
        <v>100000</v>
      </c>
      <c r="CU129" s="2">
        <f t="shared" si="306"/>
        <v>100000</v>
      </c>
      <c r="CV129" s="2">
        <f t="shared" si="307"/>
        <v>156839.79579203436</v>
      </c>
      <c r="CW129" s="8">
        <f t="shared" si="291"/>
        <v>5.1000000000000004E-2</v>
      </c>
      <c r="CX129" s="2">
        <f t="shared" si="292"/>
        <v>158839.50318838281</v>
      </c>
      <c r="CY129" s="2" t="str">
        <f t="shared" si="293"/>
        <v>nie</v>
      </c>
      <c r="CZ129" s="2">
        <f t="shared" si="222"/>
        <v>0</v>
      </c>
      <c r="DA129" s="2">
        <f t="shared" si="223"/>
        <v>0</v>
      </c>
      <c r="DB129" s="2">
        <f t="shared" si="224"/>
        <v>158839.50318838281</v>
      </c>
      <c r="DC129" s="2">
        <f t="shared" si="294"/>
        <v>0</v>
      </c>
      <c r="DD129" s="2">
        <f t="shared" si="225"/>
        <v>1314.4149859485888</v>
      </c>
      <c r="DE129" s="2">
        <f t="shared" si="226"/>
        <v>157525.08820243421</v>
      </c>
      <c r="DF129" s="2">
        <f t="shared" si="295"/>
        <v>3000</v>
      </c>
      <c r="DG129" s="2">
        <f t="shared" si="296"/>
        <v>10609.505605792732</v>
      </c>
      <c r="DH129" s="2">
        <f t="shared" si="227"/>
        <v>143915.58259664147</v>
      </c>
    </row>
    <row r="130" spans="2:112">
      <c r="B130" s="232"/>
      <c r="C130" s="1">
        <f t="shared" si="256"/>
        <v>93</v>
      </c>
      <c r="D130" s="2">
        <f t="shared" si="259"/>
        <v>137726.77320585036</v>
      </c>
      <c r="E130" s="2">
        <f t="shared" si="260"/>
        <v>129332.29996861517</v>
      </c>
      <c r="F130" s="2">
        <f t="shared" si="261"/>
        <v>141316.24861000004</v>
      </c>
      <c r="G130" s="2">
        <f t="shared" si="262"/>
        <v>131051.02661000003</v>
      </c>
      <c r="H130" s="2">
        <f t="shared" si="263"/>
        <v>146410.42140450262</v>
      </c>
      <c r="I130" s="2">
        <f t="shared" si="264"/>
        <v>134970.85558263108</v>
      </c>
      <c r="J130" s="2">
        <f t="shared" si="257"/>
        <v>125321.95326039956</v>
      </c>
      <c r="K130" s="2">
        <f t="shared" si="258"/>
        <v>126704.60820019364</v>
      </c>
      <c r="W130" s="1">
        <f t="shared" si="297"/>
        <v>112</v>
      </c>
      <c r="X130" s="2">
        <f t="shared" si="274"/>
        <v>132981.94148689881</v>
      </c>
      <c r="Y130" s="8">
        <f t="shared" si="310"/>
        <v>3.9100000000000003E-2</v>
      </c>
      <c r="Z130" s="5">
        <f t="shared" si="298"/>
        <v>1455</v>
      </c>
      <c r="AA130" s="2">
        <f t="shared" si="299"/>
        <v>145354.5</v>
      </c>
      <c r="AB130" s="2">
        <f t="shared" si="207"/>
        <v>145500</v>
      </c>
      <c r="AC130" s="2">
        <f t="shared" si="300"/>
        <v>145500</v>
      </c>
      <c r="AD130" s="8">
        <f t="shared" si="275"/>
        <v>4.3999999999999997E-2</v>
      </c>
      <c r="AE130" s="2">
        <f t="shared" si="179"/>
        <v>147634</v>
      </c>
      <c r="AF130" s="2" t="str">
        <f t="shared" si="276"/>
        <v>nie</v>
      </c>
      <c r="AG130" s="2">
        <f t="shared" si="277"/>
        <v>1455</v>
      </c>
      <c r="AH130" s="1">
        <f t="shared" si="233"/>
        <v>1</v>
      </c>
      <c r="AI130" s="1">
        <f t="shared" si="265"/>
        <v>1</v>
      </c>
      <c r="AJ130" s="1">
        <f t="shared" si="308"/>
        <v>1</v>
      </c>
      <c r="AK130" s="1">
        <f t="shared" si="254"/>
        <v>0</v>
      </c>
      <c r="AL130" s="2">
        <f t="shared" si="243"/>
        <v>100</v>
      </c>
      <c r="AM130" s="8">
        <f t="shared" si="313"/>
        <v>4.3999999999999997E-2</v>
      </c>
      <c r="AN130" s="2">
        <f t="shared" si="244"/>
        <v>101.46666666666665</v>
      </c>
      <c r="AO130" s="2">
        <f t="shared" si="314"/>
        <v>1</v>
      </c>
      <c r="AP130" s="2">
        <f t="shared" si="272"/>
        <v>200</v>
      </c>
      <c r="AQ130" s="8">
        <f t="shared" si="266"/>
        <v>3.9100000000000003E-2</v>
      </c>
      <c r="AR130" s="2">
        <f t="shared" si="267"/>
        <v>202.60666666666665</v>
      </c>
      <c r="AS130" s="2">
        <f t="shared" si="268"/>
        <v>2</v>
      </c>
      <c r="AT130" s="2">
        <f t="shared" si="209"/>
        <v>0</v>
      </c>
      <c r="AU130" s="2">
        <f t="shared" si="245"/>
        <v>0</v>
      </c>
      <c r="AV130" s="2">
        <f t="shared" si="236"/>
        <v>5.3184299199853626</v>
      </c>
      <c r="AW130" s="1">
        <f t="shared" si="311"/>
        <v>0</v>
      </c>
      <c r="AX130" s="2">
        <f t="shared" si="278"/>
        <v>5.3184299199853626</v>
      </c>
      <c r="AY130" s="1">
        <f t="shared" si="237"/>
        <v>0</v>
      </c>
      <c r="AZ130" s="2">
        <f t="shared" si="210"/>
        <v>5.3184299199853626</v>
      </c>
      <c r="BA130" s="2">
        <f t="shared" si="246"/>
        <v>147943.39176325331</v>
      </c>
      <c r="BB130" s="2">
        <f t="shared" si="279"/>
        <v>0</v>
      </c>
      <c r="BC130" s="2">
        <f t="shared" si="211"/>
        <v>1258.1792907975837</v>
      </c>
      <c r="BD130" s="2">
        <f t="shared" si="184"/>
        <v>146685.21247245572</v>
      </c>
      <c r="BE130" s="2">
        <f t="shared" si="212"/>
        <v>1458</v>
      </c>
      <c r="BF130" s="2">
        <f t="shared" si="185"/>
        <v>8832.22443501813</v>
      </c>
      <c r="BG130" s="2">
        <f t="shared" si="186"/>
        <v>136394.98803743758</v>
      </c>
      <c r="BI130" s="8">
        <f t="shared" si="315"/>
        <v>3.1E-2</v>
      </c>
      <c r="BJ130" s="5">
        <f t="shared" si="301"/>
        <v>1096</v>
      </c>
      <c r="BK130" s="2">
        <f t="shared" si="302"/>
        <v>109490.40000000001</v>
      </c>
      <c r="BL130" s="2">
        <f t="shared" si="303"/>
        <v>109600</v>
      </c>
      <c r="BM130" s="2">
        <f t="shared" si="280"/>
        <v>109600</v>
      </c>
      <c r="BN130" s="8">
        <f t="shared" si="281"/>
        <v>4.5999999999999999E-2</v>
      </c>
      <c r="BO130" s="2">
        <f t="shared" si="282"/>
        <v>111280.53333333334</v>
      </c>
      <c r="BP130" s="2" t="str">
        <f t="shared" si="283"/>
        <v>nie</v>
      </c>
      <c r="BQ130" s="2">
        <f t="shared" si="284"/>
        <v>2192</v>
      </c>
      <c r="BR130" s="1">
        <f t="shared" si="316"/>
        <v>171</v>
      </c>
      <c r="BS130" s="1">
        <f t="shared" si="269"/>
        <v>22</v>
      </c>
      <c r="BT130" s="1">
        <f t="shared" si="309"/>
        <v>112</v>
      </c>
      <c r="BU130" s="1">
        <f t="shared" si="255"/>
        <v>106</v>
      </c>
      <c r="BV130" s="2">
        <f t="shared" si="247"/>
        <v>17100</v>
      </c>
      <c r="BW130" s="8">
        <f t="shared" si="317"/>
        <v>4.7500000000000001E-2</v>
      </c>
      <c r="BX130" s="2">
        <f t="shared" si="248"/>
        <v>17370.75</v>
      </c>
      <c r="BY130" s="2">
        <f t="shared" si="318"/>
        <v>270.75</v>
      </c>
      <c r="BZ130" s="2">
        <f t="shared" si="273"/>
        <v>24000</v>
      </c>
      <c r="CA130" s="8">
        <f t="shared" si="270"/>
        <v>4.5999999999999999E-2</v>
      </c>
      <c r="CB130" s="2">
        <f t="shared" si="249"/>
        <v>24368.000000000004</v>
      </c>
      <c r="CC130" s="2">
        <f t="shared" si="271"/>
        <v>480</v>
      </c>
      <c r="CD130" s="2">
        <f t="shared" si="285"/>
        <v>0</v>
      </c>
      <c r="CE130" s="2">
        <f t="shared" si="250"/>
        <v>0</v>
      </c>
      <c r="CF130" s="2">
        <f t="shared" si="251"/>
        <v>96.950000000037107</v>
      </c>
      <c r="CG130" s="1">
        <f t="shared" si="312"/>
        <v>0</v>
      </c>
      <c r="CH130" s="2">
        <f t="shared" si="286"/>
        <v>96.950000000037107</v>
      </c>
      <c r="CI130" s="1">
        <f t="shared" si="242"/>
        <v>0</v>
      </c>
      <c r="CJ130" s="2">
        <f t="shared" si="252"/>
        <v>96.950000000037107</v>
      </c>
      <c r="CK130" s="2">
        <f t="shared" si="253"/>
        <v>153116.2333333334</v>
      </c>
      <c r="CL130" s="2">
        <f t="shared" si="287"/>
        <v>0</v>
      </c>
      <c r="CM130" s="2">
        <f t="shared" si="216"/>
        <v>1282.2272900000003</v>
      </c>
      <c r="CN130" s="2">
        <f t="shared" si="288"/>
        <v>151834.00604333339</v>
      </c>
      <c r="CO130" s="2">
        <f t="shared" si="217"/>
        <v>2942.75</v>
      </c>
      <c r="CP130" s="2">
        <f t="shared" si="289"/>
        <v>9532.9618333333456</v>
      </c>
      <c r="CQ130" s="2">
        <f t="shared" si="290"/>
        <v>139358.29421000005</v>
      </c>
      <c r="CS130" s="5">
        <f t="shared" si="304"/>
        <v>1000</v>
      </c>
      <c r="CT130" s="2">
        <f t="shared" si="305"/>
        <v>100000</v>
      </c>
      <c r="CU130" s="2">
        <f t="shared" si="306"/>
        <v>100000</v>
      </c>
      <c r="CV130" s="2">
        <f t="shared" si="307"/>
        <v>156839.79579203436</v>
      </c>
      <c r="CW130" s="8">
        <f t="shared" si="291"/>
        <v>5.1000000000000004E-2</v>
      </c>
      <c r="CX130" s="2">
        <f t="shared" si="292"/>
        <v>159506.07232049893</v>
      </c>
      <c r="CY130" s="2" t="str">
        <f t="shared" si="293"/>
        <v>nie</v>
      </c>
      <c r="CZ130" s="2">
        <f t="shared" si="222"/>
        <v>0</v>
      </c>
      <c r="DA130" s="2">
        <f t="shared" si="223"/>
        <v>0</v>
      </c>
      <c r="DB130" s="2">
        <f t="shared" si="224"/>
        <v>159506.07232049893</v>
      </c>
      <c r="DC130" s="2">
        <f t="shared" si="294"/>
        <v>0</v>
      </c>
      <c r="DD130" s="2">
        <f t="shared" si="225"/>
        <v>1314.4149859485888</v>
      </c>
      <c r="DE130" s="2">
        <f t="shared" si="226"/>
        <v>158191.65733455034</v>
      </c>
      <c r="DF130" s="2">
        <f t="shared" si="295"/>
        <v>3000</v>
      </c>
      <c r="DG130" s="2">
        <f t="shared" si="296"/>
        <v>10736.153740894797</v>
      </c>
      <c r="DH130" s="2">
        <f t="shared" si="227"/>
        <v>144455.50359365554</v>
      </c>
    </row>
    <row r="131" spans="2:112">
      <c r="B131" s="232"/>
      <c r="C131" s="1">
        <f t="shared" si="256"/>
        <v>94</v>
      </c>
      <c r="D131" s="2">
        <f t="shared" si="259"/>
        <v>138218.98090585039</v>
      </c>
      <c r="E131" s="2">
        <f t="shared" si="260"/>
        <v>129730.9882056152</v>
      </c>
      <c r="F131" s="2">
        <f t="shared" si="261"/>
        <v>141844.73194333335</v>
      </c>
      <c r="G131" s="2">
        <f t="shared" si="262"/>
        <v>131479.09811000002</v>
      </c>
      <c r="H131" s="2">
        <f t="shared" si="263"/>
        <v>147013.86928488311</v>
      </c>
      <c r="I131" s="2">
        <f t="shared" si="264"/>
        <v>135459.64836573927</v>
      </c>
      <c r="J131" s="2">
        <f t="shared" si="257"/>
        <v>125626.48560682233</v>
      </c>
      <c r="K131" s="2">
        <f t="shared" si="258"/>
        <v>127024.49115924617</v>
      </c>
      <c r="W131" s="1">
        <f t="shared" si="297"/>
        <v>113</v>
      </c>
      <c r="X131" s="2">
        <f t="shared" si="274"/>
        <v>133321.96459693625</v>
      </c>
      <c r="Y131" s="8">
        <f t="shared" si="310"/>
        <v>3.9100000000000003E-2</v>
      </c>
      <c r="Z131" s="5">
        <f t="shared" si="298"/>
        <v>1455</v>
      </c>
      <c r="AA131" s="2">
        <f t="shared" si="299"/>
        <v>145354.5</v>
      </c>
      <c r="AB131" s="2">
        <f t="shared" si="207"/>
        <v>145500</v>
      </c>
      <c r="AC131" s="2">
        <f t="shared" si="300"/>
        <v>145500</v>
      </c>
      <c r="AD131" s="8">
        <f t="shared" si="275"/>
        <v>4.3999999999999997E-2</v>
      </c>
      <c r="AE131" s="2">
        <f t="shared" si="179"/>
        <v>148167.5</v>
      </c>
      <c r="AF131" s="2" t="str">
        <f t="shared" si="276"/>
        <v>nie</v>
      </c>
      <c r="AG131" s="2">
        <f t="shared" si="277"/>
        <v>1455</v>
      </c>
      <c r="AH131" s="1">
        <f t="shared" si="233"/>
        <v>1</v>
      </c>
      <c r="AI131" s="1">
        <f t="shared" si="265"/>
        <v>1</v>
      </c>
      <c r="AJ131" s="1">
        <f t="shared" si="308"/>
        <v>1</v>
      </c>
      <c r="AK131" s="1">
        <f t="shared" ref="AK131:AK162" si="319">IF(zapadalnosc_TOS/12&gt;=AK$18,AJ119,0)</f>
        <v>0</v>
      </c>
      <c r="AL131" s="2">
        <f t="shared" si="243"/>
        <v>100</v>
      </c>
      <c r="AM131" s="8">
        <f t="shared" si="313"/>
        <v>4.3999999999999997E-2</v>
      </c>
      <c r="AN131" s="2">
        <f t="shared" si="244"/>
        <v>101.83333333333333</v>
      </c>
      <c r="AO131" s="2">
        <f t="shared" si="314"/>
        <v>1</v>
      </c>
      <c r="AP131" s="2">
        <f t="shared" si="272"/>
        <v>200</v>
      </c>
      <c r="AQ131" s="8">
        <f t="shared" si="266"/>
        <v>3.9100000000000003E-2</v>
      </c>
      <c r="AR131" s="2">
        <f t="shared" si="267"/>
        <v>203.25833333333333</v>
      </c>
      <c r="AS131" s="2">
        <f t="shared" si="268"/>
        <v>2</v>
      </c>
      <c r="AT131" s="2">
        <f t="shared" si="209"/>
        <v>0</v>
      </c>
      <c r="AU131" s="2">
        <f t="shared" si="245"/>
        <v>0</v>
      </c>
      <c r="AV131" s="2">
        <f t="shared" si="236"/>
        <v>5.3184299199853626</v>
      </c>
      <c r="AW131" s="1">
        <f t="shared" si="311"/>
        <v>0</v>
      </c>
      <c r="AX131" s="2">
        <f t="shared" si="278"/>
        <v>5.3184299199853626</v>
      </c>
      <c r="AY131" s="1">
        <f t="shared" si="237"/>
        <v>0</v>
      </c>
      <c r="AZ131" s="2">
        <f t="shared" si="210"/>
        <v>5.3184299199853626</v>
      </c>
      <c r="BA131" s="2">
        <f t="shared" si="246"/>
        <v>148477.91009658665</v>
      </c>
      <c r="BB131" s="2">
        <f t="shared" si="279"/>
        <v>0</v>
      </c>
      <c r="BC131" s="2">
        <f t="shared" si="211"/>
        <v>1258.1792907975837</v>
      </c>
      <c r="BD131" s="2">
        <f t="shared" si="184"/>
        <v>147219.73080578906</v>
      </c>
      <c r="BE131" s="2">
        <f t="shared" si="212"/>
        <v>1458</v>
      </c>
      <c r="BF131" s="2">
        <f t="shared" si="185"/>
        <v>8933.7829183514641</v>
      </c>
      <c r="BG131" s="2">
        <f t="shared" si="186"/>
        <v>136827.94788743759</v>
      </c>
      <c r="BI131" s="8">
        <f t="shared" si="315"/>
        <v>3.1E-2</v>
      </c>
      <c r="BJ131" s="5">
        <f t="shared" si="301"/>
        <v>1096</v>
      </c>
      <c r="BK131" s="2">
        <f t="shared" si="302"/>
        <v>109490.40000000001</v>
      </c>
      <c r="BL131" s="2">
        <f t="shared" si="303"/>
        <v>109600</v>
      </c>
      <c r="BM131" s="2">
        <f t="shared" si="280"/>
        <v>109600</v>
      </c>
      <c r="BN131" s="8">
        <f t="shared" si="281"/>
        <v>4.5999999999999999E-2</v>
      </c>
      <c r="BO131" s="2">
        <f t="shared" si="282"/>
        <v>111700.66666666666</v>
      </c>
      <c r="BP131" s="2" t="str">
        <f t="shared" si="283"/>
        <v>nie</v>
      </c>
      <c r="BQ131" s="2">
        <f t="shared" si="284"/>
        <v>2192</v>
      </c>
      <c r="BR131" s="1">
        <f t="shared" si="316"/>
        <v>171</v>
      </c>
      <c r="BS131" s="1">
        <f t="shared" si="269"/>
        <v>22</v>
      </c>
      <c r="BT131" s="1">
        <f t="shared" si="309"/>
        <v>112</v>
      </c>
      <c r="BU131" s="1">
        <f t="shared" ref="BU131:BU162" si="320">IF(zapadalnosc_COI/12&gt;=BU$18,BT119,0)</f>
        <v>106</v>
      </c>
      <c r="BV131" s="2">
        <f t="shared" si="247"/>
        <v>17100</v>
      </c>
      <c r="BW131" s="8">
        <f t="shared" si="317"/>
        <v>4.7500000000000001E-2</v>
      </c>
      <c r="BX131" s="2">
        <f t="shared" si="248"/>
        <v>17438.4375</v>
      </c>
      <c r="BY131" s="2">
        <f t="shared" si="318"/>
        <v>338.4375</v>
      </c>
      <c r="BZ131" s="2">
        <f t="shared" si="273"/>
        <v>24000</v>
      </c>
      <c r="CA131" s="8">
        <f t="shared" si="270"/>
        <v>4.5999999999999999E-2</v>
      </c>
      <c r="CB131" s="2">
        <f t="shared" si="249"/>
        <v>24459.999999999996</v>
      </c>
      <c r="CC131" s="2">
        <f t="shared" si="271"/>
        <v>480</v>
      </c>
      <c r="CD131" s="2">
        <f t="shared" si="285"/>
        <v>0</v>
      </c>
      <c r="CE131" s="2">
        <f t="shared" si="250"/>
        <v>0</v>
      </c>
      <c r="CF131" s="2">
        <f t="shared" si="251"/>
        <v>96.950000000037107</v>
      </c>
      <c r="CG131" s="1">
        <f t="shared" si="312"/>
        <v>0</v>
      </c>
      <c r="CH131" s="2">
        <f t="shared" si="286"/>
        <v>96.950000000037107</v>
      </c>
      <c r="CI131" s="1">
        <f t="shared" si="242"/>
        <v>0</v>
      </c>
      <c r="CJ131" s="2">
        <f t="shared" si="252"/>
        <v>96.950000000037107</v>
      </c>
      <c r="CK131" s="2">
        <f t="shared" si="253"/>
        <v>153696.0541666667</v>
      </c>
      <c r="CL131" s="2">
        <f t="shared" si="287"/>
        <v>0</v>
      </c>
      <c r="CM131" s="2">
        <f t="shared" si="216"/>
        <v>1282.2272900000003</v>
      </c>
      <c r="CN131" s="2">
        <f t="shared" si="288"/>
        <v>152413.82687666669</v>
      </c>
      <c r="CO131" s="2">
        <f t="shared" si="217"/>
        <v>3010.4375</v>
      </c>
      <c r="CP131" s="2">
        <f t="shared" si="289"/>
        <v>9630.267166666672</v>
      </c>
      <c r="CQ131" s="2">
        <f t="shared" si="290"/>
        <v>139773.12221</v>
      </c>
      <c r="CS131" s="5">
        <f t="shared" si="304"/>
        <v>1000</v>
      </c>
      <c r="CT131" s="2">
        <f t="shared" si="305"/>
        <v>100000</v>
      </c>
      <c r="CU131" s="2">
        <f t="shared" si="306"/>
        <v>100000</v>
      </c>
      <c r="CV131" s="2">
        <f t="shared" si="307"/>
        <v>156839.79579203436</v>
      </c>
      <c r="CW131" s="8">
        <f t="shared" si="291"/>
        <v>5.1000000000000004E-2</v>
      </c>
      <c r="CX131" s="2">
        <f t="shared" si="292"/>
        <v>160172.64145261509</v>
      </c>
      <c r="CY131" s="2" t="str">
        <f t="shared" si="293"/>
        <v>nie</v>
      </c>
      <c r="CZ131" s="2">
        <f t="shared" si="222"/>
        <v>0</v>
      </c>
      <c r="DA131" s="2">
        <f t="shared" si="223"/>
        <v>0</v>
      </c>
      <c r="DB131" s="2">
        <f t="shared" si="224"/>
        <v>160172.64145261509</v>
      </c>
      <c r="DC131" s="2">
        <f t="shared" si="294"/>
        <v>0</v>
      </c>
      <c r="DD131" s="2">
        <f t="shared" si="225"/>
        <v>1314.4149859485888</v>
      </c>
      <c r="DE131" s="2">
        <f t="shared" si="226"/>
        <v>158858.2264666665</v>
      </c>
      <c r="DF131" s="2">
        <f t="shared" si="295"/>
        <v>3000</v>
      </c>
      <c r="DG131" s="2">
        <f t="shared" si="296"/>
        <v>10862.801875996867</v>
      </c>
      <c r="DH131" s="2">
        <f t="shared" si="227"/>
        <v>144995.42459066963</v>
      </c>
    </row>
    <row r="132" spans="2:112">
      <c r="B132" s="233"/>
      <c r="C132" s="1">
        <f t="shared" si="256"/>
        <v>95</v>
      </c>
      <c r="D132" s="2">
        <f t="shared" si="259"/>
        <v>138711.18860585039</v>
      </c>
      <c r="E132" s="2">
        <f t="shared" si="260"/>
        <v>130129.67644261519</v>
      </c>
      <c r="F132" s="2">
        <f t="shared" si="261"/>
        <v>142373.21527666671</v>
      </c>
      <c r="G132" s="2">
        <f t="shared" si="262"/>
        <v>131907.16961000004</v>
      </c>
      <c r="H132" s="2">
        <f t="shared" si="263"/>
        <v>147617.31716526358</v>
      </c>
      <c r="I132" s="2">
        <f t="shared" si="264"/>
        <v>135948.44114884743</v>
      </c>
      <c r="J132" s="2">
        <f t="shared" si="257"/>
        <v>125931.7579668469</v>
      </c>
      <c r="K132" s="2">
        <f t="shared" si="258"/>
        <v>127344.37411829871</v>
      </c>
      <c r="W132" s="1">
        <f t="shared" si="297"/>
        <v>114</v>
      </c>
      <c r="X132" s="2">
        <f t="shared" si="274"/>
        <v>133661.98770697368</v>
      </c>
      <c r="Y132" s="8">
        <f t="shared" si="310"/>
        <v>3.9100000000000003E-2</v>
      </c>
      <c r="Z132" s="5">
        <f t="shared" si="298"/>
        <v>1455</v>
      </c>
      <c r="AA132" s="2">
        <f t="shared" si="299"/>
        <v>145354.5</v>
      </c>
      <c r="AB132" s="2">
        <f t="shared" si="207"/>
        <v>145500</v>
      </c>
      <c r="AC132" s="2">
        <f t="shared" si="300"/>
        <v>145500</v>
      </c>
      <c r="AD132" s="8">
        <f t="shared" si="275"/>
        <v>4.3999999999999997E-2</v>
      </c>
      <c r="AE132" s="2">
        <f t="shared" si="179"/>
        <v>148701</v>
      </c>
      <c r="AF132" s="2" t="str">
        <f t="shared" si="276"/>
        <v>nie</v>
      </c>
      <c r="AG132" s="2">
        <f t="shared" si="277"/>
        <v>1455</v>
      </c>
      <c r="AH132" s="1">
        <f t="shared" si="233"/>
        <v>1</v>
      </c>
      <c r="AI132" s="1">
        <f t="shared" si="265"/>
        <v>1</v>
      </c>
      <c r="AJ132" s="1">
        <f t="shared" si="308"/>
        <v>1</v>
      </c>
      <c r="AK132" s="1">
        <f t="shared" si="319"/>
        <v>0</v>
      </c>
      <c r="AL132" s="2">
        <f t="shared" si="243"/>
        <v>100</v>
      </c>
      <c r="AM132" s="8">
        <f t="shared" si="313"/>
        <v>4.3999999999999997E-2</v>
      </c>
      <c r="AN132" s="2">
        <f t="shared" si="244"/>
        <v>102.2</v>
      </c>
      <c r="AO132" s="2">
        <f t="shared" si="314"/>
        <v>1</v>
      </c>
      <c r="AP132" s="2">
        <f t="shared" si="272"/>
        <v>200</v>
      </c>
      <c r="AQ132" s="8">
        <f t="shared" si="266"/>
        <v>3.9100000000000003E-2</v>
      </c>
      <c r="AR132" s="2">
        <f t="shared" si="267"/>
        <v>203.91</v>
      </c>
      <c r="AS132" s="2">
        <f t="shared" si="268"/>
        <v>2</v>
      </c>
      <c r="AT132" s="2">
        <f t="shared" si="209"/>
        <v>0</v>
      </c>
      <c r="AU132" s="2">
        <f t="shared" si="245"/>
        <v>0</v>
      </c>
      <c r="AV132" s="2">
        <f t="shared" si="236"/>
        <v>5.3184299199853626</v>
      </c>
      <c r="AW132" s="1">
        <f t="shared" si="311"/>
        <v>0</v>
      </c>
      <c r="AX132" s="2">
        <f t="shared" si="278"/>
        <v>5.3184299199853626</v>
      </c>
      <c r="AY132" s="1">
        <f t="shared" si="237"/>
        <v>0</v>
      </c>
      <c r="AZ132" s="2">
        <f t="shared" si="210"/>
        <v>5.3184299199853626</v>
      </c>
      <c r="BA132" s="2">
        <f t="shared" si="246"/>
        <v>149012.42842991999</v>
      </c>
      <c r="BB132" s="2">
        <f t="shared" si="279"/>
        <v>0</v>
      </c>
      <c r="BC132" s="2">
        <f t="shared" si="211"/>
        <v>1258.1792907975837</v>
      </c>
      <c r="BD132" s="2">
        <f t="shared" si="184"/>
        <v>147754.2491391224</v>
      </c>
      <c r="BE132" s="2">
        <f t="shared" si="212"/>
        <v>1458</v>
      </c>
      <c r="BF132" s="2">
        <f t="shared" si="185"/>
        <v>9035.3414016847983</v>
      </c>
      <c r="BG132" s="2">
        <f t="shared" si="186"/>
        <v>137260.90773743761</v>
      </c>
      <c r="BI132" s="8">
        <f t="shared" si="315"/>
        <v>3.1E-2</v>
      </c>
      <c r="BJ132" s="5">
        <f t="shared" si="301"/>
        <v>1096</v>
      </c>
      <c r="BK132" s="2">
        <f t="shared" si="302"/>
        <v>109490.40000000001</v>
      </c>
      <c r="BL132" s="2">
        <f t="shared" si="303"/>
        <v>109600</v>
      </c>
      <c r="BM132" s="2">
        <f t="shared" si="280"/>
        <v>109600</v>
      </c>
      <c r="BN132" s="8">
        <f t="shared" si="281"/>
        <v>4.5999999999999999E-2</v>
      </c>
      <c r="BO132" s="2">
        <f t="shared" si="282"/>
        <v>112120.79999999999</v>
      </c>
      <c r="BP132" s="2" t="str">
        <f t="shared" si="283"/>
        <v>nie</v>
      </c>
      <c r="BQ132" s="2">
        <f t="shared" si="284"/>
        <v>2192</v>
      </c>
      <c r="BR132" s="1">
        <f t="shared" si="316"/>
        <v>171</v>
      </c>
      <c r="BS132" s="1">
        <f t="shared" si="269"/>
        <v>22</v>
      </c>
      <c r="BT132" s="1">
        <f t="shared" si="309"/>
        <v>112</v>
      </c>
      <c r="BU132" s="1">
        <f t="shared" si="320"/>
        <v>106</v>
      </c>
      <c r="BV132" s="2">
        <f t="shared" si="247"/>
        <v>17100</v>
      </c>
      <c r="BW132" s="8">
        <f t="shared" si="317"/>
        <v>4.7500000000000001E-2</v>
      </c>
      <c r="BX132" s="2">
        <f t="shared" si="248"/>
        <v>17506.125</v>
      </c>
      <c r="BY132" s="2">
        <f t="shared" si="318"/>
        <v>342</v>
      </c>
      <c r="BZ132" s="2">
        <f t="shared" si="273"/>
        <v>24000</v>
      </c>
      <c r="CA132" s="8">
        <f t="shared" si="270"/>
        <v>4.5999999999999999E-2</v>
      </c>
      <c r="CB132" s="2">
        <f t="shared" si="249"/>
        <v>24551.999999999996</v>
      </c>
      <c r="CC132" s="2">
        <f t="shared" si="271"/>
        <v>480</v>
      </c>
      <c r="CD132" s="2">
        <f t="shared" si="285"/>
        <v>0</v>
      </c>
      <c r="CE132" s="2">
        <f t="shared" si="250"/>
        <v>0</v>
      </c>
      <c r="CF132" s="2">
        <f t="shared" si="251"/>
        <v>96.950000000037107</v>
      </c>
      <c r="CG132" s="1">
        <f t="shared" si="312"/>
        <v>0</v>
      </c>
      <c r="CH132" s="2">
        <f t="shared" si="286"/>
        <v>96.950000000037107</v>
      </c>
      <c r="CI132" s="1">
        <f t="shared" si="242"/>
        <v>0</v>
      </c>
      <c r="CJ132" s="2">
        <f t="shared" si="252"/>
        <v>96.950000000037107</v>
      </c>
      <c r="CK132" s="2">
        <f t="shared" si="253"/>
        <v>154275.87500000003</v>
      </c>
      <c r="CL132" s="2">
        <f t="shared" si="287"/>
        <v>0</v>
      </c>
      <c r="CM132" s="2">
        <f t="shared" si="216"/>
        <v>1282.2272900000003</v>
      </c>
      <c r="CN132" s="2">
        <f t="shared" si="288"/>
        <v>152993.64771000002</v>
      </c>
      <c r="CO132" s="2">
        <f t="shared" si="217"/>
        <v>3014</v>
      </c>
      <c r="CP132" s="2">
        <f t="shared" si="289"/>
        <v>9739.7562500000058</v>
      </c>
      <c r="CQ132" s="2">
        <f t="shared" si="290"/>
        <v>140239.89146000001</v>
      </c>
      <c r="CS132" s="5">
        <f t="shared" si="304"/>
        <v>1000</v>
      </c>
      <c r="CT132" s="2">
        <f t="shared" si="305"/>
        <v>100000</v>
      </c>
      <c r="CU132" s="2">
        <f t="shared" si="306"/>
        <v>100000</v>
      </c>
      <c r="CV132" s="2">
        <f t="shared" si="307"/>
        <v>156839.79579203436</v>
      </c>
      <c r="CW132" s="8">
        <f t="shared" si="291"/>
        <v>5.1000000000000004E-2</v>
      </c>
      <c r="CX132" s="2">
        <f t="shared" si="292"/>
        <v>160839.21058473125</v>
      </c>
      <c r="CY132" s="2" t="str">
        <f t="shared" si="293"/>
        <v>nie</v>
      </c>
      <c r="CZ132" s="2">
        <f t="shared" si="222"/>
        <v>0</v>
      </c>
      <c r="DA132" s="2">
        <f t="shared" si="223"/>
        <v>0</v>
      </c>
      <c r="DB132" s="2">
        <f t="shared" si="224"/>
        <v>160839.21058473125</v>
      </c>
      <c r="DC132" s="2">
        <f t="shared" si="294"/>
        <v>0</v>
      </c>
      <c r="DD132" s="2">
        <f t="shared" si="225"/>
        <v>1314.4149859485888</v>
      </c>
      <c r="DE132" s="2">
        <f t="shared" si="226"/>
        <v>159524.79559878266</v>
      </c>
      <c r="DF132" s="2">
        <f t="shared" si="295"/>
        <v>3000</v>
      </c>
      <c r="DG132" s="2">
        <f t="shared" si="296"/>
        <v>10989.450011098937</v>
      </c>
      <c r="DH132" s="2">
        <f t="shared" si="227"/>
        <v>145535.34558768373</v>
      </c>
    </row>
    <row r="133" spans="2:112">
      <c r="B133" s="231">
        <f>ROUNDUP(C134/12,0)</f>
        <v>9</v>
      </c>
      <c r="C133" s="3">
        <f t="shared" si="256"/>
        <v>96</v>
      </c>
      <c r="D133" s="10">
        <f t="shared" si="259"/>
        <v>139063.22066571232</v>
      </c>
      <c r="E133" s="10">
        <f t="shared" si="260"/>
        <v>130388.18903947712</v>
      </c>
      <c r="F133" s="10">
        <f t="shared" si="261"/>
        <v>142757.80936000004</v>
      </c>
      <c r="G133" s="10">
        <f t="shared" si="262"/>
        <v>133887.49186000004</v>
      </c>
      <c r="H133" s="10">
        <f t="shared" si="263"/>
        <v>148071.53593451934</v>
      </c>
      <c r="I133" s="10">
        <f t="shared" si="264"/>
        <v>136288.00482083092</v>
      </c>
      <c r="J133" s="10">
        <f t="shared" si="257"/>
        <v>126237.77213870632</v>
      </c>
      <c r="K133" s="10">
        <f t="shared" si="258"/>
        <v>127664.25707735121</v>
      </c>
      <c r="W133" s="1">
        <f t="shared" si="297"/>
        <v>115</v>
      </c>
      <c r="X133" s="2">
        <f t="shared" si="274"/>
        <v>134002.01081701109</v>
      </c>
      <c r="Y133" s="8">
        <f t="shared" si="310"/>
        <v>3.9100000000000003E-2</v>
      </c>
      <c r="Z133" s="5">
        <f t="shared" si="298"/>
        <v>1455</v>
      </c>
      <c r="AA133" s="2">
        <f t="shared" si="299"/>
        <v>145354.5</v>
      </c>
      <c r="AB133" s="2">
        <f t="shared" si="207"/>
        <v>145500</v>
      </c>
      <c r="AC133" s="2">
        <f t="shared" si="300"/>
        <v>145500</v>
      </c>
      <c r="AD133" s="8">
        <f t="shared" si="275"/>
        <v>4.3999999999999997E-2</v>
      </c>
      <c r="AE133" s="2">
        <f t="shared" si="179"/>
        <v>149234.5</v>
      </c>
      <c r="AF133" s="2" t="str">
        <f t="shared" si="276"/>
        <v>nie</v>
      </c>
      <c r="AG133" s="2">
        <f t="shared" si="277"/>
        <v>1455</v>
      </c>
      <c r="AH133" s="1">
        <f t="shared" si="233"/>
        <v>1</v>
      </c>
      <c r="AI133" s="1">
        <f t="shared" si="265"/>
        <v>1</v>
      </c>
      <c r="AJ133" s="1">
        <f t="shared" si="308"/>
        <v>1</v>
      </c>
      <c r="AK133" s="1">
        <f t="shared" si="319"/>
        <v>0</v>
      </c>
      <c r="AL133" s="2">
        <f t="shared" si="243"/>
        <v>100</v>
      </c>
      <c r="AM133" s="8">
        <f t="shared" si="313"/>
        <v>4.3999999999999997E-2</v>
      </c>
      <c r="AN133" s="2">
        <f t="shared" si="244"/>
        <v>102.56666666666668</v>
      </c>
      <c r="AO133" s="2">
        <f t="shared" si="314"/>
        <v>1</v>
      </c>
      <c r="AP133" s="2">
        <f t="shared" si="272"/>
        <v>200</v>
      </c>
      <c r="AQ133" s="8">
        <f t="shared" si="266"/>
        <v>3.9100000000000003E-2</v>
      </c>
      <c r="AR133" s="2">
        <f t="shared" si="267"/>
        <v>204.56166666666667</v>
      </c>
      <c r="AS133" s="2">
        <f t="shared" si="268"/>
        <v>2</v>
      </c>
      <c r="AT133" s="2">
        <f t="shared" si="209"/>
        <v>0</v>
      </c>
      <c r="AU133" s="2">
        <f t="shared" si="245"/>
        <v>0</v>
      </c>
      <c r="AV133" s="2">
        <f t="shared" si="236"/>
        <v>5.3184299199853626</v>
      </c>
      <c r="AW133" s="1">
        <f t="shared" si="311"/>
        <v>0</v>
      </c>
      <c r="AX133" s="2">
        <f t="shared" si="278"/>
        <v>5.3184299199853626</v>
      </c>
      <c r="AY133" s="1">
        <f t="shared" si="237"/>
        <v>0</v>
      </c>
      <c r="AZ133" s="2">
        <f t="shared" si="210"/>
        <v>5.3184299199853626</v>
      </c>
      <c r="BA133" s="2">
        <f t="shared" si="246"/>
        <v>149546.94676325333</v>
      </c>
      <c r="BB133" s="2">
        <f t="shared" si="279"/>
        <v>0</v>
      </c>
      <c r="BC133" s="2">
        <f t="shared" si="211"/>
        <v>1258.1792907975837</v>
      </c>
      <c r="BD133" s="2">
        <f t="shared" si="184"/>
        <v>148288.76747245574</v>
      </c>
      <c r="BE133" s="2">
        <f t="shared" si="212"/>
        <v>1458</v>
      </c>
      <c r="BF133" s="2">
        <f t="shared" si="185"/>
        <v>9136.8998850181342</v>
      </c>
      <c r="BG133" s="2">
        <f t="shared" si="186"/>
        <v>137693.86758743762</v>
      </c>
      <c r="BI133" s="8">
        <f t="shared" si="315"/>
        <v>3.1E-2</v>
      </c>
      <c r="BJ133" s="5">
        <f t="shared" si="301"/>
        <v>1096</v>
      </c>
      <c r="BK133" s="2">
        <f t="shared" si="302"/>
        <v>109490.40000000001</v>
      </c>
      <c r="BL133" s="2">
        <f t="shared" si="303"/>
        <v>109600</v>
      </c>
      <c r="BM133" s="2">
        <f t="shared" si="280"/>
        <v>109600</v>
      </c>
      <c r="BN133" s="8">
        <f t="shared" si="281"/>
        <v>4.5999999999999999E-2</v>
      </c>
      <c r="BO133" s="2">
        <f t="shared" si="282"/>
        <v>112540.93333333332</v>
      </c>
      <c r="BP133" s="2" t="str">
        <f t="shared" si="283"/>
        <v>nie</v>
      </c>
      <c r="BQ133" s="2">
        <f t="shared" si="284"/>
        <v>2192</v>
      </c>
      <c r="BR133" s="1">
        <f t="shared" si="316"/>
        <v>171</v>
      </c>
      <c r="BS133" s="1">
        <f t="shared" si="269"/>
        <v>22</v>
      </c>
      <c r="BT133" s="1">
        <f t="shared" si="309"/>
        <v>112</v>
      </c>
      <c r="BU133" s="1">
        <f t="shared" si="320"/>
        <v>106</v>
      </c>
      <c r="BV133" s="2">
        <f t="shared" si="247"/>
        <v>17100</v>
      </c>
      <c r="BW133" s="8">
        <f t="shared" si="317"/>
        <v>4.7500000000000001E-2</v>
      </c>
      <c r="BX133" s="2">
        <f t="shared" si="248"/>
        <v>17573.812500000004</v>
      </c>
      <c r="BY133" s="2">
        <f t="shared" si="318"/>
        <v>342</v>
      </c>
      <c r="BZ133" s="2">
        <f t="shared" si="273"/>
        <v>24000</v>
      </c>
      <c r="CA133" s="8">
        <f t="shared" si="270"/>
        <v>4.5999999999999999E-2</v>
      </c>
      <c r="CB133" s="2">
        <f t="shared" si="249"/>
        <v>24644</v>
      </c>
      <c r="CC133" s="2">
        <f t="shared" si="271"/>
        <v>480</v>
      </c>
      <c r="CD133" s="2">
        <f t="shared" si="285"/>
        <v>0</v>
      </c>
      <c r="CE133" s="2">
        <f t="shared" si="250"/>
        <v>0</v>
      </c>
      <c r="CF133" s="2">
        <f t="shared" si="251"/>
        <v>96.950000000037107</v>
      </c>
      <c r="CG133" s="1">
        <f t="shared" si="312"/>
        <v>0</v>
      </c>
      <c r="CH133" s="2">
        <f t="shared" si="286"/>
        <v>96.950000000037107</v>
      </c>
      <c r="CI133" s="1">
        <f t="shared" si="242"/>
        <v>0</v>
      </c>
      <c r="CJ133" s="2">
        <f t="shared" si="252"/>
        <v>96.950000000037107</v>
      </c>
      <c r="CK133" s="2">
        <f t="shared" si="253"/>
        <v>154855.69583333336</v>
      </c>
      <c r="CL133" s="2">
        <f t="shared" si="287"/>
        <v>0</v>
      </c>
      <c r="CM133" s="2">
        <f t="shared" si="216"/>
        <v>1282.2272900000003</v>
      </c>
      <c r="CN133" s="2">
        <f t="shared" si="288"/>
        <v>153573.46854333335</v>
      </c>
      <c r="CO133" s="2">
        <f t="shared" si="217"/>
        <v>3014</v>
      </c>
      <c r="CP133" s="2">
        <f t="shared" si="289"/>
        <v>9849.9222083333389</v>
      </c>
      <c r="CQ133" s="2">
        <f t="shared" si="290"/>
        <v>140709.54633500002</v>
      </c>
      <c r="CS133" s="5">
        <f t="shared" si="304"/>
        <v>1000</v>
      </c>
      <c r="CT133" s="2">
        <f t="shared" si="305"/>
        <v>100000</v>
      </c>
      <c r="CU133" s="2">
        <f t="shared" si="306"/>
        <v>100000</v>
      </c>
      <c r="CV133" s="2">
        <f t="shared" si="307"/>
        <v>156839.79579203436</v>
      </c>
      <c r="CW133" s="8">
        <f t="shared" si="291"/>
        <v>5.1000000000000004E-2</v>
      </c>
      <c r="CX133" s="2">
        <f t="shared" si="292"/>
        <v>161505.77971684738</v>
      </c>
      <c r="CY133" s="2" t="str">
        <f t="shared" si="293"/>
        <v>nie</v>
      </c>
      <c r="CZ133" s="2">
        <f t="shared" si="222"/>
        <v>0</v>
      </c>
      <c r="DA133" s="2">
        <f t="shared" si="223"/>
        <v>0</v>
      </c>
      <c r="DB133" s="2">
        <f t="shared" si="224"/>
        <v>161505.77971684738</v>
      </c>
      <c r="DC133" s="2">
        <f t="shared" si="294"/>
        <v>0</v>
      </c>
      <c r="DD133" s="2">
        <f t="shared" si="225"/>
        <v>1314.4149859485888</v>
      </c>
      <c r="DE133" s="2">
        <f t="shared" si="226"/>
        <v>160191.36473089879</v>
      </c>
      <c r="DF133" s="2">
        <f t="shared" si="295"/>
        <v>3000</v>
      </c>
      <c r="DG133" s="2">
        <f t="shared" si="296"/>
        <v>11116.098146201002</v>
      </c>
      <c r="DH133" s="2">
        <f t="shared" si="227"/>
        <v>146075.26658469779</v>
      </c>
    </row>
    <row r="134" spans="2:112">
      <c r="B134" s="232"/>
      <c r="C134" s="1">
        <f t="shared" ref="C134:C165" si="321">W115</f>
        <v>97</v>
      </c>
      <c r="D134" s="2">
        <f t="shared" si="259"/>
        <v>139677.38086784567</v>
      </c>
      <c r="E134" s="2">
        <f t="shared" si="260"/>
        <v>130885.36180320513</v>
      </c>
      <c r="F134" s="2">
        <f t="shared" si="261"/>
        <v>143433.70102666668</v>
      </c>
      <c r="G134" s="2">
        <f t="shared" si="262"/>
        <v>134087.84536000001</v>
      </c>
      <c r="H134" s="2">
        <f t="shared" si="263"/>
        <v>148705.75965679923</v>
      </c>
      <c r="I134" s="2">
        <f t="shared" si="264"/>
        <v>136801.72603587763</v>
      </c>
      <c r="J134" s="2">
        <f t="shared" ref="J134:J165" si="322">FV(INDEX(scenariusz_I_konto,MATCH(ROUNDUP(C134/12,0),scenariusz_I_rok,0))/12*(1-podatek_Belki),1,0,-J133,1)</f>
        <v>126544.52992500337</v>
      </c>
      <c r="K134" s="2">
        <f t="shared" ref="K134:K165" si="323">X115</f>
        <v>127994.05640813438</v>
      </c>
      <c r="W134" s="1">
        <f t="shared" si="297"/>
        <v>116</v>
      </c>
      <c r="X134" s="2">
        <f t="shared" si="274"/>
        <v>134342.03392704853</v>
      </c>
      <c r="Y134" s="8">
        <f t="shared" si="310"/>
        <v>3.9100000000000003E-2</v>
      </c>
      <c r="Z134" s="5">
        <f t="shared" si="298"/>
        <v>1455</v>
      </c>
      <c r="AA134" s="2">
        <f t="shared" si="299"/>
        <v>145354.5</v>
      </c>
      <c r="AB134" s="2">
        <f t="shared" si="207"/>
        <v>145500</v>
      </c>
      <c r="AC134" s="2">
        <f t="shared" si="300"/>
        <v>145500</v>
      </c>
      <c r="AD134" s="8">
        <f t="shared" si="275"/>
        <v>4.3999999999999997E-2</v>
      </c>
      <c r="AE134" s="2">
        <f t="shared" si="179"/>
        <v>149768.00000000003</v>
      </c>
      <c r="AF134" s="2" t="str">
        <f t="shared" si="276"/>
        <v>nie</v>
      </c>
      <c r="AG134" s="2">
        <f t="shared" si="277"/>
        <v>1455</v>
      </c>
      <c r="AH134" s="1">
        <f t="shared" si="233"/>
        <v>1</v>
      </c>
      <c r="AI134" s="1">
        <f t="shared" si="265"/>
        <v>1</v>
      </c>
      <c r="AJ134" s="1">
        <f t="shared" si="308"/>
        <v>1</v>
      </c>
      <c r="AK134" s="1">
        <f t="shared" si="319"/>
        <v>0</v>
      </c>
      <c r="AL134" s="2">
        <f t="shared" si="243"/>
        <v>100</v>
      </c>
      <c r="AM134" s="8">
        <f t="shared" si="313"/>
        <v>4.3999999999999997E-2</v>
      </c>
      <c r="AN134" s="2">
        <f t="shared" si="244"/>
        <v>102.93333333333334</v>
      </c>
      <c r="AO134" s="2">
        <f t="shared" si="314"/>
        <v>1</v>
      </c>
      <c r="AP134" s="2">
        <f t="shared" si="272"/>
        <v>200</v>
      </c>
      <c r="AQ134" s="8">
        <f t="shared" si="266"/>
        <v>3.9100000000000003E-2</v>
      </c>
      <c r="AR134" s="2">
        <f t="shared" si="267"/>
        <v>205.21333333333334</v>
      </c>
      <c r="AS134" s="2">
        <f t="shared" si="268"/>
        <v>2</v>
      </c>
      <c r="AT134" s="2">
        <f t="shared" si="209"/>
        <v>0</v>
      </c>
      <c r="AU134" s="2">
        <f t="shared" si="245"/>
        <v>0</v>
      </c>
      <c r="AV134" s="2">
        <f t="shared" si="236"/>
        <v>5.3184299199853626</v>
      </c>
      <c r="AW134" s="1">
        <f t="shared" si="311"/>
        <v>0</v>
      </c>
      <c r="AX134" s="2">
        <f t="shared" si="278"/>
        <v>5.3184299199853626</v>
      </c>
      <c r="AY134" s="1">
        <f t="shared" si="237"/>
        <v>0</v>
      </c>
      <c r="AZ134" s="2">
        <f t="shared" si="210"/>
        <v>5.3184299199853626</v>
      </c>
      <c r="BA134" s="2">
        <f t="shared" si="246"/>
        <v>150081.46509658667</v>
      </c>
      <c r="BB134" s="2">
        <f t="shared" si="279"/>
        <v>0</v>
      </c>
      <c r="BC134" s="2">
        <f t="shared" si="211"/>
        <v>1258.1792907975837</v>
      </c>
      <c r="BD134" s="2">
        <f t="shared" si="184"/>
        <v>148823.28580578908</v>
      </c>
      <c r="BE134" s="2">
        <f t="shared" si="212"/>
        <v>1458</v>
      </c>
      <c r="BF134" s="2">
        <f t="shared" si="185"/>
        <v>9238.4583683514684</v>
      </c>
      <c r="BG134" s="2">
        <f t="shared" si="186"/>
        <v>138126.82743743761</v>
      </c>
      <c r="BI134" s="8">
        <f t="shared" si="315"/>
        <v>3.1E-2</v>
      </c>
      <c r="BJ134" s="5">
        <f t="shared" si="301"/>
        <v>1096</v>
      </c>
      <c r="BK134" s="2">
        <f t="shared" si="302"/>
        <v>109490.40000000001</v>
      </c>
      <c r="BL134" s="2">
        <f t="shared" si="303"/>
        <v>109600</v>
      </c>
      <c r="BM134" s="2">
        <f t="shared" si="280"/>
        <v>109600</v>
      </c>
      <c r="BN134" s="8">
        <f t="shared" si="281"/>
        <v>4.5999999999999999E-2</v>
      </c>
      <c r="BO134" s="2">
        <f t="shared" si="282"/>
        <v>112961.06666666667</v>
      </c>
      <c r="BP134" s="2" t="str">
        <f t="shared" si="283"/>
        <v>nie</v>
      </c>
      <c r="BQ134" s="2">
        <f t="shared" si="284"/>
        <v>2192</v>
      </c>
      <c r="BR134" s="1">
        <f t="shared" si="316"/>
        <v>171</v>
      </c>
      <c r="BS134" s="1">
        <f t="shared" si="269"/>
        <v>22</v>
      </c>
      <c r="BT134" s="1">
        <f t="shared" si="309"/>
        <v>112</v>
      </c>
      <c r="BU134" s="1">
        <f t="shared" si="320"/>
        <v>106</v>
      </c>
      <c r="BV134" s="2">
        <f t="shared" si="247"/>
        <v>17100</v>
      </c>
      <c r="BW134" s="8">
        <f t="shared" si="317"/>
        <v>4.7500000000000001E-2</v>
      </c>
      <c r="BX134" s="2">
        <f t="shared" si="248"/>
        <v>17641.5</v>
      </c>
      <c r="BY134" s="2">
        <f t="shared" si="318"/>
        <v>342</v>
      </c>
      <c r="BZ134" s="2">
        <f t="shared" si="273"/>
        <v>24000</v>
      </c>
      <c r="CA134" s="8">
        <f t="shared" si="270"/>
        <v>4.5999999999999999E-2</v>
      </c>
      <c r="CB134" s="2">
        <f t="shared" si="249"/>
        <v>24736</v>
      </c>
      <c r="CC134" s="2">
        <f t="shared" si="271"/>
        <v>480</v>
      </c>
      <c r="CD134" s="2">
        <f t="shared" si="285"/>
        <v>0</v>
      </c>
      <c r="CE134" s="2">
        <f t="shared" si="250"/>
        <v>0</v>
      </c>
      <c r="CF134" s="2">
        <f t="shared" si="251"/>
        <v>96.950000000037107</v>
      </c>
      <c r="CG134" s="1">
        <f t="shared" si="312"/>
        <v>0</v>
      </c>
      <c r="CH134" s="2">
        <f t="shared" si="286"/>
        <v>96.950000000037107</v>
      </c>
      <c r="CI134" s="1">
        <f t="shared" si="242"/>
        <v>0</v>
      </c>
      <c r="CJ134" s="2">
        <f t="shared" si="252"/>
        <v>96.950000000037107</v>
      </c>
      <c r="CK134" s="2">
        <f t="shared" si="253"/>
        <v>155435.51666666669</v>
      </c>
      <c r="CL134" s="2">
        <f t="shared" si="287"/>
        <v>0</v>
      </c>
      <c r="CM134" s="2">
        <f t="shared" si="216"/>
        <v>1282.2272900000003</v>
      </c>
      <c r="CN134" s="2">
        <f t="shared" si="288"/>
        <v>154153.28937666668</v>
      </c>
      <c r="CO134" s="2">
        <f t="shared" si="217"/>
        <v>3014</v>
      </c>
      <c r="CP134" s="2">
        <f t="shared" si="289"/>
        <v>9960.0881666666719</v>
      </c>
      <c r="CQ134" s="2">
        <f t="shared" si="290"/>
        <v>141179.20121</v>
      </c>
      <c r="CS134" s="5">
        <f t="shared" si="304"/>
        <v>1000</v>
      </c>
      <c r="CT134" s="2">
        <f t="shared" si="305"/>
        <v>100000</v>
      </c>
      <c r="CU134" s="2">
        <f t="shared" si="306"/>
        <v>100000</v>
      </c>
      <c r="CV134" s="2">
        <f t="shared" si="307"/>
        <v>156839.79579203436</v>
      </c>
      <c r="CW134" s="8">
        <f t="shared" si="291"/>
        <v>5.1000000000000004E-2</v>
      </c>
      <c r="CX134" s="2">
        <f t="shared" si="292"/>
        <v>162172.34884896353</v>
      </c>
      <c r="CY134" s="2" t="str">
        <f t="shared" si="293"/>
        <v>nie</v>
      </c>
      <c r="CZ134" s="2">
        <f t="shared" si="222"/>
        <v>0</v>
      </c>
      <c r="DA134" s="2">
        <f t="shared" si="223"/>
        <v>0</v>
      </c>
      <c r="DB134" s="2">
        <f t="shared" si="224"/>
        <v>162172.34884896353</v>
      </c>
      <c r="DC134" s="2">
        <f t="shared" si="294"/>
        <v>0</v>
      </c>
      <c r="DD134" s="2">
        <f t="shared" si="225"/>
        <v>1314.4149859485888</v>
      </c>
      <c r="DE134" s="2">
        <f t="shared" si="226"/>
        <v>160857.93386301494</v>
      </c>
      <c r="DF134" s="2">
        <f t="shared" si="295"/>
        <v>3000</v>
      </c>
      <c r="DG134" s="2">
        <f t="shared" si="296"/>
        <v>11242.746281303072</v>
      </c>
      <c r="DH134" s="2">
        <f t="shared" si="227"/>
        <v>146615.18758171186</v>
      </c>
    </row>
    <row r="135" spans="2:112">
      <c r="B135" s="232"/>
      <c r="C135" s="1">
        <f t="shared" si="321"/>
        <v>98</v>
      </c>
      <c r="D135" s="2">
        <f t="shared" si="259"/>
        <v>140191.54106997902</v>
      </c>
      <c r="E135" s="2">
        <f t="shared" si="260"/>
        <v>131301.53456693314</v>
      </c>
      <c r="F135" s="2">
        <f t="shared" si="261"/>
        <v>143999.29269333335</v>
      </c>
      <c r="G135" s="2">
        <f t="shared" si="262"/>
        <v>134187.51586000004</v>
      </c>
      <c r="H135" s="2">
        <f t="shared" si="263"/>
        <v>149339.98337907909</v>
      </c>
      <c r="I135" s="2">
        <f t="shared" si="264"/>
        <v>137315.44725092431</v>
      </c>
      <c r="J135" s="2">
        <f t="shared" si="322"/>
        <v>126852.03313272112</v>
      </c>
      <c r="K135" s="2">
        <f t="shared" si="323"/>
        <v>128323.85573891754</v>
      </c>
      <c r="W135" s="1">
        <f t="shared" si="297"/>
        <v>117</v>
      </c>
      <c r="X135" s="2">
        <f t="shared" si="274"/>
        <v>134682.05703708596</v>
      </c>
      <c r="Y135" s="8">
        <f t="shared" si="310"/>
        <v>3.9100000000000003E-2</v>
      </c>
      <c r="Z135" s="5">
        <f t="shared" si="298"/>
        <v>1455</v>
      </c>
      <c r="AA135" s="2">
        <f t="shared" si="299"/>
        <v>145354.5</v>
      </c>
      <c r="AB135" s="2">
        <f t="shared" si="207"/>
        <v>145500</v>
      </c>
      <c r="AC135" s="2">
        <f t="shared" si="300"/>
        <v>145500</v>
      </c>
      <c r="AD135" s="8">
        <f t="shared" si="275"/>
        <v>4.3999999999999997E-2</v>
      </c>
      <c r="AE135" s="2">
        <f t="shared" si="179"/>
        <v>150301.5</v>
      </c>
      <c r="AF135" s="2" t="str">
        <f t="shared" si="276"/>
        <v>nie</v>
      </c>
      <c r="AG135" s="2">
        <f t="shared" si="277"/>
        <v>1455</v>
      </c>
      <c r="AH135" s="1">
        <f t="shared" si="233"/>
        <v>1</v>
      </c>
      <c r="AI135" s="1">
        <f t="shared" si="265"/>
        <v>1</v>
      </c>
      <c r="AJ135" s="1">
        <f t="shared" si="308"/>
        <v>1</v>
      </c>
      <c r="AK135" s="1">
        <f t="shared" si="319"/>
        <v>0</v>
      </c>
      <c r="AL135" s="2">
        <f t="shared" si="243"/>
        <v>100</v>
      </c>
      <c r="AM135" s="8">
        <f t="shared" si="313"/>
        <v>4.3999999999999997E-2</v>
      </c>
      <c r="AN135" s="2">
        <f t="shared" si="244"/>
        <v>103.3</v>
      </c>
      <c r="AO135" s="2">
        <f t="shared" si="314"/>
        <v>1</v>
      </c>
      <c r="AP135" s="2">
        <f t="shared" si="272"/>
        <v>200</v>
      </c>
      <c r="AQ135" s="8">
        <f t="shared" si="266"/>
        <v>3.9100000000000003E-2</v>
      </c>
      <c r="AR135" s="2">
        <f t="shared" si="267"/>
        <v>205.86500000000001</v>
      </c>
      <c r="AS135" s="2">
        <f t="shared" si="268"/>
        <v>2</v>
      </c>
      <c r="AT135" s="2">
        <f t="shared" si="209"/>
        <v>0</v>
      </c>
      <c r="AU135" s="2">
        <f t="shared" si="245"/>
        <v>0</v>
      </c>
      <c r="AV135" s="2">
        <f t="shared" si="236"/>
        <v>5.3184299199853626</v>
      </c>
      <c r="AW135" s="1">
        <f t="shared" si="311"/>
        <v>0</v>
      </c>
      <c r="AX135" s="2">
        <f t="shared" si="278"/>
        <v>5.3184299199853626</v>
      </c>
      <c r="AY135" s="1">
        <f t="shared" si="237"/>
        <v>0</v>
      </c>
      <c r="AZ135" s="2">
        <f t="shared" si="210"/>
        <v>5.3184299199853626</v>
      </c>
      <c r="BA135" s="2">
        <f t="shared" si="246"/>
        <v>150615.98342991996</v>
      </c>
      <c r="BB135" s="2">
        <f t="shared" si="279"/>
        <v>0</v>
      </c>
      <c r="BC135" s="2">
        <f t="shared" si="211"/>
        <v>1258.1792907975837</v>
      </c>
      <c r="BD135" s="2">
        <f t="shared" si="184"/>
        <v>149357.80413912237</v>
      </c>
      <c r="BE135" s="2">
        <f t="shared" si="212"/>
        <v>1458</v>
      </c>
      <c r="BF135" s="2">
        <f t="shared" si="185"/>
        <v>9340.0168516847916</v>
      </c>
      <c r="BG135" s="2">
        <f t="shared" si="186"/>
        <v>138559.78728743759</v>
      </c>
      <c r="BI135" s="8">
        <f t="shared" si="315"/>
        <v>3.1E-2</v>
      </c>
      <c r="BJ135" s="5">
        <f t="shared" si="301"/>
        <v>1096</v>
      </c>
      <c r="BK135" s="2">
        <f t="shared" si="302"/>
        <v>109490.40000000001</v>
      </c>
      <c r="BL135" s="2">
        <f t="shared" si="303"/>
        <v>109600</v>
      </c>
      <c r="BM135" s="2">
        <f t="shared" si="280"/>
        <v>109600</v>
      </c>
      <c r="BN135" s="8">
        <f t="shared" si="281"/>
        <v>4.5999999999999999E-2</v>
      </c>
      <c r="BO135" s="2">
        <f t="shared" si="282"/>
        <v>113381.2</v>
      </c>
      <c r="BP135" s="2" t="str">
        <f t="shared" si="283"/>
        <v>nie</v>
      </c>
      <c r="BQ135" s="2">
        <f t="shared" si="284"/>
        <v>2192</v>
      </c>
      <c r="BR135" s="1">
        <f t="shared" si="316"/>
        <v>171</v>
      </c>
      <c r="BS135" s="1">
        <f t="shared" si="269"/>
        <v>22</v>
      </c>
      <c r="BT135" s="1">
        <f t="shared" si="309"/>
        <v>112</v>
      </c>
      <c r="BU135" s="1">
        <f t="shared" si="320"/>
        <v>106</v>
      </c>
      <c r="BV135" s="2">
        <f t="shared" si="247"/>
        <v>17100</v>
      </c>
      <c r="BW135" s="8">
        <f t="shared" si="317"/>
        <v>4.7500000000000001E-2</v>
      </c>
      <c r="BX135" s="2">
        <f t="shared" si="248"/>
        <v>17709.1875</v>
      </c>
      <c r="BY135" s="2">
        <f t="shared" si="318"/>
        <v>342</v>
      </c>
      <c r="BZ135" s="2">
        <f t="shared" si="273"/>
        <v>24000</v>
      </c>
      <c r="CA135" s="8">
        <f t="shared" si="270"/>
        <v>4.5999999999999999E-2</v>
      </c>
      <c r="CB135" s="2">
        <f t="shared" si="249"/>
        <v>24828</v>
      </c>
      <c r="CC135" s="2">
        <f t="shared" si="271"/>
        <v>480</v>
      </c>
      <c r="CD135" s="2">
        <f t="shared" si="285"/>
        <v>0</v>
      </c>
      <c r="CE135" s="2">
        <f t="shared" si="250"/>
        <v>0</v>
      </c>
      <c r="CF135" s="2">
        <f t="shared" si="251"/>
        <v>96.950000000037107</v>
      </c>
      <c r="CG135" s="1">
        <f t="shared" si="312"/>
        <v>0</v>
      </c>
      <c r="CH135" s="2">
        <f t="shared" si="286"/>
        <v>96.950000000037107</v>
      </c>
      <c r="CI135" s="1">
        <f t="shared" si="242"/>
        <v>0</v>
      </c>
      <c r="CJ135" s="2">
        <f t="shared" si="252"/>
        <v>96.950000000037107</v>
      </c>
      <c r="CK135" s="2">
        <f t="shared" si="253"/>
        <v>156015.33750000005</v>
      </c>
      <c r="CL135" s="2">
        <f t="shared" si="287"/>
        <v>0</v>
      </c>
      <c r="CM135" s="2">
        <f t="shared" si="216"/>
        <v>1282.2272900000003</v>
      </c>
      <c r="CN135" s="2">
        <f t="shared" si="288"/>
        <v>154733.11021000004</v>
      </c>
      <c r="CO135" s="2">
        <f t="shared" si="217"/>
        <v>3014</v>
      </c>
      <c r="CP135" s="2">
        <f t="shared" si="289"/>
        <v>10070.25412500001</v>
      </c>
      <c r="CQ135" s="2">
        <f t="shared" si="290"/>
        <v>141648.85608500004</v>
      </c>
      <c r="CS135" s="5">
        <f t="shared" si="304"/>
        <v>1000</v>
      </c>
      <c r="CT135" s="2">
        <f t="shared" si="305"/>
        <v>100000</v>
      </c>
      <c r="CU135" s="2">
        <f t="shared" si="306"/>
        <v>100000</v>
      </c>
      <c r="CV135" s="2">
        <f t="shared" si="307"/>
        <v>156839.79579203436</v>
      </c>
      <c r="CW135" s="8">
        <f t="shared" si="291"/>
        <v>5.1000000000000004E-2</v>
      </c>
      <c r="CX135" s="2">
        <f t="shared" si="292"/>
        <v>162838.91798107966</v>
      </c>
      <c r="CY135" s="2" t="str">
        <f t="shared" si="293"/>
        <v>nie</v>
      </c>
      <c r="CZ135" s="2">
        <f t="shared" si="222"/>
        <v>0</v>
      </c>
      <c r="DA135" s="2">
        <f t="shared" si="223"/>
        <v>0</v>
      </c>
      <c r="DB135" s="2">
        <f t="shared" si="224"/>
        <v>162838.91798107966</v>
      </c>
      <c r="DC135" s="2">
        <f t="shared" si="294"/>
        <v>0</v>
      </c>
      <c r="DD135" s="2">
        <f t="shared" si="225"/>
        <v>1314.4149859485888</v>
      </c>
      <c r="DE135" s="2">
        <f t="shared" si="226"/>
        <v>161524.50299513107</v>
      </c>
      <c r="DF135" s="2">
        <f t="shared" si="295"/>
        <v>3000</v>
      </c>
      <c r="DG135" s="2">
        <f t="shared" si="296"/>
        <v>11369.394416405135</v>
      </c>
      <c r="DH135" s="2">
        <f t="shared" si="227"/>
        <v>147155.10857872595</v>
      </c>
    </row>
    <row r="136" spans="2:112">
      <c r="B136" s="232"/>
      <c r="C136" s="1">
        <f t="shared" si="321"/>
        <v>99</v>
      </c>
      <c r="D136" s="2">
        <f t="shared" si="259"/>
        <v>140705.70127211229</v>
      </c>
      <c r="E136" s="2">
        <f t="shared" si="260"/>
        <v>131717.7883306611</v>
      </c>
      <c r="F136" s="2">
        <f t="shared" si="261"/>
        <v>144564.88436000005</v>
      </c>
      <c r="G136" s="2">
        <f t="shared" si="262"/>
        <v>134287.18636000002</v>
      </c>
      <c r="H136" s="2">
        <f t="shared" si="263"/>
        <v>149974.20710135897</v>
      </c>
      <c r="I136" s="2">
        <f t="shared" si="264"/>
        <v>137829.16846597102</v>
      </c>
      <c r="J136" s="2">
        <f t="shared" si="322"/>
        <v>127160.28357323362</v>
      </c>
      <c r="K136" s="2">
        <f t="shared" si="323"/>
        <v>128653.65506970068</v>
      </c>
      <c r="W136" s="1">
        <f t="shared" si="297"/>
        <v>118</v>
      </c>
      <c r="X136" s="2">
        <f t="shared" si="274"/>
        <v>135022.08014712343</v>
      </c>
      <c r="Y136" s="8">
        <f t="shared" si="310"/>
        <v>3.9100000000000003E-2</v>
      </c>
      <c r="Z136" s="5">
        <f t="shared" si="298"/>
        <v>1455</v>
      </c>
      <c r="AA136" s="2">
        <f t="shared" si="299"/>
        <v>145354.5</v>
      </c>
      <c r="AB136" s="2">
        <f t="shared" si="207"/>
        <v>145500</v>
      </c>
      <c r="AC136" s="2">
        <f t="shared" si="300"/>
        <v>145500</v>
      </c>
      <c r="AD136" s="8">
        <f t="shared" si="275"/>
        <v>4.3999999999999997E-2</v>
      </c>
      <c r="AE136" s="2">
        <f t="shared" si="179"/>
        <v>150835</v>
      </c>
      <c r="AF136" s="2" t="str">
        <f t="shared" si="276"/>
        <v>nie</v>
      </c>
      <c r="AG136" s="2">
        <f t="shared" si="277"/>
        <v>1455</v>
      </c>
      <c r="AH136" s="1">
        <f t="shared" si="233"/>
        <v>1</v>
      </c>
      <c r="AI136" s="1">
        <f t="shared" si="265"/>
        <v>1</v>
      </c>
      <c r="AJ136" s="1">
        <f t="shared" si="308"/>
        <v>1</v>
      </c>
      <c r="AK136" s="1">
        <f t="shared" si="319"/>
        <v>0</v>
      </c>
      <c r="AL136" s="2">
        <f t="shared" si="243"/>
        <v>100</v>
      </c>
      <c r="AM136" s="8">
        <f t="shared" si="313"/>
        <v>4.3999999999999997E-2</v>
      </c>
      <c r="AN136" s="2">
        <f t="shared" si="244"/>
        <v>103.66666666666666</v>
      </c>
      <c r="AO136" s="2">
        <f t="shared" si="314"/>
        <v>1</v>
      </c>
      <c r="AP136" s="2">
        <f t="shared" si="272"/>
        <v>200</v>
      </c>
      <c r="AQ136" s="8">
        <f t="shared" si="266"/>
        <v>3.9100000000000003E-2</v>
      </c>
      <c r="AR136" s="2">
        <f t="shared" si="267"/>
        <v>206.51666666666668</v>
      </c>
      <c r="AS136" s="2">
        <f t="shared" si="268"/>
        <v>2</v>
      </c>
      <c r="AT136" s="2">
        <f t="shared" si="209"/>
        <v>0</v>
      </c>
      <c r="AU136" s="2">
        <f t="shared" si="245"/>
        <v>0</v>
      </c>
      <c r="AV136" s="2">
        <f t="shared" si="236"/>
        <v>5.3184299199853626</v>
      </c>
      <c r="AW136" s="1">
        <f t="shared" si="311"/>
        <v>0</v>
      </c>
      <c r="AX136" s="2">
        <f t="shared" si="278"/>
        <v>5.3184299199853626</v>
      </c>
      <c r="AY136" s="1">
        <f t="shared" si="237"/>
        <v>0</v>
      </c>
      <c r="AZ136" s="2">
        <f t="shared" si="210"/>
        <v>5.3184299199853626</v>
      </c>
      <c r="BA136" s="2">
        <f t="shared" si="246"/>
        <v>151150.5017632533</v>
      </c>
      <c r="BB136" s="2">
        <f t="shared" si="279"/>
        <v>0</v>
      </c>
      <c r="BC136" s="2">
        <f t="shared" si="211"/>
        <v>1258.1792907975837</v>
      </c>
      <c r="BD136" s="2">
        <f t="shared" si="184"/>
        <v>149892.32247245571</v>
      </c>
      <c r="BE136" s="2">
        <f t="shared" si="212"/>
        <v>1458</v>
      </c>
      <c r="BF136" s="2">
        <f t="shared" si="185"/>
        <v>9441.5753350181276</v>
      </c>
      <c r="BG136" s="2">
        <f t="shared" si="186"/>
        <v>138992.74713743757</v>
      </c>
      <c r="BI136" s="8">
        <f t="shared" si="315"/>
        <v>3.1E-2</v>
      </c>
      <c r="BJ136" s="5">
        <f t="shared" si="301"/>
        <v>1096</v>
      </c>
      <c r="BK136" s="2">
        <f t="shared" si="302"/>
        <v>109490.40000000001</v>
      </c>
      <c r="BL136" s="2">
        <f t="shared" si="303"/>
        <v>109600</v>
      </c>
      <c r="BM136" s="2">
        <f t="shared" si="280"/>
        <v>109600</v>
      </c>
      <c r="BN136" s="8">
        <f t="shared" si="281"/>
        <v>4.5999999999999999E-2</v>
      </c>
      <c r="BO136" s="2">
        <f t="shared" si="282"/>
        <v>113801.33333333333</v>
      </c>
      <c r="BP136" s="2" t="str">
        <f t="shared" si="283"/>
        <v>nie</v>
      </c>
      <c r="BQ136" s="2">
        <f t="shared" si="284"/>
        <v>2192</v>
      </c>
      <c r="BR136" s="1">
        <f t="shared" si="316"/>
        <v>171</v>
      </c>
      <c r="BS136" s="1">
        <f t="shared" si="269"/>
        <v>22</v>
      </c>
      <c r="BT136" s="1">
        <f t="shared" si="309"/>
        <v>112</v>
      </c>
      <c r="BU136" s="1">
        <f t="shared" si="320"/>
        <v>106</v>
      </c>
      <c r="BV136" s="2">
        <f t="shared" si="247"/>
        <v>17100</v>
      </c>
      <c r="BW136" s="8">
        <f t="shared" si="317"/>
        <v>4.7500000000000001E-2</v>
      </c>
      <c r="BX136" s="2">
        <f t="shared" si="248"/>
        <v>17776.875</v>
      </c>
      <c r="BY136" s="2">
        <f t="shared" si="318"/>
        <v>342</v>
      </c>
      <c r="BZ136" s="2">
        <f t="shared" si="273"/>
        <v>24000</v>
      </c>
      <c r="CA136" s="8">
        <f t="shared" si="270"/>
        <v>4.5999999999999999E-2</v>
      </c>
      <c r="CB136" s="2">
        <f t="shared" si="249"/>
        <v>24920</v>
      </c>
      <c r="CC136" s="2">
        <f t="shared" si="271"/>
        <v>480</v>
      </c>
      <c r="CD136" s="2">
        <f t="shared" si="285"/>
        <v>0</v>
      </c>
      <c r="CE136" s="2">
        <f t="shared" si="250"/>
        <v>0</v>
      </c>
      <c r="CF136" s="2">
        <f t="shared" si="251"/>
        <v>96.950000000037107</v>
      </c>
      <c r="CG136" s="1">
        <f t="shared" si="312"/>
        <v>0</v>
      </c>
      <c r="CH136" s="2">
        <f t="shared" si="286"/>
        <v>96.950000000037107</v>
      </c>
      <c r="CI136" s="1">
        <f t="shared" si="242"/>
        <v>0</v>
      </c>
      <c r="CJ136" s="2">
        <f t="shared" si="252"/>
        <v>96.950000000037107</v>
      </c>
      <c r="CK136" s="2">
        <f t="shared" si="253"/>
        <v>156595.15833333335</v>
      </c>
      <c r="CL136" s="2">
        <f t="shared" si="287"/>
        <v>0</v>
      </c>
      <c r="CM136" s="2">
        <f t="shared" si="216"/>
        <v>1282.2272900000003</v>
      </c>
      <c r="CN136" s="2">
        <f t="shared" si="288"/>
        <v>155312.93104333334</v>
      </c>
      <c r="CO136" s="2">
        <f t="shared" si="217"/>
        <v>3014</v>
      </c>
      <c r="CP136" s="2">
        <f t="shared" si="289"/>
        <v>10180.420083333338</v>
      </c>
      <c r="CQ136" s="2">
        <f t="shared" si="290"/>
        <v>142118.51096000001</v>
      </c>
      <c r="CS136" s="5">
        <f t="shared" si="304"/>
        <v>1000</v>
      </c>
      <c r="CT136" s="2">
        <f t="shared" si="305"/>
        <v>100000</v>
      </c>
      <c r="CU136" s="2">
        <f t="shared" si="306"/>
        <v>100000</v>
      </c>
      <c r="CV136" s="2">
        <f t="shared" si="307"/>
        <v>156839.79579203436</v>
      </c>
      <c r="CW136" s="8">
        <f t="shared" si="291"/>
        <v>5.1000000000000004E-2</v>
      </c>
      <c r="CX136" s="2">
        <f t="shared" si="292"/>
        <v>163505.48711319582</v>
      </c>
      <c r="CY136" s="2" t="str">
        <f t="shared" si="293"/>
        <v>nie</v>
      </c>
      <c r="CZ136" s="2">
        <f t="shared" si="222"/>
        <v>0</v>
      </c>
      <c r="DA136" s="2">
        <f t="shared" si="223"/>
        <v>0</v>
      </c>
      <c r="DB136" s="2">
        <f t="shared" si="224"/>
        <v>163505.48711319582</v>
      </c>
      <c r="DC136" s="2">
        <f t="shared" si="294"/>
        <v>0</v>
      </c>
      <c r="DD136" s="2">
        <f t="shared" si="225"/>
        <v>1314.4149859485888</v>
      </c>
      <c r="DE136" s="2">
        <f t="shared" si="226"/>
        <v>162191.07212724723</v>
      </c>
      <c r="DF136" s="2">
        <f t="shared" si="295"/>
        <v>3000</v>
      </c>
      <c r="DG136" s="2">
        <f t="shared" si="296"/>
        <v>11496.042551507206</v>
      </c>
      <c r="DH136" s="2">
        <f t="shared" si="227"/>
        <v>147695.02957574002</v>
      </c>
    </row>
    <row r="137" spans="2:112">
      <c r="B137" s="232"/>
      <c r="C137" s="1">
        <f t="shared" si="321"/>
        <v>100</v>
      </c>
      <c r="D137" s="2">
        <f t="shared" si="259"/>
        <v>141219.86147424564</v>
      </c>
      <c r="E137" s="2">
        <f t="shared" si="260"/>
        <v>132134.25809438911</v>
      </c>
      <c r="F137" s="2">
        <f t="shared" si="261"/>
        <v>145130.4760266667</v>
      </c>
      <c r="G137" s="2">
        <f t="shared" si="262"/>
        <v>134386.85686</v>
      </c>
      <c r="H137" s="2">
        <f t="shared" si="263"/>
        <v>150608.43082363883</v>
      </c>
      <c r="I137" s="2">
        <f t="shared" si="264"/>
        <v>138342.8896810177</v>
      </c>
      <c r="J137" s="2">
        <f t="shared" si="322"/>
        <v>127469.28306231658</v>
      </c>
      <c r="K137" s="2">
        <f t="shared" si="323"/>
        <v>128983.45440048384</v>
      </c>
      <c r="W137" s="1">
        <f t="shared" si="297"/>
        <v>119</v>
      </c>
      <c r="X137" s="2">
        <f t="shared" si="274"/>
        <v>135362.10325716087</v>
      </c>
      <c r="Y137" s="8">
        <f t="shared" si="310"/>
        <v>3.9100000000000003E-2</v>
      </c>
      <c r="Z137" s="5">
        <f t="shared" si="298"/>
        <v>1455</v>
      </c>
      <c r="AA137" s="2">
        <f t="shared" si="299"/>
        <v>145354.5</v>
      </c>
      <c r="AB137" s="2">
        <f t="shared" si="207"/>
        <v>145500</v>
      </c>
      <c r="AC137" s="2">
        <f t="shared" si="300"/>
        <v>145500</v>
      </c>
      <c r="AD137" s="8">
        <f t="shared" si="275"/>
        <v>4.3999999999999997E-2</v>
      </c>
      <c r="AE137" s="2">
        <f t="shared" si="179"/>
        <v>151368.5</v>
      </c>
      <c r="AF137" s="2" t="str">
        <f t="shared" si="276"/>
        <v>nie</v>
      </c>
      <c r="AG137" s="2">
        <f t="shared" si="277"/>
        <v>1455</v>
      </c>
      <c r="AH137" s="1">
        <f t="shared" si="233"/>
        <v>1</v>
      </c>
      <c r="AI137" s="1">
        <f t="shared" si="265"/>
        <v>1</v>
      </c>
      <c r="AJ137" s="1">
        <f t="shared" si="308"/>
        <v>1</v>
      </c>
      <c r="AK137" s="1">
        <f t="shared" si="319"/>
        <v>0</v>
      </c>
      <c r="AL137" s="2">
        <f t="shared" si="243"/>
        <v>100</v>
      </c>
      <c r="AM137" s="8">
        <f t="shared" si="313"/>
        <v>4.3999999999999997E-2</v>
      </c>
      <c r="AN137" s="2">
        <f t="shared" si="244"/>
        <v>104.03333333333333</v>
      </c>
      <c r="AO137" s="2">
        <f t="shared" si="314"/>
        <v>1</v>
      </c>
      <c r="AP137" s="2">
        <f t="shared" si="272"/>
        <v>200</v>
      </c>
      <c r="AQ137" s="8">
        <f t="shared" si="266"/>
        <v>3.9100000000000003E-2</v>
      </c>
      <c r="AR137" s="2">
        <f t="shared" si="267"/>
        <v>207.16833333333335</v>
      </c>
      <c r="AS137" s="2">
        <f t="shared" si="268"/>
        <v>2</v>
      </c>
      <c r="AT137" s="2">
        <f t="shared" si="209"/>
        <v>0</v>
      </c>
      <c r="AU137" s="2">
        <f t="shared" si="245"/>
        <v>0</v>
      </c>
      <c r="AV137" s="2">
        <f t="shared" si="236"/>
        <v>5.3184299199853626</v>
      </c>
      <c r="AW137" s="1">
        <f t="shared" si="311"/>
        <v>0</v>
      </c>
      <c r="AX137" s="2">
        <f t="shared" si="278"/>
        <v>5.3184299199853626</v>
      </c>
      <c r="AY137" s="1">
        <f t="shared" si="237"/>
        <v>0</v>
      </c>
      <c r="AZ137" s="2">
        <f t="shared" si="210"/>
        <v>5.3184299199853626</v>
      </c>
      <c r="BA137" s="2">
        <f t="shared" si="246"/>
        <v>151685.02009658664</v>
      </c>
      <c r="BB137" s="2">
        <f t="shared" si="279"/>
        <v>0</v>
      </c>
      <c r="BC137" s="2">
        <f t="shared" si="211"/>
        <v>1258.1792907975837</v>
      </c>
      <c r="BD137" s="2">
        <f t="shared" si="184"/>
        <v>150426.84080578905</v>
      </c>
      <c r="BE137" s="2">
        <f t="shared" si="212"/>
        <v>1458</v>
      </c>
      <c r="BF137" s="2">
        <f t="shared" si="185"/>
        <v>9543.1338183514617</v>
      </c>
      <c r="BG137" s="2">
        <f t="shared" si="186"/>
        <v>139425.70698743759</v>
      </c>
      <c r="BI137" s="8">
        <f t="shared" si="315"/>
        <v>3.1E-2</v>
      </c>
      <c r="BJ137" s="5">
        <f t="shared" si="301"/>
        <v>1096</v>
      </c>
      <c r="BK137" s="2">
        <f t="shared" si="302"/>
        <v>109490.40000000001</v>
      </c>
      <c r="BL137" s="2">
        <f t="shared" si="303"/>
        <v>109600</v>
      </c>
      <c r="BM137" s="2">
        <f t="shared" si="280"/>
        <v>109600</v>
      </c>
      <c r="BN137" s="8">
        <f t="shared" si="281"/>
        <v>4.5999999999999999E-2</v>
      </c>
      <c r="BO137" s="2">
        <f t="shared" si="282"/>
        <v>114221.46666666667</v>
      </c>
      <c r="BP137" s="2" t="str">
        <f t="shared" si="283"/>
        <v>nie</v>
      </c>
      <c r="BQ137" s="2">
        <f t="shared" si="284"/>
        <v>2192</v>
      </c>
      <c r="BR137" s="1">
        <f t="shared" si="316"/>
        <v>171</v>
      </c>
      <c r="BS137" s="1">
        <f t="shared" si="269"/>
        <v>22</v>
      </c>
      <c r="BT137" s="1">
        <f t="shared" si="309"/>
        <v>112</v>
      </c>
      <c r="BU137" s="1">
        <f t="shared" si="320"/>
        <v>106</v>
      </c>
      <c r="BV137" s="2">
        <f t="shared" si="247"/>
        <v>17100</v>
      </c>
      <c r="BW137" s="8">
        <f t="shared" si="317"/>
        <v>4.7500000000000001E-2</v>
      </c>
      <c r="BX137" s="2">
        <f t="shared" si="248"/>
        <v>17844.5625</v>
      </c>
      <c r="BY137" s="2">
        <f t="shared" si="318"/>
        <v>342</v>
      </c>
      <c r="BZ137" s="2">
        <f t="shared" si="273"/>
        <v>24000</v>
      </c>
      <c r="CA137" s="8">
        <f t="shared" si="270"/>
        <v>4.5999999999999999E-2</v>
      </c>
      <c r="CB137" s="2">
        <f t="shared" si="249"/>
        <v>25012</v>
      </c>
      <c r="CC137" s="2">
        <f t="shared" si="271"/>
        <v>480</v>
      </c>
      <c r="CD137" s="2">
        <f t="shared" si="285"/>
        <v>0</v>
      </c>
      <c r="CE137" s="2">
        <f t="shared" si="250"/>
        <v>0</v>
      </c>
      <c r="CF137" s="2">
        <f t="shared" si="251"/>
        <v>96.950000000037107</v>
      </c>
      <c r="CG137" s="1">
        <f t="shared" si="312"/>
        <v>0</v>
      </c>
      <c r="CH137" s="2">
        <f t="shared" si="286"/>
        <v>96.950000000037107</v>
      </c>
      <c r="CI137" s="1">
        <f t="shared" si="242"/>
        <v>0</v>
      </c>
      <c r="CJ137" s="2">
        <f t="shared" si="252"/>
        <v>96.950000000037107</v>
      </c>
      <c r="CK137" s="2">
        <f t="shared" si="253"/>
        <v>157174.97916666672</v>
      </c>
      <c r="CL137" s="2">
        <f t="shared" si="287"/>
        <v>0</v>
      </c>
      <c r="CM137" s="2">
        <f t="shared" si="216"/>
        <v>1282.2272900000003</v>
      </c>
      <c r="CN137" s="2">
        <f t="shared" si="288"/>
        <v>155892.75187666671</v>
      </c>
      <c r="CO137" s="2">
        <f t="shared" si="217"/>
        <v>3014</v>
      </c>
      <c r="CP137" s="2">
        <f t="shared" si="289"/>
        <v>10290.586041666676</v>
      </c>
      <c r="CQ137" s="2">
        <f t="shared" si="290"/>
        <v>142588.16583500002</v>
      </c>
      <c r="CS137" s="5">
        <f t="shared" si="304"/>
        <v>1000</v>
      </c>
      <c r="CT137" s="2">
        <f t="shared" si="305"/>
        <v>100000</v>
      </c>
      <c r="CU137" s="2">
        <f t="shared" si="306"/>
        <v>100000</v>
      </c>
      <c r="CV137" s="2">
        <f t="shared" si="307"/>
        <v>156839.79579203436</v>
      </c>
      <c r="CW137" s="8">
        <f t="shared" si="291"/>
        <v>5.1000000000000004E-2</v>
      </c>
      <c r="CX137" s="2">
        <f t="shared" si="292"/>
        <v>164172.05624531198</v>
      </c>
      <c r="CY137" s="2" t="str">
        <f t="shared" si="293"/>
        <v>nie</v>
      </c>
      <c r="CZ137" s="2">
        <f t="shared" si="222"/>
        <v>0</v>
      </c>
      <c r="DA137" s="2">
        <f t="shared" si="223"/>
        <v>0</v>
      </c>
      <c r="DB137" s="2">
        <f t="shared" si="224"/>
        <v>164172.05624531198</v>
      </c>
      <c r="DC137" s="2">
        <f t="shared" si="294"/>
        <v>0</v>
      </c>
      <c r="DD137" s="2">
        <f t="shared" si="225"/>
        <v>1314.4149859485888</v>
      </c>
      <c r="DE137" s="2">
        <f t="shared" si="226"/>
        <v>162857.64125936339</v>
      </c>
      <c r="DF137" s="2">
        <f t="shared" si="295"/>
        <v>3000</v>
      </c>
      <c r="DG137" s="2">
        <f t="shared" si="296"/>
        <v>11622.690686609276</v>
      </c>
      <c r="DH137" s="2">
        <f t="shared" si="227"/>
        <v>148234.95057275411</v>
      </c>
    </row>
    <row r="138" spans="2:112">
      <c r="B138" s="232"/>
      <c r="C138" s="1">
        <f t="shared" si="321"/>
        <v>101</v>
      </c>
      <c r="D138" s="2">
        <f t="shared" si="259"/>
        <v>141734.02167637899</v>
      </c>
      <c r="E138" s="2">
        <f t="shared" si="260"/>
        <v>132550.72785811714</v>
      </c>
      <c r="F138" s="2">
        <f t="shared" si="261"/>
        <v>145696.06769333337</v>
      </c>
      <c r="G138" s="2">
        <f t="shared" si="262"/>
        <v>134486.52736000004</v>
      </c>
      <c r="H138" s="2">
        <f t="shared" si="263"/>
        <v>151242.65454591872</v>
      </c>
      <c r="I138" s="2">
        <f t="shared" si="264"/>
        <v>138856.61089606441</v>
      </c>
      <c r="J138" s="2">
        <f t="shared" si="322"/>
        <v>127779.033420158</v>
      </c>
      <c r="K138" s="2">
        <f t="shared" si="323"/>
        <v>129313.253731267</v>
      </c>
      <c r="W138" s="1">
        <f t="shared" si="297"/>
        <v>120</v>
      </c>
      <c r="X138" s="2">
        <f t="shared" si="274"/>
        <v>135702.12636719827</v>
      </c>
      <c r="Y138" s="8">
        <f t="shared" si="310"/>
        <v>3.9100000000000003E-2</v>
      </c>
      <c r="Z138" s="5">
        <f t="shared" si="298"/>
        <v>1455</v>
      </c>
      <c r="AA138" s="2">
        <f t="shared" si="299"/>
        <v>145354.5</v>
      </c>
      <c r="AB138" s="2">
        <f t="shared" si="207"/>
        <v>145500</v>
      </c>
      <c r="AC138" s="2">
        <f t="shared" si="300"/>
        <v>145500</v>
      </c>
      <c r="AD138" s="8">
        <f t="shared" si="275"/>
        <v>4.3999999999999997E-2</v>
      </c>
      <c r="AE138" s="2">
        <f t="shared" si="179"/>
        <v>151902</v>
      </c>
      <c r="AF138" s="2" t="str">
        <f t="shared" si="276"/>
        <v>nie</v>
      </c>
      <c r="AG138" s="2">
        <f t="shared" si="277"/>
        <v>1455</v>
      </c>
      <c r="AH138" s="1">
        <f t="shared" si="233"/>
        <v>1</v>
      </c>
      <c r="AI138" s="1">
        <f t="shared" si="265"/>
        <v>1</v>
      </c>
      <c r="AJ138" s="1">
        <f t="shared" si="308"/>
        <v>1</v>
      </c>
      <c r="AK138" s="1">
        <f t="shared" si="319"/>
        <v>0</v>
      </c>
      <c r="AL138" s="2">
        <f t="shared" si="243"/>
        <v>100</v>
      </c>
      <c r="AM138" s="8">
        <f t="shared" si="313"/>
        <v>4.3999999999999997E-2</v>
      </c>
      <c r="AN138" s="2">
        <f t="shared" si="244"/>
        <v>104.4</v>
      </c>
      <c r="AO138" s="2">
        <f t="shared" si="314"/>
        <v>1</v>
      </c>
      <c r="AP138" s="2">
        <f t="shared" si="272"/>
        <v>200</v>
      </c>
      <c r="AQ138" s="8">
        <f t="shared" si="266"/>
        <v>3.9100000000000003E-2</v>
      </c>
      <c r="AR138" s="2">
        <f t="shared" si="267"/>
        <v>207.82</v>
      </c>
      <c r="AS138" s="2">
        <f t="shared" si="268"/>
        <v>2</v>
      </c>
      <c r="AT138" s="2">
        <f t="shared" si="209"/>
        <v>0</v>
      </c>
      <c r="AU138" s="2">
        <f t="shared" si="245"/>
        <v>12.219999999999999</v>
      </c>
      <c r="AV138" s="2">
        <f t="shared" si="236"/>
        <v>17.538429919985361</v>
      </c>
      <c r="AW138" s="1">
        <f t="shared" si="311"/>
        <v>0</v>
      </c>
      <c r="AX138" s="2">
        <f t="shared" si="278"/>
        <v>17.538429919985361</v>
      </c>
      <c r="AY138" s="1">
        <f t="shared" si="237"/>
        <v>0</v>
      </c>
      <c r="AZ138" s="2">
        <f t="shared" si="210"/>
        <v>17.538429919985361</v>
      </c>
      <c r="BA138" s="2">
        <f t="shared" si="246"/>
        <v>152219.53842991998</v>
      </c>
      <c r="BB138" s="2">
        <f t="shared" si="279"/>
        <v>152.21953842991999</v>
      </c>
      <c r="BC138" s="2">
        <f t="shared" si="211"/>
        <v>1410.3988292275037</v>
      </c>
      <c r="BD138" s="2">
        <f t="shared" si="184"/>
        <v>150809.13960069246</v>
      </c>
      <c r="BE138" s="2">
        <f t="shared" si="212"/>
        <v>1458</v>
      </c>
      <c r="BF138" s="2">
        <f t="shared" si="185"/>
        <v>9644.6923016847959</v>
      </c>
      <c r="BG138" s="2">
        <f t="shared" si="186"/>
        <v>139706.44729900768</v>
      </c>
      <c r="BI138" s="8">
        <f t="shared" si="315"/>
        <v>3.1E-2</v>
      </c>
      <c r="BJ138" s="5">
        <f t="shared" si="301"/>
        <v>1096</v>
      </c>
      <c r="BK138" s="2">
        <f t="shared" si="302"/>
        <v>109490.40000000001</v>
      </c>
      <c r="BL138" s="2">
        <f t="shared" si="303"/>
        <v>109600</v>
      </c>
      <c r="BM138" s="2">
        <f t="shared" si="280"/>
        <v>109600</v>
      </c>
      <c r="BN138" s="8">
        <f t="shared" si="281"/>
        <v>4.5999999999999999E-2</v>
      </c>
      <c r="BO138" s="2">
        <f t="shared" si="282"/>
        <v>114641.60000000001</v>
      </c>
      <c r="BP138" s="2" t="str">
        <f t="shared" si="283"/>
        <v>nie</v>
      </c>
      <c r="BQ138" s="2">
        <f t="shared" si="284"/>
        <v>2192</v>
      </c>
      <c r="BR138" s="1">
        <f t="shared" si="316"/>
        <v>171</v>
      </c>
      <c r="BS138" s="1">
        <f t="shared" si="269"/>
        <v>22</v>
      </c>
      <c r="BT138" s="1">
        <f t="shared" si="309"/>
        <v>112</v>
      </c>
      <c r="BU138" s="1">
        <f t="shared" si="320"/>
        <v>106</v>
      </c>
      <c r="BV138" s="2">
        <f t="shared" si="247"/>
        <v>17100</v>
      </c>
      <c r="BW138" s="8">
        <f t="shared" si="317"/>
        <v>4.7500000000000001E-2</v>
      </c>
      <c r="BX138" s="2">
        <f t="shared" si="248"/>
        <v>17912.25</v>
      </c>
      <c r="BY138" s="2">
        <f t="shared" si="318"/>
        <v>342</v>
      </c>
      <c r="BZ138" s="2">
        <f t="shared" si="273"/>
        <v>24000</v>
      </c>
      <c r="CA138" s="8">
        <f t="shared" si="270"/>
        <v>4.5999999999999999E-2</v>
      </c>
      <c r="CB138" s="2">
        <f t="shared" si="249"/>
        <v>25104</v>
      </c>
      <c r="CC138" s="2">
        <f t="shared" si="271"/>
        <v>480</v>
      </c>
      <c r="CD138" s="2">
        <f t="shared" si="285"/>
        <v>5041.6000000000058</v>
      </c>
      <c r="CE138" s="2">
        <f t="shared" si="250"/>
        <v>12516.25</v>
      </c>
      <c r="CF138" s="2">
        <f t="shared" si="251"/>
        <v>17654.800000000043</v>
      </c>
      <c r="CG138" s="1">
        <f t="shared" si="312"/>
        <v>106</v>
      </c>
      <c r="CH138" s="2">
        <f t="shared" si="286"/>
        <v>7065.4000000000415</v>
      </c>
      <c r="CI138" s="1">
        <f t="shared" si="242"/>
        <v>70</v>
      </c>
      <c r="CJ138" s="2">
        <f t="shared" si="252"/>
        <v>65.400000000041473</v>
      </c>
      <c r="CK138" s="2">
        <f t="shared" si="253"/>
        <v>157754.80000000005</v>
      </c>
      <c r="CL138" s="2">
        <f t="shared" si="287"/>
        <v>157.75480000000005</v>
      </c>
      <c r="CM138" s="2">
        <f t="shared" si="216"/>
        <v>1439.9820900000004</v>
      </c>
      <c r="CN138" s="2">
        <f t="shared" si="288"/>
        <v>156314.81791000004</v>
      </c>
      <c r="CO138" s="2">
        <f t="shared" si="217"/>
        <v>3014</v>
      </c>
      <c r="CP138" s="2">
        <f t="shared" si="289"/>
        <v>10400.75200000001</v>
      </c>
      <c r="CQ138" s="2">
        <f t="shared" si="290"/>
        <v>142900.06591000003</v>
      </c>
      <c r="CS138" s="5">
        <f t="shared" si="304"/>
        <v>1000</v>
      </c>
      <c r="CT138" s="2">
        <f t="shared" si="305"/>
        <v>100000</v>
      </c>
      <c r="CU138" s="2">
        <f t="shared" si="306"/>
        <v>100000</v>
      </c>
      <c r="CV138" s="2">
        <f t="shared" si="307"/>
        <v>156839.79579203436</v>
      </c>
      <c r="CW138" s="8">
        <f t="shared" si="291"/>
        <v>5.1000000000000004E-2</v>
      </c>
      <c r="CX138" s="2">
        <f t="shared" si="292"/>
        <v>164838.62537742811</v>
      </c>
      <c r="CY138" s="2" t="str">
        <f t="shared" si="293"/>
        <v>tak</v>
      </c>
      <c r="CZ138" s="2">
        <f t="shared" si="222"/>
        <v>3.6253774281067308</v>
      </c>
      <c r="DA138" s="2">
        <f t="shared" si="223"/>
        <v>3.6253774281067308</v>
      </c>
      <c r="DB138" s="2">
        <f t="shared" si="224"/>
        <v>164838.62537742811</v>
      </c>
      <c r="DC138" s="2">
        <f t="shared" si="294"/>
        <v>164.83862537742812</v>
      </c>
      <c r="DD138" s="2">
        <f t="shared" si="225"/>
        <v>1479.2536113260169</v>
      </c>
      <c r="DE138" s="2">
        <f t="shared" si="226"/>
        <v>163359.37176610209</v>
      </c>
      <c r="DF138" s="2">
        <f t="shared" si="295"/>
        <v>0</v>
      </c>
      <c r="DG138" s="2">
        <f t="shared" si="296"/>
        <v>12319.338821711341</v>
      </c>
      <c r="DH138" s="2">
        <f t="shared" si="227"/>
        <v>151040.03294439075</v>
      </c>
    </row>
    <row r="139" spans="2:112">
      <c r="B139" s="232"/>
      <c r="C139" s="1">
        <f t="shared" si="321"/>
        <v>102</v>
      </c>
      <c r="D139" s="2">
        <f t="shared" si="259"/>
        <v>142248.18187851235</v>
      </c>
      <c r="E139" s="2">
        <f t="shared" si="260"/>
        <v>132967.19762184515</v>
      </c>
      <c r="F139" s="2">
        <f t="shared" si="261"/>
        <v>146261.65936000002</v>
      </c>
      <c r="G139" s="2">
        <f t="shared" si="262"/>
        <v>134925.79036000001</v>
      </c>
      <c r="H139" s="2">
        <f t="shared" si="263"/>
        <v>151876.87826819858</v>
      </c>
      <c r="I139" s="2">
        <f t="shared" si="264"/>
        <v>139370.33211111111</v>
      </c>
      <c r="J139" s="2">
        <f t="shared" si="322"/>
        <v>128089.53647136898</v>
      </c>
      <c r="K139" s="2">
        <f t="shared" si="323"/>
        <v>129643.05306205017</v>
      </c>
      <c r="W139" s="1">
        <f t="shared" si="297"/>
        <v>121</v>
      </c>
      <c r="X139" s="2">
        <f t="shared" si="274"/>
        <v>136052.69019364688</v>
      </c>
      <c r="Y139" s="8">
        <f t="shared" si="310"/>
        <v>3.9100000000000003E-2</v>
      </c>
      <c r="Z139" s="5">
        <f t="shared" si="298"/>
        <v>1455</v>
      </c>
      <c r="AA139" s="2">
        <f t="shared" si="299"/>
        <v>145354.5</v>
      </c>
      <c r="AB139" s="2">
        <f t="shared" si="207"/>
        <v>145500</v>
      </c>
      <c r="AC139" s="2">
        <f t="shared" si="300"/>
        <v>151902</v>
      </c>
      <c r="AD139" s="8">
        <f t="shared" si="275"/>
        <v>4.3999999999999997E-2</v>
      </c>
      <c r="AE139" s="2">
        <f t="shared" si="179"/>
        <v>152458.97400000002</v>
      </c>
      <c r="AF139" s="2" t="str">
        <f t="shared" si="276"/>
        <v>nie</v>
      </c>
      <c r="AG139" s="2">
        <f t="shared" si="277"/>
        <v>1455</v>
      </c>
      <c r="AH139" s="1">
        <f t="shared" si="233"/>
        <v>1</v>
      </c>
      <c r="AI139" s="1">
        <f t="shared" ref="AI139:AI162" si="324">IF(zapadalnosc_TOS/12&gt;=AI$18,AH127,0)</f>
        <v>1</v>
      </c>
      <c r="AJ139" s="1">
        <f t="shared" si="308"/>
        <v>1</v>
      </c>
      <c r="AK139" s="1">
        <f t="shared" si="319"/>
        <v>0</v>
      </c>
      <c r="AL139" s="2">
        <f t="shared" si="243"/>
        <v>100</v>
      </c>
      <c r="AM139" s="8">
        <f t="shared" si="313"/>
        <v>4.3999999999999997E-2</v>
      </c>
      <c r="AN139" s="2">
        <f t="shared" si="244"/>
        <v>100.36666666666667</v>
      </c>
      <c r="AO139" s="2">
        <f t="shared" si="314"/>
        <v>0.36666666666667425</v>
      </c>
      <c r="AP139" s="2">
        <f t="shared" si="272"/>
        <v>200</v>
      </c>
      <c r="AQ139" s="8">
        <f t="shared" ref="AQ139:AQ162" si="325">marza_TOS+Y139</f>
        <v>3.9100000000000003E-2</v>
      </c>
      <c r="AR139" s="2">
        <f t="shared" si="267"/>
        <v>200.65166666666667</v>
      </c>
      <c r="AS139" s="2">
        <f t="shared" ref="AS139:AS162" si="326">SUM(AI139:AK139)*koszt_wczesniejszy_wykup_TOS</f>
        <v>2</v>
      </c>
      <c r="AT139" s="2">
        <f t="shared" si="209"/>
        <v>0</v>
      </c>
      <c r="AU139" s="2">
        <f t="shared" si="245"/>
        <v>0</v>
      </c>
      <c r="AV139" s="2">
        <f t="shared" si="236"/>
        <v>17.538429919985361</v>
      </c>
      <c r="AW139" s="1">
        <f t="shared" si="311"/>
        <v>0</v>
      </c>
      <c r="AX139" s="2">
        <f t="shared" si="278"/>
        <v>17.538429919985361</v>
      </c>
      <c r="AY139" s="1">
        <f t="shared" si="237"/>
        <v>0</v>
      </c>
      <c r="AZ139" s="2">
        <f t="shared" si="210"/>
        <v>17.538429919985361</v>
      </c>
      <c r="BA139" s="2">
        <f t="shared" si="246"/>
        <v>152777.53076325334</v>
      </c>
      <c r="BB139" s="2">
        <f t="shared" si="279"/>
        <v>0</v>
      </c>
      <c r="BC139" s="2">
        <f t="shared" si="211"/>
        <v>1410.3988292275037</v>
      </c>
      <c r="BD139" s="2">
        <f t="shared" si="184"/>
        <v>151367.13193402582</v>
      </c>
      <c r="BE139" s="2">
        <f t="shared" si="212"/>
        <v>1457.3666666666668</v>
      </c>
      <c r="BF139" s="2">
        <f t="shared" si="185"/>
        <v>9750.8311783514673</v>
      </c>
      <c r="BG139" s="2">
        <f t="shared" si="186"/>
        <v>140158.93408900767</v>
      </c>
      <c r="BI139" s="8">
        <f t="shared" si="315"/>
        <v>3.1E-2</v>
      </c>
      <c r="BJ139" s="5">
        <f t="shared" si="301"/>
        <v>1096</v>
      </c>
      <c r="BK139" s="2">
        <f t="shared" si="302"/>
        <v>109490.40000000001</v>
      </c>
      <c r="BL139" s="2">
        <f t="shared" si="303"/>
        <v>109600</v>
      </c>
      <c r="BM139" s="2">
        <f t="shared" si="280"/>
        <v>109600</v>
      </c>
      <c r="BN139" s="8">
        <f t="shared" si="281"/>
        <v>4.5999999999999999E-2</v>
      </c>
      <c r="BO139" s="2">
        <f t="shared" si="282"/>
        <v>110020.13333333333</v>
      </c>
      <c r="BP139" s="2" t="str">
        <f t="shared" si="283"/>
        <v>nie</v>
      </c>
      <c r="BQ139" s="2">
        <f t="shared" si="284"/>
        <v>2192</v>
      </c>
      <c r="BR139" s="1">
        <f t="shared" si="316"/>
        <v>176</v>
      </c>
      <c r="BS139" s="1">
        <f t="shared" ref="BS139:BS162" si="327">IF(zapadalnosc_COI/12&gt;=BS$18,BR127,0)</f>
        <v>171</v>
      </c>
      <c r="BT139" s="1">
        <f t="shared" si="309"/>
        <v>22</v>
      </c>
      <c r="BU139" s="1">
        <f t="shared" si="320"/>
        <v>112</v>
      </c>
      <c r="BV139" s="2">
        <f t="shared" si="247"/>
        <v>17600</v>
      </c>
      <c r="BW139" s="8">
        <f t="shared" si="317"/>
        <v>4.7500000000000001E-2</v>
      </c>
      <c r="BX139" s="2">
        <f t="shared" si="248"/>
        <v>17669.666666666664</v>
      </c>
      <c r="BY139" s="2">
        <f t="shared" si="318"/>
        <v>69.666666666664241</v>
      </c>
      <c r="BZ139" s="2">
        <f t="shared" si="273"/>
        <v>30500</v>
      </c>
      <c r="CA139" s="8">
        <f t="shared" ref="CA139:CA162" si="328">marza_COI+BI139</f>
        <v>4.5999999999999999E-2</v>
      </c>
      <c r="CB139" s="2">
        <f t="shared" si="249"/>
        <v>30616.916666666668</v>
      </c>
      <c r="CC139" s="2">
        <f t="shared" ref="CC139:CC162" si="329">SUM(BS139:BU139)*koszt_wczesniejszy_wykup_COI</f>
        <v>610</v>
      </c>
      <c r="CD139" s="2">
        <f t="shared" si="285"/>
        <v>0</v>
      </c>
      <c r="CE139" s="2">
        <f t="shared" si="250"/>
        <v>0</v>
      </c>
      <c r="CF139" s="2">
        <f t="shared" si="251"/>
        <v>65.400000000041473</v>
      </c>
      <c r="CG139" s="1">
        <f t="shared" si="312"/>
        <v>0</v>
      </c>
      <c r="CH139" s="2">
        <f t="shared" si="286"/>
        <v>65.400000000041473</v>
      </c>
      <c r="CI139" s="1">
        <f t="shared" si="242"/>
        <v>0</v>
      </c>
      <c r="CJ139" s="2">
        <f t="shared" si="252"/>
        <v>65.400000000041473</v>
      </c>
      <c r="CK139" s="2">
        <f t="shared" si="253"/>
        <v>158372.1166666667</v>
      </c>
      <c r="CL139" s="2">
        <f t="shared" si="287"/>
        <v>0</v>
      </c>
      <c r="CM139" s="2">
        <f t="shared" si="216"/>
        <v>1439.9820900000004</v>
      </c>
      <c r="CN139" s="2">
        <f t="shared" si="288"/>
        <v>156932.13457666669</v>
      </c>
      <c r="CO139" s="2">
        <f t="shared" si="217"/>
        <v>2871.6666666666642</v>
      </c>
      <c r="CP139" s="2">
        <f t="shared" si="289"/>
        <v>10545.085500000008</v>
      </c>
      <c r="CQ139" s="2">
        <f t="shared" si="290"/>
        <v>143515.38241000002</v>
      </c>
      <c r="CS139" s="5">
        <f t="shared" si="304"/>
        <v>1650</v>
      </c>
      <c r="CT139" s="2">
        <f t="shared" si="305"/>
        <v>164835</v>
      </c>
      <c r="CU139" s="2">
        <f t="shared" si="306"/>
        <v>165000</v>
      </c>
      <c r="CV139" s="2">
        <f t="shared" si="307"/>
        <v>165000</v>
      </c>
      <c r="CW139" s="8">
        <f t="shared" si="291"/>
        <v>5.3499999999999999E-2</v>
      </c>
      <c r="CX139" s="2">
        <f t="shared" si="292"/>
        <v>165735.62499999997</v>
      </c>
      <c r="CY139" s="2" t="str">
        <f t="shared" si="293"/>
        <v>nie</v>
      </c>
      <c r="CZ139" s="2">
        <f t="shared" si="222"/>
        <v>0</v>
      </c>
      <c r="DA139" s="2">
        <f t="shared" si="223"/>
        <v>3.6253774281067308</v>
      </c>
      <c r="DB139" s="2">
        <f t="shared" si="224"/>
        <v>165739.25037742808</v>
      </c>
      <c r="DC139" s="2">
        <f t="shared" si="294"/>
        <v>0</v>
      </c>
      <c r="DD139" s="2">
        <f t="shared" si="225"/>
        <v>1479.2536113260169</v>
      </c>
      <c r="DE139" s="2">
        <f t="shared" si="226"/>
        <v>164259.99676610206</v>
      </c>
      <c r="DF139" s="2">
        <f t="shared" si="295"/>
        <v>735.6249999999709</v>
      </c>
      <c r="DG139" s="2">
        <f t="shared" si="296"/>
        <v>12350</v>
      </c>
      <c r="DH139" s="2">
        <f t="shared" si="227"/>
        <v>151174.37176610209</v>
      </c>
    </row>
    <row r="140" spans="2:112">
      <c r="B140" s="232"/>
      <c r="C140" s="1">
        <f t="shared" si="321"/>
        <v>103</v>
      </c>
      <c r="D140" s="2">
        <f t="shared" si="259"/>
        <v>142762.34208064567</v>
      </c>
      <c r="E140" s="2">
        <f t="shared" si="260"/>
        <v>133383.66738557312</v>
      </c>
      <c r="F140" s="2">
        <f t="shared" si="261"/>
        <v>146827.25102666669</v>
      </c>
      <c r="G140" s="2">
        <f t="shared" si="262"/>
        <v>135383.91961000001</v>
      </c>
      <c r="H140" s="2">
        <f t="shared" si="263"/>
        <v>152511.10199047843</v>
      </c>
      <c r="I140" s="2">
        <f t="shared" si="264"/>
        <v>139884.05332615779</v>
      </c>
      <c r="J140" s="2">
        <f t="shared" si="322"/>
        <v>128400.7940449944</v>
      </c>
      <c r="K140" s="2">
        <f t="shared" si="323"/>
        <v>129972.8523928333</v>
      </c>
      <c r="W140" s="1">
        <f t="shared" si="297"/>
        <v>122</v>
      </c>
      <c r="X140" s="2">
        <f t="shared" si="274"/>
        <v>136403.25402009548</v>
      </c>
      <c r="Y140" s="8">
        <f t="shared" si="310"/>
        <v>3.9100000000000003E-2</v>
      </c>
      <c r="Z140" s="5">
        <f t="shared" si="298"/>
        <v>1455</v>
      </c>
      <c r="AA140" s="2">
        <f t="shared" si="299"/>
        <v>145354.5</v>
      </c>
      <c r="AB140" s="2">
        <f t="shared" si="207"/>
        <v>145500</v>
      </c>
      <c r="AC140" s="2">
        <f t="shared" si="300"/>
        <v>151902</v>
      </c>
      <c r="AD140" s="8">
        <f t="shared" si="275"/>
        <v>4.3999999999999997E-2</v>
      </c>
      <c r="AE140" s="2">
        <f t="shared" si="179"/>
        <v>153015.948</v>
      </c>
      <c r="AF140" s="2" t="str">
        <f t="shared" si="276"/>
        <v>nie</v>
      </c>
      <c r="AG140" s="2">
        <f t="shared" si="277"/>
        <v>1455</v>
      </c>
      <c r="AH140" s="1">
        <f t="shared" si="233"/>
        <v>1</v>
      </c>
      <c r="AI140" s="1">
        <f t="shared" si="324"/>
        <v>1</v>
      </c>
      <c r="AJ140" s="1">
        <f t="shared" si="308"/>
        <v>1</v>
      </c>
      <c r="AK140" s="1">
        <f t="shared" si="319"/>
        <v>0</v>
      </c>
      <c r="AL140" s="2">
        <f t="shared" si="243"/>
        <v>100</v>
      </c>
      <c r="AM140" s="8">
        <f t="shared" si="313"/>
        <v>4.3999999999999997E-2</v>
      </c>
      <c r="AN140" s="2">
        <f t="shared" si="244"/>
        <v>100.73333333333335</v>
      </c>
      <c r="AO140" s="2">
        <f t="shared" si="314"/>
        <v>0.73333333333334849</v>
      </c>
      <c r="AP140" s="2">
        <f t="shared" si="272"/>
        <v>200</v>
      </c>
      <c r="AQ140" s="8">
        <f t="shared" si="325"/>
        <v>3.9100000000000003E-2</v>
      </c>
      <c r="AR140" s="2">
        <f t="shared" si="267"/>
        <v>201.30333333333334</v>
      </c>
      <c r="AS140" s="2">
        <f t="shared" si="326"/>
        <v>2</v>
      </c>
      <c r="AT140" s="2">
        <f t="shared" si="209"/>
        <v>0</v>
      </c>
      <c r="AU140" s="2">
        <f t="shared" si="245"/>
        <v>0</v>
      </c>
      <c r="AV140" s="2">
        <f t="shared" si="236"/>
        <v>17.538429919985361</v>
      </c>
      <c r="AW140" s="1">
        <f t="shared" si="311"/>
        <v>0</v>
      </c>
      <c r="AX140" s="2">
        <f t="shared" si="278"/>
        <v>17.538429919985361</v>
      </c>
      <c r="AY140" s="1">
        <f t="shared" si="237"/>
        <v>0</v>
      </c>
      <c r="AZ140" s="2">
        <f t="shared" si="210"/>
        <v>17.538429919985361</v>
      </c>
      <c r="BA140" s="2">
        <f t="shared" si="246"/>
        <v>153335.52309658666</v>
      </c>
      <c r="BB140" s="2">
        <f t="shared" si="279"/>
        <v>0</v>
      </c>
      <c r="BC140" s="2">
        <f t="shared" si="211"/>
        <v>1410.3988292275037</v>
      </c>
      <c r="BD140" s="2">
        <f t="shared" si="184"/>
        <v>151925.12426735915</v>
      </c>
      <c r="BE140" s="2">
        <f t="shared" si="212"/>
        <v>1457.7333333333333</v>
      </c>
      <c r="BF140" s="2">
        <f t="shared" si="185"/>
        <v>9856.7800550181328</v>
      </c>
      <c r="BG140" s="2">
        <f t="shared" si="186"/>
        <v>140610.61087900767</v>
      </c>
      <c r="BI140" s="8">
        <f t="shared" si="315"/>
        <v>3.1E-2</v>
      </c>
      <c r="BJ140" s="5">
        <f t="shared" si="301"/>
        <v>1096</v>
      </c>
      <c r="BK140" s="2">
        <f t="shared" si="302"/>
        <v>109490.40000000001</v>
      </c>
      <c r="BL140" s="2">
        <f t="shared" si="303"/>
        <v>109600</v>
      </c>
      <c r="BM140" s="2">
        <f t="shared" si="280"/>
        <v>109600</v>
      </c>
      <c r="BN140" s="8">
        <f t="shared" si="281"/>
        <v>4.5999999999999999E-2</v>
      </c>
      <c r="BO140" s="2">
        <f t="shared" si="282"/>
        <v>110440.26666666668</v>
      </c>
      <c r="BP140" s="2" t="str">
        <f t="shared" si="283"/>
        <v>nie</v>
      </c>
      <c r="BQ140" s="2">
        <f t="shared" si="284"/>
        <v>2192</v>
      </c>
      <c r="BR140" s="1">
        <f t="shared" si="316"/>
        <v>176</v>
      </c>
      <c r="BS140" s="1">
        <f t="shared" si="327"/>
        <v>171</v>
      </c>
      <c r="BT140" s="1">
        <f t="shared" si="309"/>
        <v>22</v>
      </c>
      <c r="BU140" s="1">
        <f t="shared" si="320"/>
        <v>112</v>
      </c>
      <c r="BV140" s="2">
        <f t="shared" si="247"/>
        <v>17600</v>
      </c>
      <c r="BW140" s="8">
        <f t="shared" si="317"/>
        <v>4.7500000000000001E-2</v>
      </c>
      <c r="BX140" s="2">
        <f t="shared" si="248"/>
        <v>17739.333333333332</v>
      </c>
      <c r="BY140" s="2">
        <f t="shared" si="318"/>
        <v>139.33333333333212</v>
      </c>
      <c r="BZ140" s="2">
        <f t="shared" si="273"/>
        <v>30500</v>
      </c>
      <c r="CA140" s="8">
        <f t="shared" si="328"/>
        <v>4.5999999999999999E-2</v>
      </c>
      <c r="CB140" s="2">
        <f t="shared" si="249"/>
        <v>30733.833333333336</v>
      </c>
      <c r="CC140" s="2">
        <f t="shared" si="329"/>
        <v>610</v>
      </c>
      <c r="CD140" s="2">
        <f t="shared" si="285"/>
        <v>0</v>
      </c>
      <c r="CE140" s="2">
        <f t="shared" si="250"/>
        <v>0</v>
      </c>
      <c r="CF140" s="2">
        <f t="shared" si="251"/>
        <v>65.400000000041473</v>
      </c>
      <c r="CG140" s="1">
        <f t="shared" si="312"/>
        <v>0</v>
      </c>
      <c r="CH140" s="2">
        <f t="shared" si="286"/>
        <v>65.400000000041473</v>
      </c>
      <c r="CI140" s="1">
        <f t="shared" si="242"/>
        <v>0</v>
      </c>
      <c r="CJ140" s="2">
        <f t="shared" si="252"/>
        <v>65.400000000041473</v>
      </c>
      <c r="CK140" s="2">
        <f t="shared" si="253"/>
        <v>158978.8333333334</v>
      </c>
      <c r="CL140" s="2">
        <f t="shared" si="287"/>
        <v>0</v>
      </c>
      <c r="CM140" s="2">
        <f t="shared" si="216"/>
        <v>1439.9820900000004</v>
      </c>
      <c r="CN140" s="2">
        <f t="shared" si="288"/>
        <v>157538.8512433334</v>
      </c>
      <c r="CO140" s="2">
        <f t="shared" si="217"/>
        <v>2941.3333333333321</v>
      </c>
      <c r="CP140" s="2">
        <f t="shared" si="289"/>
        <v>10647.125000000011</v>
      </c>
      <c r="CQ140" s="2">
        <f t="shared" si="290"/>
        <v>143950.39291000005</v>
      </c>
      <c r="CS140" s="5">
        <f t="shared" si="304"/>
        <v>1650</v>
      </c>
      <c r="CT140" s="2">
        <f t="shared" si="305"/>
        <v>164835</v>
      </c>
      <c r="CU140" s="2">
        <f t="shared" si="306"/>
        <v>165000</v>
      </c>
      <c r="CV140" s="2">
        <f t="shared" si="307"/>
        <v>165000</v>
      </c>
      <c r="CW140" s="8">
        <f t="shared" si="291"/>
        <v>5.3499999999999999E-2</v>
      </c>
      <c r="CX140" s="2">
        <f t="shared" si="292"/>
        <v>166471.25</v>
      </c>
      <c r="CY140" s="2" t="str">
        <f t="shared" si="293"/>
        <v>nie</v>
      </c>
      <c r="CZ140" s="2">
        <f t="shared" si="222"/>
        <v>0</v>
      </c>
      <c r="DA140" s="2">
        <f t="shared" si="223"/>
        <v>3.6253774281067308</v>
      </c>
      <c r="DB140" s="2">
        <f t="shared" si="224"/>
        <v>166474.87537742811</v>
      </c>
      <c r="DC140" s="2">
        <f t="shared" si="294"/>
        <v>0</v>
      </c>
      <c r="DD140" s="2">
        <f t="shared" si="225"/>
        <v>1479.2536113260169</v>
      </c>
      <c r="DE140" s="2">
        <f t="shared" si="226"/>
        <v>164995.62176610209</v>
      </c>
      <c r="DF140" s="2">
        <f t="shared" si="295"/>
        <v>1471.25</v>
      </c>
      <c r="DG140" s="2">
        <f t="shared" si="296"/>
        <v>12350</v>
      </c>
      <c r="DH140" s="2">
        <f t="shared" si="227"/>
        <v>151174.37176610209</v>
      </c>
    </row>
    <row r="141" spans="2:112">
      <c r="B141" s="232"/>
      <c r="C141" s="1">
        <f t="shared" si="321"/>
        <v>104</v>
      </c>
      <c r="D141" s="2">
        <f t="shared" si="259"/>
        <v>143276.50228277899</v>
      </c>
      <c r="E141" s="2">
        <f t="shared" si="260"/>
        <v>133800.13714930112</v>
      </c>
      <c r="F141" s="2">
        <f t="shared" si="261"/>
        <v>147392.84269333337</v>
      </c>
      <c r="G141" s="2">
        <f t="shared" si="262"/>
        <v>135842.04886000004</v>
      </c>
      <c r="H141" s="2">
        <f t="shared" si="263"/>
        <v>153145.32571275832</v>
      </c>
      <c r="I141" s="2">
        <f t="shared" si="264"/>
        <v>140397.7745412045</v>
      </c>
      <c r="J141" s="2">
        <f t="shared" si="322"/>
        <v>128712.80797452373</v>
      </c>
      <c r="K141" s="2">
        <f t="shared" si="323"/>
        <v>130302.65172361647</v>
      </c>
      <c r="W141" s="1">
        <f t="shared" si="297"/>
        <v>123</v>
      </c>
      <c r="X141" s="2">
        <f t="shared" si="274"/>
        <v>136753.81784654406</v>
      </c>
      <c r="Y141" s="8">
        <f t="shared" si="310"/>
        <v>3.9100000000000003E-2</v>
      </c>
      <c r="Z141" s="5">
        <f t="shared" si="298"/>
        <v>1455</v>
      </c>
      <c r="AA141" s="2">
        <f t="shared" si="299"/>
        <v>145354.5</v>
      </c>
      <c r="AB141" s="2">
        <f t="shared" si="207"/>
        <v>145500</v>
      </c>
      <c r="AC141" s="2">
        <f t="shared" si="300"/>
        <v>151902</v>
      </c>
      <c r="AD141" s="8">
        <f t="shared" si="275"/>
        <v>4.3999999999999997E-2</v>
      </c>
      <c r="AE141" s="2">
        <f t="shared" si="179"/>
        <v>153572.92199999999</v>
      </c>
      <c r="AF141" s="2" t="str">
        <f t="shared" si="276"/>
        <v>nie</v>
      </c>
      <c r="AG141" s="2">
        <f t="shared" si="277"/>
        <v>1455</v>
      </c>
      <c r="AH141" s="1">
        <f t="shared" si="233"/>
        <v>1</v>
      </c>
      <c r="AI141" s="1">
        <f t="shared" si="324"/>
        <v>1</v>
      </c>
      <c r="AJ141" s="1">
        <f t="shared" si="308"/>
        <v>1</v>
      </c>
      <c r="AK141" s="1">
        <f t="shared" si="319"/>
        <v>0</v>
      </c>
      <c r="AL141" s="2">
        <f t="shared" si="243"/>
        <v>100</v>
      </c>
      <c r="AM141" s="8">
        <f t="shared" si="313"/>
        <v>4.3999999999999997E-2</v>
      </c>
      <c r="AN141" s="2">
        <f t="shared" si="244"/>
        <v>101.1</v>
      </c>
      <c r="AO141" s="2">
        <f t="shared" si="314"/>
        <v>1</v>
      </c>
      <c r="AP141" s="2">
        <f t="shared" si="272"/>
        <v>200</v>
      </c>
      <c r="AQ141" s="8">
        <f t="shared" si="325"/>
        <v>3.9100000000000003E-2</v>
      </c>
      <c r="AR141" s="2">
        <f t="shared" si="267"/>
        <v>201.95500000000001</v>
      </c>
      <c r="AS141" s="2">
        <f t="shared" si="326"/>
        <v>2</v>
      </c>
      <c r="AT141" s="2">
        <f t="shared" si="209"/>
        <v>0</v>
      </c>
      <c r="AU141" s="2">
        <f t="shared" si="245"/>
        <v>0</v>
      </c>
      <c r="AV141" s="2">
        <f t="shared" si="236"/>
        <v>17.538429919985361</v>
      </c>
      <c r="AW141" s="1">
        <f t="shared" si="311"/>
        <v>0</v>
      </c>
      <c r="AX141" s="2">
        <f t="shared" si="278"/>
        <v>17.538429919985361</v>
      </c>
      <c r="AY141" s="1">
        <f t="shared" si="237"/>
        <v>0</v>
      </c>
      <c r="AZ141" s="2">
        <f t="shared" si="210"/>
        <v>17.538429919985361</v>
      </c>
      <c r="BA141" s="2">
        <f t="shared" si="246"/>
        <v>153893.51542991996</v>
      </c>
      <c r="BB141" s="2">
        <f t="shared" si="279"/>
        <v>0</v>
      </c>
      <c r="BC141" s="2">
        <f t="shared" si="211"/>
        <v>1410.3988292275037</v>
      </c>
      <c r="BD141" s="2">
        <f t="shared" si="184"/>
        <v>152483.11660069245</v>
      </c>
      <c r="BE141" s="2">
        <f t="shared" si="212"/>
        <v>1458</v>
      </c>
      <c r="BF141" s="2">
        <f t="shared" si="185"/>
        <v>9962.747931684793</v>
      </c>
      <c r="BG141" s="2">
        <f t="shared" si="186"/>
        <v>141062.36866900764</v>
      </c>
      <c r="BI141" s="8">
        <f t="shared" si="315"/>
        <v>3.1E-2</v>
      </c>
      <c r="BJ141" s="5">
        <f t="shared" si="301"/>
        <v>1096</v>
      </c>
      <c r="BK141" s="2">
        <f t="shared" si="302"/>
        <v>109490.40000000001</v>
      </c>
      <c r="BL141" s="2">
        <f t="shared" si="303"/>
        <v>109600</v>
      </c>
      <c r="BM141" s="2">
        <f t="shared" si="280"/>
        <v>109600</v>
      </c>
      <c r="BN141" s="8">
        <f t="shared" si="281"/>
        <v>4.5999999999999999E-2</v>
      </c>
      <c r="BO141" s="2">
        <f t="shared" si="282"/>
        <v>110860.40000000001</v>
      </c>
      <c r="BP141" s="2" t="str">
        <f t="shared" si="283"/>
        <v>nie</v>
      </c>
      <c r="BQ141" s="2">
        <f t="shared" si="284"/>
        <v>2192</v>
      </c>
      <c r="BR141" s="1">
        <f t="shared" si="316"/>
        <v>176</v>
      </c>
      <c r="BS141" s="1">
        <f t="shared" si="327"/>
        <v>171</v>
      </c>
      <c r="BT141" s="1">
        <f t="shared" si="309"/>
        <v>22</v>
      </c>
      <c r="BU141" s="1">
        <f t="shared" si="320"/>
        <v>112</v>
      </c>
      <c r="BV141" s="2">
        <f t="shared" si="247"/>
        <v>17600</v>
      </c>
      <c r="BW141" s="8">
        <f t="shared" si="317"/>
        <v>4.7500000000000001E-2</v>
      </c>
      <c r="BX141" s="2">
        <f t="shared" si="248"/>
        <v>17809</v>
      </c>
      <c r="BY141" s="2">
        <f t="shared" si="318"/>
        <v>209</v>
      </c>
      <c r="BZ141" s="2">
        <f t="shared" si="273"/>
        <v>30500</v>
      </c>
      <c r="CA141" s="8">
        <f t="shared" si="328"/>
        <v>4.5999999999999999E-2</v>
      </c>
      <c r="CB141" s="2">
        <f t="shared" si="249"/>
        <v>30850.750000000004</v>
      </c>
      <c r="CC141" s="2">
        <f t="shared" si="329"/>
        <v>610</v>
      </c>
      <c r="CD141" s="2">
        <f t="shared" si="285"/>
        <v>0</v>
      </c>
      <c r="CE141" s="2">
        <f t="shared" si="250"/>
        <v>0</v>
      </c>
      <c r="CF141" s="2">
        <f t="shared" si="251"/>
        <v>65.400000000041473</v>
      </c>
      <c r="CG141" s="1">
        <f t="shared" si="312"/>
        <v>0</v>
      </c>
      <c r="CH141" s="2">
        <f t="shared" si="286"/>
        <v>65.400000000041473</v>
      </c>
      <c r="CI141" s="1">
        <f t="shared" si="242"/>
        <v>0</v>
      </c>
      <c r="CJ141" s="2">
        <f t="shared" si="252"/>
        <v>65.400000000041473</v>
      </c>
      <c r="CK141" s="2">
        <f t="shared" si="253"/>
        <v>159585.55000000008</v>
      </c>
      <c r="CL141" s="2">
        <f t="shared" si="287"/>
        <v>0</v>
      </c>
      <c r="CM141" s="2">
        <f t="shared" si="216"/>
        <v>1439.9820900000004</v>
      </c>
      <c r="CN141" s="2">
        <f t="shared" si="288"/>
        <v>158145.56791000007</v>
      </c>
      <c r="CO141" s="2">
        <f t="shared" si="217"/>
        <v>3011</v>
      </c>
      <c r="CP141" s="2">
        <f t="shared" si="289"/>
        <v>10749.164500000015</v>
      </c>
      <c r="CQ141" s="2">
        <f t="shared" si="290"/>
        <v>144385.40341000006</v>
      </c>
      <c r="CS141" s="5">
        <f t="shared" si="304"/>
        <v>1650</v>
      </c>
      <c r="CT141" s="2">
        <f t="shared" si="305"/>
        <v>164835</v>
      </c>
      <c r="CU141" s="2">
        <f t="shared" si="306"/>
        <v>165000</v>
      </c>
      <c r="CV141" s="2">
        <f t="shared" si="307"/>
        <v>165000</v>
      </c>
      <c r="CW141" s="8">
        <f t="shared" si="291"/>
        <v>5.3499999999999999E-2</v>
      </c>
      <c r="CX141" s="2">
        <f t="shared" si="292"/>
        <v>167206.875</v>
      </c>
      <c r="CY141" s="2" t="str">
        <f t="shared" si="293"/>
        <v>nie</v>
      </c>
      <c r="CZ141" s="2">
        <f t="shared" si="222"/>
        <v>0</v>
      </c>
      <c r="DA141" s="2">
        <f t="shared" si="223"/>
        <v>3.6253774281067308</v>
      </c>
      <c r="DB141" s="2">
        <f t="shared" si="224"/>
        <v>167210.50037742811</v>
      </c>
      <c r="DC141" s="2">
        <f t="shared" si="294"/>
        <v>0</v>
      </c>
      <c r="DD141" s="2">
        <f t="shared" si="225"/>
        <v>1479.2536113260169</v>
      </c>
      <c r="DE141" s="2">
        <f t="shared" si="226"/>
        <v>165731.24676610209</v>
      </c>
      <c r="DF141" s="2">
        <f t="shared" si="295"/>
        <v>2206.875</v>
      </c>
      <c r="DG141" s="2">
        <f t="shared" si="296"/>
        <v>12350</v>
      </c>
      <c r="DH141" s="2">
        <f t="shared" si="227"/>
        <v>151174.37176610209</v>
      </c>
    </row>
    <row r="142" spans="2:112">
      <c r="B142" s="232"/>
      <c r="C142" s="1">
        <f t="shared" si="321"/>
        <v>105</v>
      </c>
      <c r="D142" s="2">
        <f t="shared" si="259"/>
        <v>143790.66248491229</v>
      </c>
      <c r="E142" s="2">
        <f t="shared" si="260"/>
        <v>134216.6069130291</v>
      </c>
      <c r="F142" s="2">
        <f t="shared" si="261"/>
        <v>147958.43436000004</v>
      </c>
      <c r="G142" s="2">
        <f t="shared" si="262"/>
        <v>136300.17811000004</v>
      </c>
      <c r="H142" s="2">
        <f t="shared" si="263"/>
        <v>153779.54943503818</v>
      </c>
      <c r="I142" s="2">
        <f t="shared" si="264"/>
        <v>140911.49575625118</v>
      </c>
      <c r="J142" s="2">
        <f t="shared" si="322"/>
        <v>129025.58009790182</v>
      </c>
      <c r="K142" s="2">
        <f t="shared" si="323"/>
        <v>130632.45105439963</v>
      </c>
      <c r="W142" s="1">
        <f t="shared" si="297"/>
        <v>124</v>
      </c>
      <c r="X142" s="2">
        <f t="shared" si="274"/>
        <v>137104.38167299266</v>
      </c>
      <c r="Y142" s="8">
        <f t="shared" si="310"/>
        <v>3.9100000000000003E-2</v>
      </c>
      <c r="Z142" s="5">
        <f t="shared" si="298"/>
        <v>1455</v>
      </c>
      <c r="AA142" s="2">
        <f t="shared" si="299"/>
        <v>145354.5</v>
      </c>
      <c r="AB142" s="2">
        <f t="shared" si="207"/>
        <v>145500</v>
      </c>
      <c r="AC142" s="2">
        <f t="shared" si="300"/>
        <v>151902</v>
      </c>
      <c r="AD142" s="8">
        <f t="shared" si="275"/>
        <v>4.3999999999999997E-2</v>
      </c>
      <c r="AE142" s="2">
        <f t="shared" si="179"/>
        <v>154129.89599999998</v>
      </c>
      <c r="AF142" s="2" t="str">
        <f t="shared" si="276"/>
        <v>nie</v>
      </c>
      <c r="AG142" s="2">
        <f t="shared" si="277"/>
        <v>1455</v>
      </c>
      <c r="AH142" s="1">
        <f t="shared" si="233"/>
        <v>1</v>
      </c>
      <c r="AI142" s="1">
        <f t="shared" si="324"/>
        <v>1</v>
      </c>
      <c r="AJ142" s="1">
        <f t="shared" si="308"/>
        <v>1</v>
      </c>
      <c r="AK142" s="1">
        <f t="shared" si="319"/>
        <v>0</v>
      </c>
      <c r="AL142" s="2">
        <f t="shared" si="243"/>
        <v>100</v>
      </c>
      <c r="AM142" s="8">
        <f t="shared" si="313"/>
        <v>4.3999999999999997E-2</v>
      </c>
      <c r="AN142" s="2">
        <f t="shared" si="244"/>
        <v>101.46666666666665</v>
      </c>
      <c r="AO142" s="2">
        <f t="shared" si="314"/>
        <v>1</v>
      </c>
      <c r="AP142" s="2">
        <f t="shared" si="272"/>
        <v>200</v>
      </c>
      <c r="AQ142" s="8">
        <f t="shared" si="325"/>
        <v>3.9100000000000003E-2</v>
      </c>
      <c r="AR142" s="2">
        <f t="shared" si="267"/>
        <v>202.60666666666665</v>
      </c>
      <c r="AS142" s="2">
        <f t="shared" si="326"/>
        <v>2</v>
      </c>
      <c r="AT142" s="2">
        <f t="shared" si="209"/>
        <v>0</v>
      </c>
      <c r="AU142" s="2">
        <f t="shared" si="245"/>
        <v>0</v>
      </c>
      <c r="AV142" s="2">
        <f t="shared" si="236"/>
        <v>17.538429919985361</v>
      </c>
      <c r="AW142" s="1">
        <f t="shared" si="311"/>
        <v>0</v>
      </c>
      <c r="AX142" s="2">
        <f t="shared" si="278"/>
        <v>17.538429919985361</v>
      </c>
      <c r="AY142" s="1">
        <f t="shared" si="237"/>
        <v>0</v>
      </c>
      <c r="AZ142" s="2">
        <f t="shared" si="210"/>
        <v>17.538429919985361</v>
      </c>
      <c r="BA142" s="2">
        <f t="shared" si="246"/>
        <v>154451.50776325329</v>
      </c>
      <c r="BB142" s="2">
        <f t="shared" si="279"/>
        <v>0</v>
      </c>
      <c r="BC142" s="2">
        <f t="shared" si="211"/>
        <v>1410.3988292275037</v>
      </c>
      <c r="BD142" s="2">
        <f t="shared" si="184"/>
        <v>153041.10893402577</v>
      </c>
      <c r="BE142" s="2">
        <f t="shared" si="212"/>
        <v>1458</v>
      </c>
      <c r="BF142" s="2">
        <f t="shared" si="185"/>
        <v>10068.766475018125</v>
      </c>
      <c r="BG142" s="2">
        <f t="shared" si="186"/>
        <v>141514.34245900766</v>
      </c>
      <c r="BI142" s="8">
        <f t="shared" si="315"/>
        <v>3.1E-2</v>
      </c>
      <c r="BJ142" s="5">
        <f t="shared" si="301"/>
        <v>1096</v>
      </c>
      <c r="BK142" s="2">
        <f t="shared" si="302"/>
        <v>109490.40000000001</v>
      </c>
      <c r="BL142" s="2">
        <f t="shared" si="303"/>
        <v>109600</v>
      </c>
      <c r="BM142" s="2">
        <f t="shared" si="280"/>
        <v>109600</v>
      </c>
      <c r="BN142" s="8">
        <f t="shared" si="281"/>
        <v>4.5999999999999999E-2</v>
      </c>
      <c r="BO142" s="2">
        <f t="shared" si="282"/>
        <v>111280.53333333334</v>
      </c>
      <c r="BP142" s="2" t="str">
        <f t="shared" si="283"/>
        <v>nie</v>
      </c>
      <c r="BQ142" s="2">
        <f t="shared" si="284"/>
        <v>2192</v>
      </c>
      <c r="BR142" s="1">
        <f t="shared" si="316"/>
        <v>176</v>
      </c>
      <c r="BS142" s="1">
        <f t="shared" si="327"/>
        <v>171</v>
      </c>
      <c r="BT142" s="1">
        <f t="shared" si="309"/>
        <v>22</v>
      </c>
      <c r="BU142" s="1">
        <f t="shared" si="320"/>
        <v>112</v>
      </c>
      <c r="BV142" s="2">
        <f t="shared" si="247"/>
        <v>17600</v>
      </c>
      <c r="BW142" s="8">
        <f t="shared" si="317"/>
        <v>4.7500000000000001E-2</v>
      </c>
      <c r="BX142" s="2">
        <f t="shared" si="248"/>
        <v>17878.666666666668</v>
      </c>
      <c r="BY142" s="2">
        <f t="shared" si="318"/>
        <v>278.66666666666788</v>
      </c>
      <c r="BZ142" s="2">
        <f t="shared" si="273"/>
        <v>30500</v>
      </c>
      <c r="CA142" s="8">
        <f t="shared" si="328"/>
        <v>4.5999999999999999E-2</v>
      </c>
      <c r="CB142" s="2">
        <f t="shared" si="249"/>
        <v>30967.666666666668</v>
      </c>
      <c r="CC142" s="2">
        <f t="shared" si="329"/>
        <v>610</v>
      </c>
      <c r="CD142" s="2">
        <f t="shared" si="285"/>
        <v>0</v>
      </c>
      <c r="CE142" s="2">
        <f t="shared" si="250"/>
        <v>0</v>
      </c>
      <c r="CF142" s="2">
        <f t="shared" si="251"/>
        <v>65.400000000041473</v>
      </c>
      <c r="CG142" s="1">
        <f t="shared" si="312"/>
        <v>0</v>
      </c>
      <c r="CH142" s="2">
        <f t="shared" si="286"/>
        <v>65.400000000041473</v>
      </c>
      <c r="CI142" s="1">
        <f t="shared" si="242"/>
        <v>0</v>
      </c>
      <c r="CJ142" s="2">
        <f t="shared" si="252"/>
        <v>65.400000000041473</v>
      </c>
      <c r="CK142" s="2">
        <f t="shared" si="253"/>
        <v>160192.26666666672</v>
      </c>
      <c r="CL142" s="2">
        <f t="shared" si="287"/>
        <v>0</v>
      </c>
      <c r="CM142" s="2">
        <f t="shared" si="216"/>
        <v>1439.9820900000004</v>
      </c>
      <c r="CN142" s="2">
        <f t="shared" si="288"/>
        <v>158752.28457666672</v>
      </c>
      <c r="CO142" s="2">
        <f t="shared" si="217"/>
        <v>3080.6666666666679</v>
      </c>
      <c r="CP142" s="2">
        <f t="shared" si="289"/>
        <v>10851.204000000012</v>
      </c>
      <c r="CQ142" s="2">
        <f t="shared" si="290"/>
        <v>144820.41391000006</v>
      </c>
      <c r="CS142" s="5">
        <f t="shared" si="304"/>
        <v>1650</v>
      </c>
      <c r="CT142" s="2">
        <f t="shared" si="305"/>
        <v>164835</v>
      </c>
      <c r="CU142" s="2">
        <f t="shared" si="306"/>
        <v>165000</v>
      </c>
      <c r="CV142" s="2">
        <f t="shared" si="307"/>
        <v>165000</v>
      </c>
      <c r="CW142" s="8">
        <f t="shared" si="291"/>
        <v>5.3499999999999999E-2</v>
      </c>
      <c r="CX142" s="2">
        <f t="shared" si="292"/>
        <v>167942.5</v>
      </c>
      <c r="CY142" s="2" t="str">
        <f t="shared" si="293"/>
        <v>nie</v>
      </c>
      <c r="CZ142" s="2">
        <f t="shared" si="222"/>
        <v>0</v>
      </c>
      <c r="DA142" s="2">
        <f t="shared" si="223"/>
        <v>3.6253774281067308</v>
      </c>
      <c r="DB142" s="2">
        <f t="shared" si="224"/>
        <v>167946.12537742811</v>
      </c>
      <c r="DC142" s="2">
        <f t="shared" si="294"/>
        <v>0</v>
      </c>
      <c r="DD142" s="2">
        <f t="shared" si="225"/>
        <v>1479.2536113260169</v>
      </c>
      <c r="DE142" s="2">
        <f t="shared" si="226"/>
        <v>166466.87176610209</v>
      </c>
      <c r="DF142" s="2">
        <f t="shared" si="295"/>
        <v>2942.5</v>
      </c>
      <c r="DG142" s="2">
        <f t="shared" si="296"/>
        <v>12350</v>
      </c>
      <c r="DH142" s="2">
        <f t="shared" si="227"/>
        <v>151174.37176610209</v>
      </c>
    </row>
    <row r="143" spans="2:112">
      <c r="B143" s="232"/>
      <c r="C143" s="1">
        <f t="shared" si="321"/>
        <v>106</v>
      </c>
      <c r="D143" s="2">
        <f t="shared" si="259"/>
        <v>144304.82268704564</v>
      </c>
      <c r="E143" s="2">
        <f t="shared" si="260"/>
        <v>134633.0766767571</v>
      </c>
      <c r="F143" s="2">
        <f t="shared" si="261"/>
        <v>148524.02602666669</v>
      </c>
      <c r="G143" s="2">
        <f t="shared" si="262"/>
        <v>136758.30736000004</v>
      </c>
      <c r="H143" s="2">
        <f t="shared" si="263"/>
        <v>154413.77315731806</v>
      </c>
      <c r="I143" s="2">
        <f t="shared" si="264"/>
        <v>141425.21697129789</v>
      </c>
      <c r="J143" s="2">
        <f t="shared" si="322"/>
        <v>129339.11225753972</v>
      </c>
      <c r="K143" s="2">
        <f t="shared" si="323"/>
        <v>130962.25038518279</v>
      </c>
      <c r="W143" s="1">
        <f t="shared" si="297"/>
        <v>125</v>
      </c>
      <c r="X143" s="2">
        <f t="shared" si="274"/>
        <v>137454.94549944127</v>
      </c>
      <c r="Y143" s="8">
        <f t="shared" si="310"/>
        <v>3.9100000000000003E-2</v>
      </c>
      <c r="Z143" s="5">
        <f t="shared" si="298"/>
        <v>1455</v>
      </c>
      <c r="AA143" s="2">
        <f t="shared" si="299"/>
        <v>145354.5</v>
      </c>
      <c r="AB143" s="2">
        <f t="shared" si="207"/>
        <v>145500</v>
      </c>
      <c r="AC143" s="2">
        <f t="shared" si="300"/>
        <v>151902</v>
      </c>
      <c r="AD143" s="8">
        <f t="shared" si="275"/>
        <v>4.3999999999999997E-2</v>
      </c>
      <c r="AE143" s="2">
        <f t="shared" si="179"/>
        <v>154686.87</v>
      </c>
      <c r="AF143" s="2" t="str">
        <f t="shared" si="276"/>
        <v>nie</v>
      </c>
      <c r="AG143" s="2">
        <f t="shared" si="277"/>
        <v>1455</v>
      </c>
      <c r="AH143" s="1">
        <f t="shared" si="233"/>
        <v>1</v>
      </c>
      <c r="AI143" s="1">
        <f t="shared" si="324"/>
        <v>1</v>
      </c>
      <c r="AJ143" s="1">
        <f t="shared" si="308"/>
        <v>1</v>
      </c>
      <c r="AK143" s="1">
        <f t="shared" si="319"/>
        <v>0</v>
      </c>
      <c r="AL143" s="2">
        <f t="shared" si="243"/>
        <v>100</v>
      </c>
      <c r="AM143" s="8">
        <f t="shared" si="313"/>
        <v>4.3999999999999997E-2</v>
      </c>
      <c r="AN143" s="2">
        <f t="shared" si="244"/>
        <v>101.83333333333333</v>
      </c>
      <c r="AO143" s="2">
        <f t="shared" si="314"/>
        <v>1</v>
      </c>
      <c r="AP143" s="2">
        <f t="shared" si="272"/>
        <v>200</v>
      </c>
      <c r="AQ143" s="8">
        <f t="shared" si="325"/>
        <v>3.9100000000000003E-2</v>
      </c>
      <c r="AR143" s="2">
        <f t="shared" si="267"/>
        <v>203.25833333333333</v>
      </c>
      <c r="AS143" s="2">
        <f t="shared" si="326"/>
        <v>2</v>
      </c>
      <c r="AT143" s="2">
        <f t="shared" si="209"/>
        <v>0</v>
      </c>
      <c r="AU143" s="2">
        <f t="shared" si="245"/>
        <v>0</v>
      </c>
      <c r="AV143" s="2">
        <f t="shared" si="236"/>
        <v>17.538429919985361</v>
      </c>
      <c r="AW143" s="1">
        <f t="shared" si="311"/>
        <v>0</v>
      </c>
      <c r="AX143" s="2">
        <f t="shared" si="278"/>
        <v>17.538429919985361</v>
      </c>
      <c r="AY143" s="1">
        <f t="shared" si="237"/>
        <v>0</v>
      </c>
      <c r="AZ143" s="2">
        <f t="shared" si="210"/>
        <v>17.538429919985361</v>
      </c>
      <c r="BA143" s="2">
        <f t="shared" si="246"/>
        <v>155009.50009658665</v>
      </c>
      <c r="BB143" s="2">
        <f t="shared" si="279"/>
        <v>0</v>
      </c>
      <c r="BC143" s="2">
        <f t="shared" si="211"/>
        <v>1410.3988292275037</v>
      </c>
      <c r="BD143" s="2">
        <f t="shared" si="184"/>
        <v>153599.10126735913</v>
      </c>
      <c r="BE143" s="2">
        <f t="shared" si="212"/>
        <v>1458</v>
      </c>
      <c r="BF143" s="2">
        <f t="shared" si="185"/>
        <v>10174.785018351464</v>
      </c>
      <c r="BG143" s="2">
        <f t="shared" si="186"/>
        <v>141966.31624900768</v>
      </c>
      <c r="BI143" s="8">
        <f t="shared" si="315"/>
        <v>3.1E-2</v>
      </c>
      <c r="BJ143" s="5">
        <f t="shared" si="301"/>
        <v>1096</v>
      </c>
      <c r="BK143" s="2">
        <f t="shared" si="302"/>
        <v>109490.40000000001</v>
      </c>
      <c r="BL143" s="2">
        <f t="shared" si="303"/>
        <v>109600</v>
      </c>
      <c r="BM143" s="2">
        <f t="shared" si="280"/>
        <v>109600</v>
      </c>
      <c r="BN143" s="8">
        <f t="shared" si="281"/>
        <v>4.5999999999999999E-2</v>
      </c>
      <c r="BO143" s="2">
        <f t="shared" si="282"/>
        <v>111700.66666666666</v>
      </c>
      <c r="BP143" s="2" t="str">
        <f t="shared" si="283"/>
        <v>nie</v>
      </c>
      <c r="BQ143" s="2">
        <f t="shared" si="284"/>
        <v>2192</v>
      </c>
      <c r="BR143" s="1">
        <f t="shared" si="316"/>
        <v>176</v>
      </c>
      <c r="BS143" s="1">
        <f t="shared" si="327"/>
        <v>171</v>
      </c>
      <c r="BT143" s="1">
        <f t="shared" si="309"/>
        <v>22</v>
      </c>
      <c r="BU143" s="1">
        <f t="shared" si="320"/>
        <v>112</v>
      </c>
      <c r="BV143" s="2">
        <f t="shared" si="247"/>
        <v>17600</v>
      </c>
      <c r="BW143" s="8">
        <f t="shared" si="317"/>
        <v>4.7500000000000001E-2</v>
      </c>
      <c r="BX143" s="2">
        <f t="shared" si="248"/>
        <v>17948.333333333332</v>
      </c>
      <c r="BY143" s="2">
        <f t="shared" si="318"/>
        <v>348.33333333333212</v>
      </c>
      <c r="BZ143" s="2">
        <f t="shared" si="273"/>
        <v>30500</v>
      </c>
      <c r="CA143" s="8">
        <f t="shared" si="328"/>
        <v>4.5999999999999999E-2</v>
      </c>
      <c r="CB143" s="2">
        <f t="shared" si="249"/>
        <v>31084.583333333328</v>
      </c>
      <c r="CC143" s="2">
        <f t="shared" si="329"/>
        <v>610</v>
      </c>
      <c r="CD143" s="2">
        <f t="shared" si="285"/>
        <v>0</v>
      </c>
      <c r="CE143" s="2">
        <f t="shared" si="250"/>
        <v>0</v>
      </c>
      <c r="CF143" s="2">
        <f t="shared" si="251"/>
        <v>65.400000000041473</v>
      </c>
      <c r="CG143" s="1">
        <f t="shared" si="312"/>
        <v>0</v>
      </c>
      <c r="CH143" s="2">
        <f t="shared" si="286"/>
        <v>65.400000000041473</v>
      </c>
      <c r="CI143" s="1">
        <f t="shared" si="242"/>
        <v>0</v>
      </c>
      <c r="CJ143" s="2">
        <f t="shared" si="252"/>
        <v>65.400000000041473</v>
      </c>
      <c r="CK143" s="2">
        <f t="shared" si="253"/>
        <v>160798.98333333337</v>
      </c>
      <c r="CL143" s="2">
        <f t="shared" si="287"/>
        <v>0</v>
      </c>
      <c r="CM143" s="2">
        <f t="shared" si="216"/>
        <v>1439.9820900000004</v>
      </c>
      <c r="CN143" s="2">
        <f t="shared" si="288"/>
        <v>159359.00124333336</v>
      </c>
      <c r="CO143" s="2">
        <f t="shared" si="217"/>
        <v>3150.3333333333321</v>
      </c>
      <c r="CP143" s="2">
        <f t="shared" si="289"/>
        <v>10953.243500000004</v>
      </c>
      <c r="CQ143" s="2">
        <f t="shared" si="290"/>
        <v>145255.42441000001</v>
      </c>
      <c r="CS143" s="5">
        <f t="shared" si="304"/>
        <v>1650</v>
      </c>
      <c r="CT143" s="2">
        <f t="shared" si="305"/>
        <v>164835</v>
      </c>
      <c r="CU143" s="2">
        <f t="shared" si="306"/>
        <v>165000</v>
      </c>
      <c r="CV143" s="2">
        <f t="shared" si="307"/>
        <v>165000</v>
      </c>
      <c r="CW143" s="8">
        <f t="shared" si="291"/>
        <v>5.3499999999999999E-2</v>
      </c>
      <c r="CX143" s="2">
        <f t="shared" si="292"/>
        <v>168678.125</v>
      </c>
      <c r="CY143" s="2" t="str">
        <f t="shared" si="293"/>
        <v>nie</v>
      </c>
      <c r="CZ143" s="2">
        <f t="shared" si="222"/>
        <v>0</v>
      </c>
      <c r="DA143" s="2">
        <f t="shared" si="223"/>
        <v>3.6253774281067308</v>
      </c>
      <c r="DB143" s="2">
        <f t="shared" si="224"/>
        <v>168681.75037742811</v>
      </c>
      <c r="DC143" s="2">
        <f t="shared" si="294"/>
        <v>0</v>
      </c>
      <c r="DD143" s="2">
        <f t="shared" si="225"/>
        <v>1479.2536113260169</v>
      </c>
      <c r="DE143" s="2">
        <f t="shared" si="226"/>
        <v>167202.49676610209</v>
      </c>
      <c r="DF143" s="2">
        <f t="shared" si="295"/>
        <v>3678.125</v>
      </c>
      <c r="DG143" s="2">
        <f t="shared" si="296"/>
        <v>12350</v>
      </c>
      <c r="DH143" s="2">
        <f t="shared" si="227"/>
        <v>151174.37176610209</v>
      </c>
    </row>
    <row r="144" spans="2:112">
      <c r="B144" s="233"/>
      <c r="C144" s="1">
        <f t="shared" si="321"/>
        <v>107</v>
      </c>
      <c r="D144" s="2">
        <f t="shared" si="259"/>
        <v>144818.98288917897</v>
      </c>
      <c r="E144" s="2">
        <f t="shared" si="260"/>
        <v>135049.54644048511</v>
      </c>
      <c r="F144" s="2">
        <f t="shared" si="261"/>
        <v>149089.61769333336</v>
      </c>
      <c r="G144" s="2">
        <f t="shared" si="262"/>
        <v>137216.43661000003</v>
      </c>
      <c r="H144" s="2">
        <f t="shared" si="263"/>
        <v>155047.99687959795</v>
      </c>
      <c r="I144" s="2">
        <f t="shared" si="264"/>
        <v>141938.9381863446</v>
      </c>
      <c r="J144" s="2">
        <f t="shared" si="322"/>
        <v>129653.40630032553</v>
      </c>
      <c r="K144" s="2">
        <f t="shared" si="323"/>
        <v>131292.04971596596</v>
      </c>
      <c r="W144" s="1">
        <f t="shared" si="297"/>
        <v>126</v>
      </c>
      <c r="X144" s="2">
        <f t="shared" si="274"/>
        <v>137805.50932588987</v>
      </c>
      <c r="Y144" s="8">
        <f t="shared" si="310"/>
        <v>3.9100000000000003E-2</v>
      </c>
      <c r="Z144" s="5">
        <f t="shared" si="298"/>
        <v>1455</v>
      </c>
      <c r="AA144" s="2">
        <f t="shared" si="299"/>
        <v>145354.5</v>
      </c>
      <c r="AB144" s="2">
        <f t="shared" si="207"/>
        <v>145500</v>
      </c>
      <c r="AC144" s="2">
        <f t="shared" si="300"/>
        <v>151902</v>
      </c>
      <c r="AD144" s="8">
        <f t="shared" si="275"/>
        <v>4.3999999999999997E-2</v>
      </c>
      <c r="AE144" s="2">
        <f t="shared" si="179"/>
        <v>155243.84400000001</v>
      </c>
      <c r="AF144" s="2" t="str">
        <f t="shared" si="276"/>
        <v>nie</v>
      </c>
      <c r="AG144" s="2">
        <f t="shared" si="277"/>
        <v>1455</v>
      </c>
      <c r="AH144" s="1">
        <f t="shared" si="233"/>
        <v>1</v>
      </c>
      <c r="AI144" s="1">
        <f t="shared" si="324"/>
        <v>1</v>
      </c>
      <c r="AJ144" s="1">
        <f t="shared" si="308"/>
        <v>1</v>
      </c>
      <c r="AK144" s="1">
        <f t="shared" si="319"/>
        <v>0</v>
      </c>
      <c r="AL144" s="2">
        <f t="shared" si="243"/>
        <v>100</v>
      </c>
      <c r="AM144" s="8">
        <f t="shared" si="313"/>
        <v>4.3999999999999997E-2</v>
      </c>
      <c r="AN144" s="2">
        <f t="shared" si="244"/>
        <v>102.2</v>
      </c>
      <c r="AO144" s="2">
        <f t="shared" si="314"/>
        <v>1</v>
      </c>
      <c r="AP144" s="2">
        <f t="shared" si="272"/>
        <v>200</v>
      </c>
      <c r="AQ144" s="8">
        <f t="shared" si="325"/>
        <v>3.9100000000000003E-2</v>
      </c>
      <c r="AR144" s="2">
        <f t="shared" si="267"/>
        <v>203.91</v>
      </c>
      <c r="AS144" s="2">
        <f t="shared" si="326"/>
        <v>2</v>
      </c>
      <c r="AT144" s="2">
        <f t="shared" si="209"/>
        <v>0</v>
      </c>
      <c r="AU144" s="2">
        <f t="shared" si="245"/>
        <v>0</v>
      </c>
      <c r="AV144" s="2">
        <f t="shared" si="236"/>
        <v>17.538429919985361</v>
      </c>
      <c r="AW144" s="1">
        <f t="shared" si="311"/>
        <v>0</v>
      </c>
      <c r="AX144" s="2">
        <f t="shared" si="278"/>
        <v>17.538429919985361</v>
      </c>
      <c r="AY144" s="1">
        <f t="shared" si="237"/>
        <v>0</v>
      </c>
      <c r="AZ144" s="2">
        <f t="shared" si="210"/>
        <v>17.538429919985361</v>
      </c>
      <c r="BA144" s="2">
        <f t="shared" si="246"/>
        <v>155567.49242992001</v>
      </c>
      <c r="BB144" s="2">
        <f t="shared" si="279"/>
        <v>0</v>
      </c>
      <c r="BC144" s="2">
        <f t="shared" si="211"/>
        <v>1410.3988292275037</v>
      </c>
      <c r="BD144" s="2">
        <f t="shared" si="184"/>
        <v>154157.09360069249</v>
      </c>
      <c r="BE144" s="2">
        <f t="shared" si="212"/>
        <v>1458</v>
      </c>
      <c r="BF144" s="2">
        <f t="shared" si="185"/>
        <v>10280.803561684801</v>
      </c>
      <c r="BG144" s="2">
        <f t="shared" si="186"/>
        <v>142418.2900390077</v>
      </c>
      <c r="BI144" s="8">
        <f t="shared" si="315"/>
        <v>3.1E-2</v>
      </c>
      <c r="BJ144" s="5">
        <f t="shared" si="301"/>
        <v>1096</v>
      </c>
      <c r="BK144" s="2">
        <f t="shared" si="302"/>
        <v>109490.40000000001</v>
      </c>
      <c r="BL144" s="2">
        <f t="shared" si="303"/>
        <v>109600</v>
      </c>
      <c r="BM144" s="2">
        <f t="shared" si="280"/>
        <v>109600</v>
      </c>
      <c r="BN144" s="8">
        <f t="shared" si="281"/>
        <v>4.5999999999999999E-2</v>
      </c>
      <c r="BO144" s="2">
        <f t="shared" si="282"/>
        <v>112120.79999999999</v>
      </c>
      <c r="BP144" s="2" t="str">
        <f t="shared" si="283"/>
        <v>nie</v>
      </c>
      <c r="BQ144" s="2">
        <f t="shared" si="284"/>
        <v>2192</v>
      </c>
      <c r="BR144" s="1">
        <f t="shared" si="316"/>
        <v>176</v>
      </c>
      <c r="BS144" s="1">
        <f t="shared" si="327"/>
        <v>171</v>
      </c>
      <c r="BT144" s="1">
        <f t="shared" si="309"/>
        <v>22</v>
      </c>
      <c r="BU144" s="1">
        <f t="shared" si="320"/>
        <v>112</v>
      </c>
      <c r="BV144" s="2">
        <f t="shared" si="247"/>
        <v>17600</v>
      </c>
      <c r="BW144" s="8">
        <f t="shared" si="317"/>
        <v>4.7500000000000001E-2</v>
      </c>
      <c r="BX144" s="2">
        <f t="shared" si="248"/>
        <v>18018</v>
      </c>
      <c r="BY144" s="2">
        <f t="shared" si="318"/>
        <v>352</v>
      </c>
      <c r="BZ144" s="2">
        <f t="shared" si="273"/>
        <v>30500</v>
      </c>
      <c r="CA144" s="8">
        <f t="shared" si="328"/>
        <v>4.5999999999999999E-2</v>
      </c>
      <c r="CB144" s="2">
        <f t="shared" si="249"/>
        <v>31201.499999999996</v>
      </c>
      <c r="CC144" s="2">
        <f t="shared" si="329"/>
        <v>610</v>
      </c>
      <c r="CD144" s="2">
        <f t="shared" si="285"/>
        <v>0</v>
      </c>
      <c r="CE144" s="2">
        <f t="shared" si="250"/>
        <v>0</v>
      </c>
      <c r="CF144" s="2">
        <f t="shared" si="251"/>
        <v>65.400000000041473</v>
      </c>
      <c r="CG144" s="1">
        <f t="shared" si="312"/>
        <v>0</v>
      </c>
      <c r="CH144" s="2">
        <f t="shared" si="286"/>
        <v>65.400000000041473</v>
      </c>
      <c r="CI144" s="1">
        <f t="shared" si="242"/>
        <v>0</v>
      </c>
      <c r="CJ144" s="2">
        <f t="shared" si="252"/>
        <v>65.400000000041473</v>
      </c>
      <c r="CK144" s="2">
        <f t="shared" si="253"/>
        <v>161405.70000000004</v>
      </c>
      <c r="CL144" s="2">
        <f t="shared" si="287"/>
        <v>0</v>
      </c>
      <c r="CM144" s="2">
        <f t="shared" si="216"/>
        <v>1439.9820900000004</v>
      </c>
      <c r="CN144" s="2">
        <f t="shared" si="288"/>
        <v>159965.71791000004</v>
      </c>
      <c r="CO144" s="2">
        <f t="shared" si="217"/>
        <v>3154</v>
      </c>
      <c r="CP144" s="2">
        <f t="shared" si="289"/>
        <v>11067.823000000008</v>
      </c>
      <c r="CQ144" s="2">
        <f t="shared" si="290"/>
        <v>145743.89491000003</v>
      </c>
      <c r="CS144" s="5">
        <f t="shared" si="304"/>
        <v>1650</v>
      </c>
      <c r="CT144" s="2">
        <f t="shared" si="305"/>
        <v>164835</v>
      </c>
      <c r="CU144" s="2">
        <f t="shared" si="306"/>
        <v>165000</v>
      </c>
      <c r="CV144" s="2">
        <f t="shared" si="307"/>
        <v>165000</v>
      </c>
      <c r="CW144" s="8">
        <f t="shared" si="291"/>
        <v>5.3499999999999999E-2</v>
      </c>
      <c r="CX144" s="2">
        <f t="shared" si="292"/>
        <v>169413.75</v>
      </c>
      <c r="CY144" s="2" t="str">
        <f t="shared" si="293"/>
        <v>nie</v>
      </c>
      <c r="CZ144" s="2">
        <f t="shared" si="222"/>
        <v>0</v>
      </c>
      <c r="DA144" s="2">
        <f t="shared" si="223"/>
        <v>3.6253774281067308</v>
      </c>
      <c r="DB144" s="2">
        <f t="shared" si="224"/>
        <v>169417.37537742811</v>
      </c>
      <c r="DC144" s="2">
        <f t="shared" si="294"/>
        <v>0</v>
      </c>
      <c r="DD144" s="2">
        <f t="shared" si="225"/>
        <v>1479.2536113260169</v>
      </c>
      <c r="DE144" s="2">
        <f t="shared" si="226"/>
        <v>167938.12176610209</v>
      </c>
      <c r="DF144" s="2">
        <f t="shared" si="295"/>
        <v>4413.75</v>
      </c>
      <c r="DG144" s="2">
        <f t="shared" si="296"/>
        <v>12350</v>
      </c>
      <c r="DH144" s="2">
        <f t="shared" si="227"/>
        <v>151174.37176610209</v>
      </c>
    </row>
    <row r="145" spans="2:112">
      <c r="B145" s="231">
        <f>ROUNDUP(C146/12,0)</f>
        <v>10</v>
      </c>
      <c r="C145" s="3">
        <f t="shared" si="321"/>
        <v>108</v>
      </c>
      <c r="D145" s="10">
        <f t="shared" si="259"/>
        <v>144501.63913912239</v>
      </c>
      <c r="E145" s="10">
        <f t="shared" si="260"/>
        <v>135804.84363743759</v>
      </c>
      <c r="F145" s="10">
        <f t="shared" si="261"/>
        <v>149504.42271000001</v>
      </c>
      <c r="G145" s="10">
        <f t="shared" si="262"/>
        <v>137523.77921000001</v>
      </c>
      <c r="H145" s="10">
        <f t="shared" si="263"/>
        <v>155525.38080608577</v>
      </c>
      <c r="I145" s="10">
        <f t="shared" si="264"/>
        <v>142295.81960559924</v>
      </c>
      <c r="J145" s="10">
        <f t="shared" si="322"/>
        <v>129968.4640776353</v>
      </c>
      <c r="K145" s="10">
        <f t="shared" si="323"/>
        <v>131621.84904674906</v>
      </c>
      <c r="W145" s="1">
        <f t="shared" si="297"/>
        <v>127</v>
      </c>
      <c r="X145" s="2">
        <f t="shared" si="274"/>
        <v>138156.07315233842</v>
      </c>
      <c r="Y145" s="8">
        <f t="shared" si="310"/>
        <v>3.9100000000000003E-2</v>
      </c>
      <c r="Z145" s="5">
        <f t="shared" si="298"/>
        <v>1455</v>
      </c>
      <c r="AA145" s="2">
        <f t="shared" si="299"/>
        <v>145354.5</v>
      </c>
      <c r="AB145" s="2">
        <f t="shared" si="207"/>
        <v>145500</v>
      </c>
      <c r="AC145" s="2">
        <f t="shared" si="300"/>
        <v>151902</v>
      </c>
      <c r="AD145" s="8">
        <f t="shared" si="275"/>
        <v>4.3999999999999997E-2</v>
      </c>
      <c r="AE145" s="2">
        <f t="shared" si="179"/>
        <v>155800.818</v>
      </c>
      <c r="AF145" s="2" t="str">
        <f t="shared" si="276"/>
        <v>nie</v>
      </c>
      <c r="AG145" s="2">
        <f t="shared" si="277"/>
        <v>1455</v>
      </c>
      <c r="AH145" s="1">
        <f t="shared" si="233"/>
        <v>1</v>
      </c>
      <c r="AI145" s="1">
        <f t="shared" si="324"/>
        <v>1</v>
      </c>
      <c r="AJ145" s="1">
        <f t="shared" si="308"/>
        <v>1</v>
      </c>
      <c r="AK145" s="1">
        <f t="shared" si="319"/>
        <v>0</v>
      </c>
      <c r="AL145" s="2">
        <f t="shared" si="243"/>
        <v>100</v>
      </c>
      <c r="AM145" s="8">
        <f t="shared" si="313"/>
        <v>4.3999999999999997E-2</v>
      </c>
      <c r="AN145" s="2">
        <f t="shared" si="244"/>
        <v>102.56666666666668</v>
      </c>
      <c r="AO145" s="2">
        <f t="shared" si="314"/>
        <v>1</v>
      </c>
      <c r="AP145" s="2">
        <f t="shared" si="272"/>
        <v>200</v>
      </c>
      <c r="AQ145" s="8">
        <f t="shared" si="325"/>
        <v>3.9100000000000003E-2</v>
      </c>
      <c r="AR145" s="2">
        <f t="shared" si="267"/>
        <v>204.56166666666667</v>
      </c>
      <c r="AS145" s="2">
        <f t="shared" si="326"/>
        <v>2</v>
      </c>
      <c r="AT145" s="2">
        <f t="shared" si="209"/>
        <v>0</v>
      </c>
      <c r="AU145" s="2">
        <f t="shared" si="245"/>
        <v>0</v>
      </c>
      <c r="AV145" s="2">
        <f t="shared" si="236"/>
        <v>17.538429919985361</v>
      </c>
      <c r="AW145" s="1">
        <f t="shared" si="311"/>
        <v>0</v>
      </c>
      <c r="AX145" s="2">
        <f t="shared" si="278"/>
        <v>17.538429919985361</v>
      </c>
      <c r="AY145" s="1">
        <f t="shared" si="237"/>
        <v>0</v>
      </c>
      <c r="AZ145" s="2">
        <f t="shared" si="210"/>
        <v>17.538429919985361</v>
      </c>
      <c r="BA145" s="2">
        <f t="shared" si="246"/>
        <v>156125.48476325333</v>
      </c>
      <c r="BB145" s="2">
        <f t="shared" si="279"/>
        <v>0</v>
      </c>
      <c r="BC145" s="2">
        <f t="shared" si="211"/>
        <v>1410.3988292275037</v>
      </c>
      <c r="BD145" s="2">
        <f t="shared" si="184"/>
        <v>154715.08593402582</v>
      </c>
      <c r="BE145" s="2">
        <f t="shared" si="212"/>
        <v>1458</v>
      </c>
      <c r="BF145" s="2">
        <f t="shared" si="185"/>
        <v>10386.822105018135</v>
      </c>
      <c r="BG145" s="2">
        <f t="shared" si="186"/>
        <v>142870.26382900769</v>
      </c>
      <c r="BI145" s="8">
        <f t="shared" si="315"/>
        <v>3.1E-2</v>
      </c>
      <c r="BJ145" s="5">
        <f t="shared" si="301"/>
        <v>1096</v>
      </c>
      <c r="BK145" s="2">
        <f t="shared" si="302"/>
        <v>109490.40000000001</v>
      </c>
      <c r="BL145" s="2">
        <f t="shared" si="303"/>
        <v>109600</v>
      </c>
      <c r="BM145" s="2">
        <f t="shared" si="280"/>
        <v>109600</v>
      </c>
      <c r="BN145" s="8">
        <f t="shared" si="281"/>
        <v>4.5999999999999999E-2</v>
      </c>
      <c r="BO145" s="2">
        <f t="shared" si="282"/>
        <v>112540.93333333332</v>
      </c>
      <c r="BP145" s="2" t="str">
        <f t="shared" si="283"/>
        <v>nie</v>
      </c>
      <c r="BQ145" s="2">
        <f t="shared" si="284"/>
        <v>2192</v>
      </c>
      <c r="BR145" s="1">
        <f t="shared" si="316"/>
        <v>176</v>
      </c>
      <c r="BS145" s="1">
        <f t="shared" si="327"/>
        <v>171</v>
      </c>
      <c r="BT145" s="1">
        <f t="shared" si="309"/>
        <v>22</v>
      </c>
      <c r="BU145" s="1">
        <f t="shared" si="320"/>
        <v>112</v>
      </c>
      <c r="BV145" s="2">
        <f t="shared" si="247"/>
        <v>17600</v>
      </c>
      <c r="BW145" s="8">
        <f t="shared" si="317"/>
        <v>4.7500000000000001E-2</v>
      </c>
      <c r="BX145" s="2">
        <f t="shared" si="248"/>
        <v>18087.666666666668</v>
      </c>
      <c r="BY145" s="2">
        <f t="shared" si="318"/>
        <v>352</v>
      </c>
      <c r="BZ145" s="2">
        <f t="shared" si="273"/>
        <v>30500</v>
      </c>
      <c r="CA145" s="8">
        <f t="shared" si="328"/>
        <v>4.5999999999999999E-2</v>
      </c>
      <c r="CB145" s="2">
        <f t="shared" si="249"/>
        <v>31318.416666666664</v>
      </c>
      <c r="CC145" s="2">
        <f t="shared" si="329"/>
        <v>610</v>
      </c>
      <c r="CD145" s="2">
        <f t="shared" si="285"/>
        <v>0</v>
      </c>
      <c r="CE145" s="2">
        <f t="shared" si="250"/>
        <v>0</v>
      </c>
      <c r="CF145" s="2">
        <f t="shared" si="251"/>
        <v>65.400000000041473</v>
      </c>
      <c r="CG145" s="1">
        <f t="shared" si="312"/>
        <v>0</v>
      </c>
      <c r="CH145" s="2">
        <f t="shared" si="286"/>
        <v>65.400000000041473</v>
      </c>
      <c r="CI145" s="1">
        <f t="shared" si="242"/>
        <v>0</v>
      </c>
      <c r="CJ145" s="2">
        <f t="shared" si="252"/>
        <v>65.400000000041473</v>
      </c>
      <c r="CK145" s="2">
        <f t="shared" si="253"/>
        <v>162012.41666666672</v>
      </c>
      <c r="CL145" s="2">
        <f t="shared" si="287"/>
        <v>0</v>
      </c>
      <c r="CM145" s="2">
        <f t="shared" si="216"/>
        <v>1439.9820900000004</v>
      </c>
      <c r="CN145" s="2">
        <f t="shared" si="288"/>
        <v>160572.43457666671</v>
      </c>
      <c r="CO145" s="2">
        <f t="shared" si="217"/>
        <v>3154</v>
      </c>
      <c r="CP145" s="2">
        <f t="shared" si="289"/>
        <v>11183.099166666676</v>
      </c>
      <c r="CQ145" s="2">
        <f t="shared" si="290"/>
        <v>146235.33541000003</v>
      </c>
      <c r="CS145" s="5">
        <f t="shared" si="304"/>
        <v>1650</v>
      </c>
      <c r="CT145" s="2">
        <f t="shared" si="305"/>
        <v>164835</v>
      </c>
      <c r="CU145" s="2">
        <f t="shared" si="306"/>
        <v>165000</v>
      </c>
      <c r="CV145" s="2">
        <f t="shared" si="307"/>
        <v>165000</v>
      </c>
      <c r="CW145" s="8">
        <f t="shared" si="291"/>
        <v>5.3499999999999999E-2</v>
      </c>
      <c r="CX145" s="2">
        <f t="shared" si="292"/>
        <v>170149.375</v>
      </c>
      <c r="CY145" s="2" t="str">
        <f t="shared" si="293"/>
        <v>nie</v>
      </c>
      <c r="CZ145" s="2">
        <f t="shared" si="222"/>
        <v>0</v>
      </c>
      <c r="DA145" s="2">
        <f t="shared" si="223"/>
        <v>3.6253774281067308</v>
      </c>
      <c r="DB145" s="2">
        <f t="shared" si="224"/>
        <v>170153.00037742811</v>
      </c>
      <c r="DC145" s="2">
        <f t="shared" si="294"/>
        <v>0</v>
      </c>
      <c r="DD145" s="2">
        <f t="shared" si="225"/>
        <v>1479.2536113260169</v>
      </c>
      <c r="DE145" s="2">
        <f t="shared" si="226"/>
        <v>168673.74676610209</v>
      </c>
      <c r="DF145" s="2">
        <f t="shared" si="295"/>
        <v>4950</v>
      </c>
      <c r="DG145" s="2">
        <f t="shared" si="296"/>
        <v>12387.88125</v>
      </c>
      <c r="DH145" s="2">
        <f t="shared" si="227"/>
        <v>151335.86551610209</v>
      </c>
    </row>
    <row r="146" spans="2:112">
      <c r="B146" s="232"/>
      <c r="C146" s="1">
        <f t="shared" si="321"/>
        <v>109</v>
      </c>
      <c r="D146" s="2">
        <f t="shared" si="259"/>
        <v>145081.65747245573</v>
      </c>
      <c r="E146" s="2">
        <f t="shared" si="260"/>
        <v>135843.03648743761</v>
      </c>
      <c r="F146" s="2">
        <f t="shared" si="261"/>
        <v>150094.54354333336</v>
      </c>
      <c r="G146" s="2">
        <f t="shared" si="262"/>
        <v>138113.81021000003</v>
      </c>
      <c r="H146" s="2">
        <f t="shared" si="263"/>
        <v>156191.94993820193</v>
      </c>
      <c r="I146" s="2">
        <f t="shared" si="264"/>
        <v>142835.74060261334</v>
      </c>
      <c r="J146" s="2">
        <f t="shared" si="322"/>
        <v>130284.28744534394</v>
      </c>
      <c r="K146" s="2">
        <f t="shared" si="323"/>
        <v>131961.8721567865</v>
      </c>
      <c r="W146" s="1">
        <f t="shared" si="297"/>
        <v>128</v>
      </c>
      <c r="X146" s="2">
        <f t="shared" si="274"/>
        <v>138506.63697878702</v>
      </c>
      <c r="Y146" s="8">
        <f t="shared" si="310"/>
        <v>3.9100000000000003E-2</v>
      </c>
      <c r="Z146" s="5">
        <f t="shared" si="298"/>
        <v>1455</v>
      </c>
      <c r="AA146" s="2">
        <f t="shared" si="299"/>
        <v>145354.5</v>
      </c>
      <c r="AB146" s="2">
        <f t="shared" si="207"/>
        <v>145500</v>
      </c>
      <c r="AC146" s="2">
        <f t="shared" si="300"/>
        <v>151902</v>
      </c>
      <c r="AD146" s="8">
        <f t="shared" si="275"/>
        <v>4.3999999999999997E-2</v>
      </c>
      <c r="AE146" s="2">
        <f t="shared" si="179"/>
        <v>156357.79200000002</v>
      </c>
      <c r="AF146" s="2" t="str">
        <f t="shared" si="276"/>
        <v>nie</v>
      </c>
      <c r="AG146" s="2">
        <f t="shared" si="277"/>
        <v>1455</v>
      </c>
      <c r="AH146" s="1">
        <f t="shared" si="233"/>
        <v>1</v>
      </c>
      <c r="AI146" s="1">
        <f t="shared" si="324"/>
        <v>1</v>
      </c>
      <c r="AJ146" s="1">
        <f t="shared" si="308"/>
        <v>1</v>
      </c>
      <c r="AK146" s="1">
        <f t="shared" si="319"/>
        <v>0</v>
      </c>
      <c r="AL146" s="2">
        <f t="shared" si="243"/>
        <v>100</v>
      </c>
      <c r="AM146" s="8">
        <f t="shared" si="313"/>
        <v>4.3999999999999997E-2</v>
      </c>
      <c r="AN146" s="2">
        <f t="shared" si="244"/>
        <v>102.93333333333334</v>
      </c>
      <c r="AO146" s="2">
        <f t="shared" si="314"/>
        <v>1</v>
      </c>
      <c r="AP146" s="2">
        <f t="shared" si="272"/>
        <v>200</v>
      </c>
      <c r="AQ146" s="8">
        <f t="shared" si="325"/>
        <v>3.9100000000000003E-2</v>
      </c>
      <c r="AR146" s="2">
        <f t="shared" si="267"/>
        <v>205.21333333333334</v>
      </c>
      <c r="AS146" s="2">
        <f t="shared" si="326"/>
        <v>2</v>
      </c>
      <c r="AT146" s="2">
        <f t="shared" si="209"/>
        <v>0</v>
      </c>
      <c r="AU146" s="2">
        <f t="shared" si="245"/>
        <v>0</v>
      </c>
      <c r="AV146" s="2">
        <f t="shared" si="236"/>
        <v>17.538429919985361</v>
      </c>
      <c r="AW146" s="1">
        <f t="shared" si="311"/>
        <v>0</v>
      </c>
      <c r="AX146" s="2">
        <f t="shared" si="278"/>
        <v>17.538429919985361</v>
      </c>
      <c r="AY146" s="1">
        <f t="shared" si="237"/>
        <v>0</v>
      </c>
      <c r="AZ146" s="2">
        <f t="shared" si="210"/>
        <v>17.538429919985361</v>
      </c>
      <c r="BA146" s="2">
        <f t="shared" si="246"/>
        <v>156683.47709658666</v>
      </c>
      <c r="BB146" s="2">
        <f t="shared" si="279"/>
        <v>0</v>
      </c>
      <c r="BC146" s="2">
        <f t="shared" si="211"/>
        <v>1410.3988292275037</v>
      </c>
      <c r="BD146" s="2">
        <f t="shared" si="184"/>
        <v>155273.07826735915</v>
      </c>
      <c r="BE146" s="2">
        <f t="shared" si="212"/>
        <v>1458</v>
      </c>
      <c r="BF146" s="2">
        <f t="shared" si="185"/>
        <v>10492.840648351466</v>
      </c>
      <c r="BG146" s="2">
        <f t="shared" si="186"/>
        <v>143322.23761900768</v>
      </c>
      <c r="BI146" s="8">
        <f t="shared" si="315"/>
        <v>3.1E-2</v>
      </c>
      <c r="BJ146" s="5">
        <f t="shared" si="301"/>
        <v>1096</v>
      </c>
      <c r="BK146" s="2">
        <f t="shared" si="302"/>
        <v>109490.40000000001</v>
      </c>
      <c r="BL146" s="2">
        <f t="shared" si="303"/>
        <v>109600</v>
      </c>
      <c r="BM146" s="2">
        <f t="shared" si="280"/>
        <v>109600</v>
      </c>
      <c r="BN146" s="8">
        <f t="shared" si="281"/>
        <v>4.5999999999999999E-2</v>
      </c>
      <c r="BO146" s="2">
        <f t="shared" si="282"/>
        <v>112961.06666666667</v>
      </c>
      <c r="BP146" s="2" t="str">
        <f t="shared" si="283"/>
        <v>nie</v>
      </c>
      <c r="BQ146" s="2">
        <f t="shared" si="284"/>
        <v>2192</v>
      </c>
      <c r="BR146" s="1">
        <f t="shared" si="316"/>
        <v>176</v>
      </c>
      <c r="BS146" s="1">
        <f t="shared" si="327"/>
        <v>171</v>
      </c>
      <c r="BT146" s="1">
        <f t="shared" si="309"/>
        <v>22</v>
      </c>
      <c r="BU146" s="1">
        <f t="shared" si="320"/>
        <v>112</v>
      </c>
      <c r="BV146" s="2">
        <f t="shared" si="247"/>
        <v>17600</v>
      </c>
      <c r="BW146" s="8">
        <f t="shared" si="317"/>
        <v>4.7500000000000001E-2</v>
      </c>
      <c r="BX146" s="2">
        <f t="shared" si="248"/>
        <v>18157.333333333336</v>
      </c>
      <c r="BY146" s="2">
        <f t="shared" si="318"/>
        <v>352</v>
      </c>
      <c r="BZ146" s="2">
        <f t="shared" si="273"/>
        <v>30500</v>
      </c>
      <c r="CA146" s="8">
        <f t="shared" si="328"/>
        <v>4.5999999999999999E-2</v>
      </c>
      <c r="CB146" s="2">
        <f t="shared" si="249"/>
        <v>31435.333333333332</v>
      </c>
      <c r="CC146" s="2">
        <f t="shared" si="329"/>
        <v>610</v>
      </c>
      <c r="CD146" s="2">
        <f t="shared" si="285"/>
        <v>0</v>
      </c>
      <c r="CE146" s="2">
        <f t="shared" si="250"/>
        <v>0</v>
      </c>
      <c r="CF146" s="2">
        <f t="shared" si="251"/>
        <v>65.400000000041473</v>
      </c>
      <c r="CG146" s="1">
        <f t="shared" si="312"/>
        <v>0</v>
      </c>
      <c r="CH146" s="2">
        <f t="shared" si="286"/>
        <v>65.400000000041473</v>
      </c>
      <c r="CI146" s="1">
        <f t="shared" si="242"/>
        <v>0</v>
      </c>
      <c r="CJ146" s="2">
        <f t="shared" si="252"/>
        <v>65.400000000041473</v>
      </c>
      <c r="CK146" s="2">
        <f t="shared" si="253"/>
        <v>162619.13333333339</v>
      </c>
      <c r="CL146" s="2">
        <f t="shared" si="287"/>
        <v>0</v>
      </c>
      <c r="CM146" s="2">
        <f t="shared" si="216"/>
        <v>1439.9820900000004</v>
      </c>
      <c r="CN146" s="2">
        <f t="shared" si="288"/>
        <v>161179.15124333338</v>
      </c>
      <c r="CO146" s="2">
        <f t="shared" si="217"/>
        <v>3154</v>
      </c>
      <c r="CP146" s="2">
        <f t="shared" si="289"/>
        <v>11298.375333333344</v>
      </c>
      <c r="CQ146" s="2">
        <f t="shared" si="290"/>
        <v>146726.77591000003</v>
      </c>
      <c r="CS146" s="5">
        <f t="shared" si="304"/>
        <v>1650</v>
      </c>
      <c r="CT146" s="2">
        <f t="shared" si="305"/>
        <v>164835</v>
      </c>
      <c r="CU146" s="2">
        <f t="shared" si="306"/>
        <v>165000</v>
      </c>
      <c r="CV146" s="2">
        <f t="shared" si="307"/>
        <v>165000</v>
      </c>
      <c r="CW146" s="8">
        <f t="shared" si="291"/>
        <v>5.3499999999999999E-2</v>
      </c>
      <c r="CX146" s="2">
        <f t="shared" si="292"/>
        <v>170885</v>
      </c>
      <c r="CY146" s="2" t="str">
        <f t="shared" si="293"/>
        <v>nie</v>
      </c>
      <c r="CZ146" s="2">
        <f t="shared" si="222"/>
        <v>0</v>
      </c>
      <c r="DA146" s="2">
        <f t="shared" si="223"/>
        <v>3.6253774281067308</v>
      </c>
      <c r="DB146" s="2">
        <f t="shared" si="224"/>
        <v>170888.62537742811</v>
      </c>
      <c r="DC146" s="2">
        <f t="shared" si="294"/>
        <v>0</v>
      </c>
      <c r="DD146" s="2">
        <f t="shared" si="225"/>
        <v>1479.2536113260169</v>
      </c>
      <c r="DE146" s="2">
        <f t="shared" si="226"/>
        <v>169409.37176610209</v>
      </c>
      <c r="DF146" s="2">
        <f t="shared" si="295"/>
        <v>4950</v>
      </c>
      <c r="DG146" s="2">
        <f t="shared" si="296"/>
        <v>12527.65</v>
      </c>
      <c r="DH146" s="2">
        <f t="shared" si="227"/>
        <v>151931.7217661021</v>
      </c>
    </row>
    <row r="147" spans="2:112">
      <c r="B147" s="232"/>
      <c r="C147" s="1">
        <f t="shared" si="321"/>
        <v>110</v>
      </c>
      <c r="D147" s="2">
        <f t="shared" si="259"/>
        <v>145616.17580578907</v>
      </c>
      <c r="E147" s="2">
        <f t="shared" si="260"/>
        <v>135843.56433743759</v>
      </c>
      <c r="F147" s="2">
        <f t="shared" si="261"/>
        <v>150674.36437666669</v>
      </c>
      <c r="G147" s="2">
        <f t="shared" si="262"/>
        <v>138528.63821</v>
      </c>
      <c r="H147" s="2">
        <f t="shared" si="263"/>
        <v>156858.51907031806</v>
      </c>
      <c r="I147" s="2">
        <f t="shared" si="264"/>
        <v>143375.6615996274</v>
      </c>
      <c r="J147" s="2">
        <f t="shared" si="322"/>
        <v>130600.87826383612</v>
      </c>
      <c r="K147" s="2">
        <f t="shared" si="323"/>
        <v>132301.89526682394</v>
      </c>
      <c r="W147" s="1">
        <f t="shared" si="297"/>
        <v>129</v>
      </c>
      <c r="X147" s="2">
        <f t="shared" ref="X147:X162" si="330">zakup_domyslny_wartosc*IFERROR((INDEX(scenariusz_I_inflacja_skumulowana,MATCH(ROUNDDOWN(W147/12,0),scenariusz_I_rok,0))+1),1)
*(1+MOD(W147,12)*INDEX(scenariusz_I_inflacja,MATCH(ROUNDUP(W147/12,0),scenariusz_I_rok,0))/12)</f>
        <v>138857.20080523563</v>
      </c>
      <c r="Y147" s="8">
        <f t="shared" si="310"/>
        <v>3.9100000000000003E-2</v>
      </c>
      <c r="Z147" s="5">
        <f t="shared" si="298"/>
        <v>1455</v>
      </c>
      <c r="AA147" s="2">
        <f t="shared" si="299"/>
        <v>145354.5</v>
      </c>
      <c r="AB147" s="2">
        <f t="shared" si="207"/>
        <v>145500</v>
      </c>
      <c r="AC147" s="2">
        <f t="shared" si="300"/>
        <v>151902</v>
      </c>
      <c r="AD147" s="8">
        <f t="shared" ref="AD147:AD162" si="331">IF(AND(MOD($W147,zapadalnosc_TOS)&lt;=zmiana_oprocentowania_co_ile_mc_TOS,MOD($W147,zapadalnosc_TOS)&lt;&gt;0),proc_I_okres_TOS,(marza_TOS+$Y147))</f>
        <v>4.3999999999999997E-2</v>
      </c>
      <c r="AE147" s="2">
        <f t="shared" ref="AE147:AE162" si="332">AC147*(1+AD147*IF(MOD($W147,12)&lt;&gt;0,MOD($W147,12),12)/12)</f>
        <v>156914.76599999997</v>
      </c>
      <c r="AF147" s="2" t="str">
        <f t="shared" ref="AF147:AF162" si="333">IF(MOD($W147,zapadalnosc_TOS)=0,"tak","nie")</f>
        <v>nie</v>
      </c>
      <c r="AG147" s="2">
        <f t="shared" ref="AG147:AG162" si="334">IF(MOD($W147,zapadalnosc_TOS)=0,0,
IF(AND(MOD($W147,zapadalnosc_TOS)&lt;zapadalnosc_TOS,MOD($W147,zapadalnosc_TOS)&lt;=koszt_wczesniejszy_wykup_ochrona_TOS),
MIN(AE147-AB147,Z147*koszt_wczesniejszy_wykup_TOS),Z147*koszt_wczesniejszy_wykup_TOS))</f>
        <v>1455</v>
      </c>
      <c r="AH147" s="1">
        <f t="shared" si="233"/>
        <v>1</v>
      </c>
      <c r="AI147" s="1">
        <f t="shared" si="324"/>
        <v>1</v>
      </c>
      <c r="AJ147" s="1">
        <f t="shared" si="308"/>
        <v>1</v>
      </c>
      <c r="AK147" s="1">
        <f t="shared" si="319"/>
        <v>0</v>
      </c>
      <c r="AL147" s="2">
        <f t="shared" si="243"/>
        <v>100</v>
      </c>
      <c r="AM147" s="8">
        <f t="shared" si="313"/>
        <v>4.3999999999999997E-2</v>
      </c>
      <c r="AN147" s="2">
        <f t="shared" si="244"/>
        <v>103.3</v>
      </c>
      <c r="AO147" s="2">
        <f t="shared" si="314"/>
        <v>1</v>
      </c>
      <c r="AP147" s="2">
        <f t="shared" si="272"/>
        <v>200</v>
      </c>
      <c r="AQ147" s="8">
        <f t="shared" si="325"/>
        <v>3.9100000000000003E-2</v>
      </c>
      <c r="AR147" s="2">
        <f t="shared" si="267"/>
        <v>205.86500000000001</v>
      </c>
      <c r="AS147" s="2">
        <f t="shared" si="326"/>
        <v>2</v>
      </c>
      <c r="AT147" s="2">
        <f t="shared" si="209"/>
        <v>0</v>
      </c>
      <c r="AU147" s="2">
        <f t="shared" si="245"/>
        <v>0</v>
      </c>
      <c r="AV147" s="2">
        <f t="shared" si="236"/>
        <v>17.538429919985361</v>
      </c>
      <c r="AW147" s="1">
        <f t="shared" si="311"/>
        <v>0</v>
      </c>
      <c r="AX147" s="2">
        <f t="shared" ref="AX147:AX162" si="335">AV147-AW147*zamiana_TOS</f>
        <v>17.538429919985361</v>
      </c>
      <c r="AY147" s="1">
        <f t="shared" si="237"/>
        <v>0</v>
      </c>
      <c r="AZ147" s="2">
        <f t="shared" si="210"/>
        <v>17.538429919985361</v>
      </c>
      <c r="BA147" s="2">
        <f t="shared" si="246"/>
        <v>157241.46942991993</v>
      </c>
      <c r="BB147" s="2">
        <f t="shared" ref="BB147:BB162" si="336">MIN(IF(MOD($W147,12)=0,INDEX(IKE_oplata_wskaznik,MATCH(ROUNDUP($W147/12,0),IKE_oplata_rok,0)),0)*BA147,200)</f>
        <v>0</v>
      </c>
      <c r="BC147" s="2">
        <f t="shared" si="211"/>
        <v>1410.3988292275037</v>
      </c>
      <c r="BD147" s="2">
        <f t="shared" ref="BD147:BD162" si="337">BA147-BC147</f>
        <v>155831.07060069242</v>
      </c>
      <c r="BE147" s="2">
        <f t="shared" si="212"/>
        <v>1458</v>
      </c>
      <c r="BF147" s="2">
        <f t="shared" ref="BF147:BF162" si="338">(BA147-BE147-zakup_domyslny_wartosc)*podatek_Belki</f>
        <v>10598.859191684787</v>
      </c>
      <c r="BG147" s="2">
        <f t="shared" ref="BG147:BG162" si="339">BA147-BC147-BE147-BF147</f>
        <v>143774.21140900764</v>
      </c>
      <c r="BI147" s="8">
        <f t="shared" si="315"/>
        <v>3.1E-2</v>
      </c>
      <c r="BJ147" s="5">
        <f t="shared" si="301"/>
        <v>1096</v>
      </c>
      <c r="BK147" s="2">
        <f t="shared" si="302"/>
        <v>109490.40000000001</v>
      </c>
      <c r="BL147" s="2">
        <f t="shared" si="303"/>
        <v>109600</v>
      </c>
      <c r="BM147" s="2">
        <f t="shared" ref="BM147:BM162" si="340">BL147</f>
        <v>109600</v>
      </c>
      <c r="BN147" s="8">
        <f t="shared" ref="BN147:BN162" si="341">IF(AND(MOD($W147,zapadalnosc_COI)&lt;=zmiana_oprocentowania_co_ile_mc_COI,MOD($W147,zapadalnosc_COI)&lt;&gt;0),proc_I_okres_COI,(marza_COI+$BI147))</f>
        <v>4.5999999999999999E-2</v>
      </c>
      <c r="BO147" s="2">
        <f t="shared" ref="BO147:BO162" si="342">BM147*(1+BN147*IF(MOD($W147,12)&lt;&gt;0,MOD($W147,12),12)/12)</f>
        <v>113381.2</v>
      </c>
      <c r="BP147" s="2" t="str">
        <f t="shared" ref="BP147:BP162" si="343">IF(MOD($W147,zapadalnosc_COI)=0,"tak","nie")</f>
        <v>nie</v>
      </c>
      <c r="BQ147" s="2">
        <f t="shared" ref="BQ147:BQ162" si="344">IF(MOD($W147,zapadalnosc_COI)=0,0,
IF(AND(MOD($W147,zapadalnosc_COI)&lt;zapadalnosc_COI,MOD($W147,zapadalnosc_COI)&lt;=koszt_wczesniejszy_wykup_ochrona_COI),
MIN(BO147-BL147,BJ147*koszt_wczesniejszy_wykup_COI),BJ147*koszt_wczesniejszy_wykup_COI))</f>
        <v>2192</v>
      </c>
      <c r="BR147" s="1">
        <f t="shared" si="316"/>
        <v>176</v>
      </c>
      <c r="BS147" s="1">
        <f t="shared" si="327"/>
        <v>171</v>
      </c>
      <c r="BT147" s="1">
        <f t="shared" si="309"/>
        <v>22</v>
      </c>
      <c r="BU147" s="1">
        <f t="shared" si="320"/>
        <v>112</v>
      </c>
      <c r="BV147" s="2">
        <f t="shared" si="247"/>
        <v>17600</v>
      </c>
      <c r="BW147" s="8">
        <f t="shared" si="317"/>
        <v>4.7500000000000001E-2</v>
      </c>
      <c r="BX147" s="2">
        <f t="shared" si="248"/>
        <v>18227</v>
      </c>
      <c r="BY147" s="2">
        <f t="shared" si="318"/>
        <v>352</v>
      </c>
      <c r="BZ147" s="2">
        <f t="shared" si="273"/>
        <v>30500</v>
      </c>
      <c r="CA147" s="8">
        <f t="shared" si="328"/>
        <v>4.5999999999999999E-2</v>
      </c>
      <c r="CB147" s="2">
        <f t="shared" si="249"/>
        <v>31552.25</v>
      </c>
      <c r="CC147" s="2">
        <f t="shared" si="329"/>
        <v>610</v>
      </c>
      <c r="CD147" s="2">
        <f t="shared" ref="CD147:CD161" si="345">IF(MOD($W147,wyplata_odsetek_COI)=0, (BO147-BL147),0)
-IF(AND(BP147="tak",BK148&lt;&gt;""),BK148-BL147,0)</f>
        <v>0</v>
      </c>
      <c r="CE147" s="2">
        <f t="shared" si="250"/>
        <v>0</v>
      </c>
      <c r="CF147" s="2">
        <f t="shared" si="251"/>
        <v>65.400000000041473</v>
      </c>
      <c r="CG147" s="1">
        <f t="shared" si="312"/>
        <v>0</v>
      </c>
      <c r="CH147" s="2">
        <f t="shared" ref="CH147:CH162" si="346">CF147-CG147*zamiana_COI</f>
        <v>65.400000000041473</v>
      </c>
      <c r="CI147" s="1">
        <f t="shared" si="242"/>
        <v>0</v>
      </c>
      <c r="CJ147" s="2">
        <f t="shared" si="252"/>
        <v>65.400000000041473</v>
      </c>
      <c r="CK147" s="2">
        <f t="shared" si="253"/>
        <v>163225.85000000006</v>
      </c>
      <c r="CL147" s="2">
        <f t="shared" ref="CL147:CL162" si="347">MIN(IF(MOD($W147,12)=0,INDEX(IKE_oplata_wskaznik,MATCH(ROUNDUP($W147/12,0),IKE_oplata_rok,0)),0)*CK147,200)</f>
        <v>0</v>
      </c>
      <c r="CM147" s="2">
        <f t="shared" si="216"/>
        <v>1439.9820900000004</v>
      </c>
      <c r="CN147" s="2">
        <f t="shared" ref="CN147:CN162" si="348">CK147-CM147</f>
        <v>161785.86791000006</v>
      </c>
      <c r="CO147" s="2">
        <f t="shared" si="217"/>
        <v>3154</v>
      </c>
      <c r="CP147" s="2">
        <f t="shared" ref="CP147:CP162" si="349">(CK147-CO147-zakup_domyslny_wartosc)*podatek_Belki</f>
        <v>11413.651500000013</v>
      </c>
      <c r="CQ147" s="2">
        <f t="shared" ref="CQ147:CQ162" si="350">CK147-CM147-CO147-CP147</f>
        <v>147218.21641000005</v>
      </c>
      <c r="CS147" s="5">
        <f t="shared" si="304"/>
        <v>1650</v>
      </c>
      <c r="CT147" s="2">
        <f t="shared" si="305"/>
        <v>164835</v>
      </c>
      <c r="CU147" s="2">
        <f t="shared" si="306"/>
        <v>165000</v>
      </c>
      <c r="CV147" s="2">
        <f t="shared" si="307"/>
        <v>165000</v>
      </c>
      <c r="CW147" s="8">
        <f t="shared" ref="CW147:CW162" si="351">IF(AND(MOD($W147,zapadalnosc_EDO)&lt;=12,MOD($W147,zapadalnosc_EDO)&lt;&gt;0),proc_I_okres_EDO,(marza_EDO+$BI147))</f>
        <v>5.3499999999999999E-2</v>
      </c>
      <c r="CX147" s="2">
        <f t="shared" ref="CX147:CX162" si="352">CV147*(1+CW147*IF(MOD($W147,12)&lt;&gt;0,MOD($W147,12),12)/12)</f>
        <v>171620.625</v>
      </c>
      <c r="CY147" s="2" t="str">
        <f t="shared" ref="CY147:CY162" si="353">IF(MOD($W147,zapadalnosc_EDO)=0,"tak","nie")</f>
        <v>nie</v>
      </c>
      <c r="CZ147" s="2">
        <f t="shared" si="222"/>
        <v>0</v>
      </c>
      <c r="DA147" s="2">
        <f t="shared" si="223"/>
        <v>3.6253774281067308</v>
      </c>
      <c r="DB147" s="2">
        <f t="shared" si="224"/>
        <v>171624.25037742811</v>
      </c>
      <c r="DC147" s="2">
        <f t="shared" ref="DC147:DC162" si="354">MIN(IF(MOD(W147,12)=0,INDEX(IKE_oplata_wskaznik,MATCH(ROUNDUP(W147/12,0),IKE_oplata_rok,0)),0)*DB147,200)</f>
        <v>0</v>
      </c>
      <c r="DD147" s="2">
        <f t="shared" si="225"/>
        <v>1479.2536113260169</v>
      </c>
      <c r="DE147" s="2">
        <f t="shared" si="226"/>
        <v>170144.99676610209</v>
      </c>
      <c r="DF147" s="2">
        <f t="shared" ref="DF147:DF162" si="355">IF(AND(MOD($W147,zapadalnosc_EDO)&lt;zapadalnosc_EDO,MOD($W147,zapadalnosc_EDO)&lt;&gt;0),MIN(CX147-CU147,CS147*koszt_wczesniejszy_wykup_EDO),0)</f>
        <v>4950</v>
      </c>
      <c r="DG147" s="2">
        <f t="shared" ref="DG147:DG162" si="356">(CX147-DF147-zakup_domyslny_wartosc)*podatek_Belki</f>
        <v>12667.418750000001</v>
      </c>
      <c r="DH147" s="2">
        <f t="shared" si="227"/>
        <v>152527.57801610208</v>
      </c>
    </row>
    <row r="148" spans="2:112">
      <c r="B148" s="232"/>
      <c r="C148" s="1">
        <f t="shared" si="321"/>
        <v>111</v>
      </c>
      <c r="D148" s="2">
        <f t="shared" si="259"/>
        <v>146150.69413912235</v>
      </c>
      <c r="E148" s="2">
        <f t="shared" si="260"/>
        <v>135962.02818743757</v>
      </c>
      <c r="F148" s="2">
        <f t="shared" si="261"/>
        <v>151254.18521000005</v>
      </c>
      <c r="G148" s="2">
        <f t="shared" si="262"/>
        <v>138943.46621000004</v>
      </c>
      <c r="H148" s="2">
        <f t="shared" si="263"/>
        <v>157525.08820243421</v>
      </c>
      <c r="I148" s="2">
        <f t="shared" si="264"/>
        <v>143915.58259664147</v>
      </c>
      <c r="J148" s="2">
        <f t="shared" si="322"/>
        <v>130918.23839801723</v>
      </c>
      <c r="K148" s="2">
        <f t="shared" si="323"/>
        <v>132641.91837686134</v>
      </c>
      <c r="W148" s="1">
        <f t="shared" ref="W148:W162" si="357">W147+1</f>
        <v>130</v>
      </c>
      <c r="X148" s="2">
        <f t="shared" si="330"/>
        <v>139207.76463168423</v>
      </c>
      <c r="Y148" s="8">
        <f t="shared" si="310"/>
        <v>3.9100000000000003E-2</v>
      </c>
      <c r="Z148" s="5">
        <f t="shared" ref="Z148:Z162" si="358">IF(AF147="tak",
ROUNDDOWN(AE147/zamiana_TOS,0),
Z147)</f>
        <v>1455</v>
      </c>
      <c r="AA148" s="2">
        <f t="shared" ref="AA148:AA162" si="359">IF(AF147="tak",
Z148*zamiana_TOS,
AA147)</f>
        <v>145354.5</v>
      </c>
      <c r="AB148" s="2">
        <f t="shared" ref="AB148:AB162" si="360">IF(AF147="tak",
Z148*100,
AB147)</f>
        <v>145500</v>
      </c>
      <c r="AC148" s="2">
        <f t="shared" ref="AC148:AC162" si="361">IF(AF147="tak",
 AB148,
IF(MOD($W148,kapitalizacja_odsetek_mc_TOS)&lt;&gt;1,AC147,AE147))</f>
        <v>151902</v>
      </c>
      <c r="AD148" s="8">
        <f t="shared" si="331"/>
        <v>4.3999999999999997E-2</v>
      </c>
      <c r="AE148" s="2">
        <f t="shared" si="332"/>
        <v>157471.74</v>
      </c>
      <c r="AF148" s="2" t="str">
        <f t="shared" si="333"/>
        <v>nie</v>
      </c>
      <c r="AG148" s="2">
        <f t="shared" si="334"/>
        <v>1455</v>
      </c>
      <c r="AH148" s="1">
        <f t="shared" si="233"/>
        <v>1</v>
      </c>
      <c r="AI148" s="1">
        <f t="shared" si="324"/>
        <v>1</v>
      </c>
      <c r="AJ148" s="1">
        <f t="shared" si="308"/>
        <v>1</v>
      </c>
      <c r="AK148" s="1">
        <f t="shared" si="319"/>
        <v>0</v>
      </c>
      <c r="AL148" s="2">
        <f t="shared" si="243"/>
        <v>100</v>
      </c>
      <c r="AM148" s="8">
        <f t="shared" si="313"/>
        <v>4.3999999999999997E-2</v>
      </c>
      <c r="AN148" s="2">
        <f t="shared" si="244"/>
        <v>103.66666666666666</v>
      </c>
      <c r="AO148" s="2">
        <f t="shared" si="314"/>
        <v>1</v>
      </c>
      <c r="AP148" s="2">
        <f t="shared" si="272"/>
        <v>200</v>
      </c>
      <c r="AQ148" s="8">
        <f t="shared" si="325"/>
        <v>3.9100000000000003E-2</v>
      </c>
      <c r="AR148" s="2">
        <f t="shared" si="267"/>
        <v>206.51666666666668</v>
      </c>
      <c r="AS148" s="2">
        <f t="shared" si="326"/>
        <v>2</v>
      </c>
      <c r="AT148" s="2">
        <f t="shared" ref="AT148:AT161" si="362">IF(AND(AF148="tak",AA149&lt;&gt;""),
 AE148-AA149,
0)</f>
        <v>0</v>
      </c>
      <c r="AU148" s="2">
        <f t="shared" si="245"/>
        <v>0</v>
      </c>
      <c r="AV148" s="2">
        <f t="shared" si="236"/>
        <v>17.538429919985361</v>
      </c>
      <c r="AW148" s="1">
        <f t="shared" si="311"/>
        <v>0</v>
      </c>
      <c r="AX148" s="2">
        <f t="shared" si="335"/>
        <v>17.538429919985361</v>
      </c>
      <c r="AY148" s="1">
        <f t="shared" si="237"/>
        <v>0</v>
      </c>
      <c r="AZ148" s="2">
        <f t="shared" ref="AZ148:AZ162" si="363">AX148-AY148*100</f>
        <v>17.538429919985361</v>
      </c>
      <c r="BA148" s="2">
        <f t="shared" si="246"/>
        <v>157799.46176325329</v>
      </c>
      <c r="BB148" s="2">
        <f t="shared" si="336"/>
        <v>0</v>
      </c>
      <c r="BC148" s="2">
        <f t="shared" ref="BC148:BC162" si="364">BB148+BC147</f>
        <v>1410.3988292275037</v>
      </c>
      <c r="BD148" s="2">
        <f t="shared" si="337"/>
        <v>156389.06293402577</v>
      </c>
      <c r="BE148" s="2">
        <f t="shared" ref="BE148:BE162" si="365">AG148+AO148+AS148</f>
        <v>1458</v>
      </c>
      <c r="BF148" s="2">
        <f t="shared" si="338"/>
        <v>10704.877735018124</v>
      </c>
      <c r="BG148" s="2">
        <f t="shared" si="339"/>
        <v>144226.18519900765</v>
      </c>
      <c r="BI148" s="8">
        <f t="shared" si="315"/>
        <v>3.1E-2</v>
      </c>
      <c r="BJ148" s="5">
        <f t="shared" ref="BJ148:BJ162" si="366">IF(BP147="tak",
ROUNDDOWN(BO147/zamiana_COI,0),
BJ147)</f>
        <v>1096</v>
      </c>
      <c r="BK148" s="2">
        <f t="shared" ref="BK148:BK162" si="367">IF(BP147="tak",
BJ148*zamiana_COI,
BK147)</f>
        <v>109490.40000000001</v>
      </c>
      <c r="BL148" s="2">
        <f t="shared" ref="BL148:BL162" si="368">IF(BP147="tak",
BJ148*100,
BL147)</f>
        <v>109600</v>
      </c>
      <c r="BM148" s="2">
        <f t="shared" si="340"/>
        <v>109600</v>
      </c>
      <c r="BN148" s="8">
        <f t="shared" si="341"/>
        <v>4.5999999999999999E-2</v>
      </c>
      <c r="BO148" s="2">
        <f t="shared" si="342"/>
        <v>113801.33333333333</v>
      </c>
      <c r="BP148" s="2" t="str">
        <f t="shared" si="343"/>
        <v>nie</v>
      </c>
      <c r="BQ148" s="2">
        <f t="shared" si="344"/>
        <v>2192</v>
      </c>
      <c r="BR148" s="1">
        <f t="shared" si="316"/>
        <v>176</v>
      </c>
      <c r="BS148" s="1">
        <f t="shared" si="327"/>
        <v>171</v>
      </c>
      <c r="BT148" s="1">
        <f t="shared" si="309"/>
        <v>22</v>
      </c>
      <c r="BU148" s="1">
        <f t="shared" si="320"/>
        <v>112</v>
      </c>
      <c r="BV148" s="2">
        <f t="shared" si="247"/>
        <v>17600</v>
      </c>
      <c r="BW148" s="8">
        <f t="shared" si="317"/>
        <v>4.7500000000000001E-2</v>
      </c>
      <c r="BX148" s="2">
        <f t="shared" si="248"/>
        <v>18296.666666666668</v>
      </c>
      <c r="BY148" s="2">
        <f t="shared" si="318"/>
        <v>352</v>
      </c>
      <c r="BZ148" s="2">
        <f t="shared" si="273"/>
        <v>30500</v>
      </c>
      <c r="CA148" s="8">
        <f t="shared" si="328"/>
        <v>4.5999999999999999E-2</v>
      </c>
      <c r="CB148" s="2">
        <f t="shared" si="249"/>
        <v>31669.166666666668</v>
      </c>
      <c r="CC148" s="2">
        <f t="shared" si="329"/>
        <v>610</v>
      </c>
      <c r="CD148" s="2">
        <f t="shared" si="345"/>
        <v>0</v>
      </c>
      <c r="CE148" s="2">
        <f t="shared" si="250"/>
        <v>0</v>
      </c>
      <c r="CF148" s="2">
        <f t="shared" si="251"/>
        <v>65.400000000041473</v>
      </c>
      <c r="CG148" s="1">
        <f t="shared" si="312"/>
        <v>0</v>
      </c>
      <c r="CH148" s="2">
        <f t="shared" si="346"/>
        <v>65.400000000041473</v>
      </c>
      <c r="CI148" s="1">
        <f t="shared" si="242"/>
        <v>0</v>
      </c>
      <c r="CJ148" s="2">
        <f t="shared" si="252"/>
        <v>65.400000000041473</v>
      </c>
      <c r="CK148" s="2">
        <f t="shared" si="253"/>
        <v>163832.56666666671</v>
      </c>
      <c r="CL148" s="2">
        <f t="shared" si="347"/>
        <v>0</v>
      </c>
      <c r="CM148" s="2">
        <f t="shared" ref="CM148:CM162" si="369">CL148+CM147</f>
        <v>1439.9820900000004</v>
      </c>
      <c r="CN148" s="2">
        <f t="shared" si="348"/>
        <v>162392.5845766667</v>
      </c>
      <c r="CO148" s="2">
        <f t="shared" ref="CO148:CO162" si="370">BQ148+BY148+CC148</f>
        <v>3154</v>
      </c>
      <c r="CP148" s="2">
        <f t="shared" si="349"/>
        <v>11528.927666666676</v>
      </c>
      <c r="CQ148" s="2">
        <f t="shared" si="350"/>
        <v>147709.65691000002</v>
      </c>
      <c r="CS148" s="5">
        <f t="shared" ref="CS148:CS162" si="371">IF(CY147="tak",
ROUNDDOWN(CX147/zamiana_EDO,0),
CS147)</f>
        <v>1650</v>
      </c>
      <c r="CT148" s="2">
        <f t="shared" ref="CT148:CT162" si="372">IF(CY147="tak",
CS148*zamiana_EDO,
CT147)</f>
        <v>164835</v>
      </c>
      <c r="CU148" s="2">
        <f t="shared" ref="CU148:CU162" si="373">IF(CY147="tak",
CS148*100,
CU147)</f>
        <v>165000</v>
      </c>
      <c r="CV148" s="2">
        <f t="shared" ref="CV148:CV162" si="374">IF(CY147="tak",
 CU148,
IF(MOD($W148,kapitalizacja_odsetek_mc_EDO)&lt;&gt;1,CV147,CX147))</f>
        <v>165000</v>
      </c>
      <c r="CW148" s="8">
        <f t="shared" si="351"/>
        <v>5.3499999999999999E-2</v>
      </c>
      <c r="CX148" s="2">
        <f t="shared" si="352"/>
        <v>172356.25</v>
      </c>
      <c r="CY148" s="2" t="str">
        <f t="shared" si="353"/>
        <v>nie</v>
      </c>
      <c r="CZ148" s="2">
        <f t="shared" ref="CZ148:CZ162" si="375">IF(AND(CY148="tak",CT149&lt;&gt;""),
 CX148-CT149,
0)</f>
        <v>0</v>
      </c>
      <c r="DA148" s="2">
        <f t="shared" ref="DA148:DA162" si="376">DA147+CZ148</f>
        <v>3.6253774281067308</v>
      </c>
      <c r="DB148" s="2">
        <f t="shared" ref="DB148:DB162" si="377">DA147+CX148</f>
        <v>172359.87537742811</v>
      </c>
      <c r="DC148" s="2">
        <f t="shared" si="354"/>
        <v>0</v>
      </c>
      <c r="DD148" s="2">
        <f t="shared" ref="DD148:DD162" si="378">DC148+DD147</f>
        <v>1479.2536113260169</v>
      </c>
      <c r="DE148" s="2">
        <f t="shared" ref="DE148:DE162" si="379">DB148-DD148</f>
        <v>170880.62176610209</v>
      </c>
      <c r="DF148" s="2">
        <f t="shared" si="355"/>
        <v>4950</v>
      </c>
      <c r="DG148" s="2">
        <f t="shared" si="356"/>
        <v>12807.1875</v>
      </c>
      <c r="DH148" s="2">
        <f t="shared" ref="DH148:DH162" si="380">DB148-DD148-DF148-DG148</f>
        <v>153123.43426610209</v>
      </c>
    </row>
    <row r="149" spans="2:112">
      <c r="B149" s="232"/>
      <c r="C149" s="1">
        <f t="shared" si="321"/>
        <v>112</v>
      </c>
      <c r="D149" s="2">
        <f t="shared" si="259"/>
        <v>146685.21247245572</v>
      </c>
      <c r="E149" s="2">
        <f t="shared" si="260"/>
        <v>136394.98803743758</v>
      </c>
      <c r="F149" s="2">
        <f t="shared" si="261"/>
        <v>151834.00604333339</v>
      </c>
      <c r="G149" s="2">
        <f t="shared" si="262"/>
        <v>139358.29421000005</v>
      </c>
      <c r="H149" s="2">
        <f t="shared" si="263"/>
        <v>158191.65733455034</v>
      </c>
      <c r="I149" s="2">
        <f t="shared" si="264"/>
        <v>144455.50359365554</v>
      </c>
      <c r="J149" s="2">
        <f t="shared" si="322"/>
        <v>131236.36971732441</v>
      </c>
      <c r="K149" s="2">
        <f t="shared" si="323"/>
        <v>132981.94148689881</v>
      </c>
      <c r="W149" s="1">
        <f t="shared" si="357"/>
        <v>131</v>
      </c>
      <c r="X149" s="2">
        <f t="shared" si="330"/>
        <v>139558.32845813283</v>
      </c>
      <c r="Y149" s="8">
        <f t="shared" si="310"/>
        <v>3.9100000000000003E-2</v>
      </c>
      <c r="Z149" s="5">
        <f t="shared" si="358"/>
        <v>1455</v>
      </c>
      <c r="AA149" s="2">
        <f t="shared" si="359"/>
        <v>145354.5</v>
      </c>
      <c r="AB149" s="2">
        <f t="shared" si="360"/>
        <v>145500</v>
      </c>
      <c r="AC149" s="2">
        <f t="shared" si="361"/>
        <v>151902</v>
      </c>
      <c r="AD149" s="8">
        <f t="shared" si="331"/>
        <v>4.3999999999999997E-2</v>
      </c>
      <c r="AE149" s="2">
        <f t="shared" si="332"/>
        <v>158028.71400000001</v>
      </c>
      <c r="AF149" s="2" t="str">
        <f t="shared" si="333"/>
        <v>nie</v>
      </c>
      <c r="AG149" s="2">
        <f t="shared" si="334"/>
        <v>1455</v>
      </c>
      <c r="AH149" s="1">
        <f t="shared" si="233"/>
        <v>1</v>
      </c>
      <c r="AI149" s="1">
        <f t="shared" si="324"/>
        <v>1</v>
      </c>
      <c r="AJ149" s="1">
        <f t="shared" si="308"/>
        <v>1</v>
      </c>
      <c r="AK149" s="1">
        <f t="shared" si="319"/>
        <v>0</v>
      </c>
      <c r="AL149" s="2">
        <f t="shared" si="243"/>
        <v>100</v>
      </c>
      <c r="AM149" s="8">
        <f t="shared" si="313"/>
        <v>4.3999999999999997E-2</v>
      </c>
      <c r="AN149" s="2">
        <f t="shared" si="244"/>
        <v>104.03333333333333</v>
      </c>
      <c r="AO149" s="2">
        <f t="shared" si="314"/>
        <v>1</v>
      </c>
      <c r="AP149" s="2">
        <f t="shared" si="272"/>
        <v>200</v>
      </c>
      <c r="AQ149" s="8">
        <f t="shared" si="325"/>
        <v>3.9100000000000003E-2</v>
      </c>
      <c r="AR149" s="2">
        <f t="shared" si="267"/>
        <v>207.16833333333335</v>
      </c>
      <c r="AS149" s="2">
        <f t="shared" si="326"/>
        <v>2</v>
      </c>
      <c r="AT149" s="2">
        <f t="shared" si="362"/>
        <v>0</v>
      </c>
      <c r="AU149" s="2">
        <f t="shared" si="245"/>
        <v>0</v>
      </c>
      <c r="AV149" s="2">
        <f t="shared" si="236"/>
        <v>17.538429919985361</v>
      </c>
      <c r="AW149" s="1">
        <f t="shared" si="311"/>
        <v>0</v>
      </c>
      <c r="AX149" s="2">
        <f t="shared" si="335"/>
        <v>17.538429919985361</v>
      </c>
      <c r="AY149" s="1">
        <f t="shared" si="237"/>
        <v>0</v>
      </c>
      <c r="AZ149" s="2">
        <f t="shared" si="363"/>
        <v>17.538429919985361</v>
      </c>
      <c r="BA149" s="2">
        <f t="shared" si="246"/>
        <v>158357.45409658665</v>
      </c>
      <c r="BB149" s="2">
        <f t="shared" si="336"/>
        <v>0</v>
      </c>
      <c r="BC149" s="2">
        <f t="shared" si="364"/>
        <v>1410.3988292275037</v>
      </c>
      <c r="BD149" s="2">
        <f t="shared" si="337"/>
        <v>156947.05526735913</v>
      </c>
      <c r="BE149" s="2">
        <f t="shared" si="365"/>
        <v>1458</v>
      </c>
      <c r="BF149" s="2">
        <f t="shared" si="338"/>
        <v>10810.896278351463</v>
      </c>
      <c r="BG149" s="2">
        <f t="shared" si="339"/>
        <v>144678.15898900767</v>
      </c>
      <c r="BI149" s="8">
        <f t="shared" si="315"/>
        <v>3.1E-2</v>
      </c>
      <c r="BJ149" s="5">
        <f t="shared" si="366"/>
        <v>1096</v>
      </c>
      <c r="BK149" s="2">
        <f t="shared" si="367"/>
        <v>109490.40000000001</v>
      </c>
      <c r="BL149" s="2">
        <f t="shared" si="368"/>
        <v>109600</v>
      </c>
      <c r="BM149" s="2">
        <f t="shared" si="340"/>
        <v>109600</v>
      </c>
      <c r="BN149" s="8">
        <f t="shared" si="341"/>
        <v>4.5999999999999999E-2</v>
      </c>
      <c r="BO149" s="2">
        <f t="shared" si="342"/>
        <v>114221.46666666667</v>
      </c>
      <c r="BP149" s="2" t="str">
        <f t="shared" si="343"/>
        <v>nie</v>
      </c>
      <c r="BQ149" s="2">
        <f t="shared" si="344"/>
        <v>2192</v>
      </c>
      <c r="BR149" s="1">
        <f t="shared" si="316"/>
        <v>176</v>
      </c>
      <c r="BS149" s="1">
        <f t="shared" si="327"/>
        <v>171</v>
      </c>
      <c r="BT149" s="1">
        <f t="shared" si="309"/>
        <v>22</v>
      </c>
      <c r="BU149" s="1">
        <f t="shared" si="320"/>
        <v>112</v>
      </c>
      <c r="BV149" s="2">
        <f t="shared" si="247"/>
        <v>17600</v>
      </c>
      <c r="BW149" s="8">
        <f t="shared" si="317"/>
        <v>4.7500000000000001E-2</v>
      </c>
      <c r="BX149" s="2">
        <f t="shared" si="248"/>
        <v>18366.333333333332</v>
      </c>
      <c r="BY149" s="2">
        <f t="shared" si="318"/>
        <v>352</v>
      </c>
      <c r="BZ149" s="2">
        <f t="shared" si="273"/>
        <v>30500</v>
      </c>
      <c r="CA149" s="8">
        <f t="shared" si="328"/>
        <v>4.5999999999999999E-2</v>
      </c>
      <c r="CB149" s="2">
        <f t="shared" si="249"/>
        <v>31786.083333333332</v>
      </c>
      <c r="CC149" s="2">
        <f t="shared" si="329"/>
        <v>610</v>
      </c>
      <c r="CD149" s="2">
        <f t="shared" si="345"/>
        <v>0</v>
      </c>
      <c r="CE149" s="2">
        <f t="shared" si="250"/>
        <v>0</v>
      </c>
      <c r="CF149" s="2">
        <f t="shared" si="251"/>
        <v>65.400000000041473</v>
      </c>
      <c r="CG149" s="1">
        <f t="shared" si="312"/>
        <v>0</v>
      </c>
      <c r="CH149" s="2">
        <f t="shared" si="346"/>
        <v>65.400000000041473</v>
      </c>
      <c r="CI149" s="1">
        <f t="shared" si="242"/>
        <v>0</v>
      </c>
      <c r="CJ149" s="2">
        <f t="shared" si="252"/>
        <v>65.400000000041473</v>
      </c>
      <c r="CK149" s="2">
        <f t="shared" si="253"/>
        <v>164439.28333333341</v>
      </c>
      <c r="CL149" s="2">
        <f t="shared" si="347"/>
        <v>0</v>
      </c>
      <c r="CM149" s="2">
        <f t="shared" si="369"/>
        <v>1439.9820900000004</v>
      </c>
      <c r="CN149" s="2">
        <f t="shared" si="348"/>
        <v>162999.30124333341</v>
      </c>
      <c r="CO149" s="2">
        <f t="shared" si="370"/>
        <v>3154</v>
      </c>
      <c r="CP149" s="2">
        <f t="shared" si="349"/>
        <v>11644.203833333349</v>
      </c>
      <c r="CQ149" s="2">
        <f t="shared" si="350"/>
        <v>148201.09741000005</v>
      </c>
      <c r="CS149" s="5">
        <f t="shared" si="371"/>
        <v>1650</v>
      </c>
      <c r="CT149" s="2">
        <f t="shared" si="372"/>
        <v>164835</v>
      </c>
      <c r="CU149" s="2">
        <f t="shared" si="373"/>
        <v>165000</v>
      </c>
      <c r="CV149" s="2">
        <f t="shared" si="374"/>
        <v>165000</v>
      </c>
      <c r="CW149" s="8">
        <f t="shared" si="351"/>
        <v>5.3499999999999999E-2</v>
      </c>
      <c r="CX149" s="2">
        <f t="shared" si="352"/>
        <v>173091.875</v>
      </c>
      <c r="CY149" s="2" t="str">
        <f t="shared" si="353"/>
        <v>nie</v>
      </c>
      <c r="CZ149" s="2">
        <f t="shared" si="375"/>
        <v>0</v>
      </c>
      <c r="DA149" s="2">
        <f t="shared" si="376"/>
        <v>3.6253774281067308</v>
      </c>
      <c r="DB149" s="2">
        <f t="shared" si="377"/>
        <v>173095.50037742811</v>
      </c>
      <c r="DC149" s="2">
        <f t="shared" si="354"/>
        <v>0</v>
      </c>
      <c r="DD149" s="2">
        <f t="shared" si="378"/>
        <v>1479.2536113260169</v>
      </c>
      <c r="DE149" s="2">
        <f t="shared" si="379"/>
        <v>171616.24676610209</v>
      </c>
      <c r="DF149" s="2">
        <f t="shared" si="355"/>
        <v>4950</v>
      </c>
      <c r="DG149" s="2">
        <f t="shared" si="356"/>
        <v>12946.956249999999</v>
      </c>
      <c r="DH149" s="2">
        <f t="shared" si="380"/>
        <v>153719.2905161021</v>
      </c>
    </row>
    <row r="150" spans="2:112">
      <c r="B150" s="232"/>
      <c r="C150" s="1">
        <f t="shared" si="321"/>
        <v>113</v>
      </c>
      <c r="D150" s="2">
        <f t="shared" si="259"/>
        <v>147219.73080578906</v>
      </c>
      <c r="E150" s="2">
        <f t="shared" si="260"/>
        <v>136827.94788743759</v>
      </c>
      <c r="F150" s="2">
        <f t="shared" si="261"/>
        <v>152413.82687666669</v>
      </c>
      <c r="G150" s="2">
        <f t="shared" si="262"/>
        <v>139773.12221</v>
      </c>
      <c r="H150" s="2">
        <f t="shared" si="263"/>
        <v>158858.2264666665</v>
      </c>
      <c r="I150" s="2">
        <f t="shared" si="264"/>
        <v>144995.42459066963</v>
      </c>
      <c r="J150" s="2">
        <f t="shared" si="322"/>
        <v>131555.27409573749</v>
      </c>
      <c r="K150" s="2">
        <f t="shared" si="323"/>
        <v>133321.96459693625</v>
      </c>
      <c r="W150" s="1">
        <f t="shared" si="357"/>
        <v>132</v>
      </c>
      <c r="X150" s="2">
        <f t="shared" si="330"/>
        <v>139908.89228458141</v>
      </c>
      <c r="Y150" s="8">
        <f t="shared" si="310"/>
        <v>3.9100000000000003E-2</v>
      </c>
      <c r="Z150" s="5">
        <f t="shared" si="358"/>
        <v>1455</v>
      </c>
      <c r="AA150" s="2">
        <f t="shared" si="359"/>
        <v>145354.5</v>
      </c>
      <c r="AB150" s="2">
        <f t="shared" si="360"/>
        <v>145500</v>
      </c>
      <c r="AC150" s="2">
        <f t="shared" si="361"/>
        <v>151902</v>
      </c>
      <c r="AD150" s="8">
        <f t="shared" si="331"/>
        <v>4.3999999999999997E-2</v>
      </c>
      <c r="AE150" s="2">
        <f t="shared" si="332"/>
        <v>158585.68799999999</v>
      </c>
      <c r="AF150" s="2" t="str">
        <f t="shared" si="333"/>
        <v>nie</v>
      </c>
      <c r="AG150" s="2">
        <f t="shared" si="334"/>
        <v>1455</v>
      </c>
      <c r="AH150" s="1">
        <f t="shared" si="233"/>
        <v>1</v>
      </c>
      <c r="AI150" s="1">
        <f t="shared" si="324"/>
        <v>1</v>
      </c>
      <c r="AJ150" s="1">
        <f t="shared" si="308"/>
        <v>1</v>
      </c>
      <c r="AK150" s="1">
        <f t="shared" si="319"/>
        <v>0</v>
      </c>
      <c r="AL150" s="2">
        <f t="shared" si="243"/>
        <v>100</v>
      </c>
      <c r="AM150" s="8">
        <f t="shared" si="313"/>
        <v>4.3999999999999997E-2</v>
      </c>
      <c r="AN150" s="2">
        <f t="shared" si="244"/>
        <v>104.4</v>
      </c>
      <c r="AO150" s="2">
        <f t="shared" si="314"/>
        <v>1</v>
      </c>
      <c r="AP150" s="2">
        <f t="shared" si="272"/>
        <v>200</v>
      </c>
      <c r="AQ150" s="8">
        <f t="shared" si="325"/>
        <v>3.9100000000000003E-2</v>
      </c>
      <c r="AR150" s="2">
        <f t="shared" si="267"/>
        <v>207.82</v>
      </c>
      <c r="AS150" s="2">
        <f t="shared" si="326"/>
        <v>2</v>
      </c>
      <c r="AT150" s="2">
        <f t="shared" si="362"/>
        <v>0</v>
      </c>
      <c r="AU150" s="2">
        <f t="shared" si="245"/>
        <v>12.219999999999999</v>
      </c>
      <c r="AV150" s="2">
        <f t="shared" si="236"/>
        <v>29.75842991998536</v>
      </c>
      <c r="AW150" s="1">
        <f t="shared" si="311"/>
        <v>0</v>
      </c>
      <c r="AX150" s="2">
        <f t="shared" si="335"/>
        <v>29.75842991998536</v>
      </c>
      <c r="AY150" s="1">
        <f t="shared" si="237"/>
        <v>0</v>
      </c>
      <c r="AZ150" s="2">
        <f t="shared" si="363"/>
        <v>29.75842991998536</v>
      </c>
      <c r="BA150" s="2">
        <f t="shared" si="246"/>
        <v>158915.44642991998</v>
      </c>
      <c r="BB150" s="2">
        <f t="shared" si="336"/>
        <v>158.91544642991997</v>
      </c>
      <c r="BC150" s="2">
        <f t="shared" si="364"/>
        <v>1569.3142756574237</v>
      </c>
      <c r="BD150" s="2">
        <f t="shared" si="337"/>
        <v>157346.13215426254</v>
      </c>
      <c r="BE150" s="2">
        <f t="shared" si="365"/>
        <v>1458</v>
      </c>
      <c r="BF150" s="2">
        <f t="shared" si="338"/>
        <v>10916.914821684795</v>
      </c>
      <c r="BG150" s="2">
        <f t="shared" si="339"/>
        <v>144971.21733257774</v>
      </c>
      <c r="BI150" s="8">
        <f t="shared" si="315"/>
        <v>3.1E-2</v>
      </c>
      <c r="BJ150" s="5">
        <f t="shared" si="366"/>
        <v>1096</v>
      </c>
      <c r="BK150" s="2">
        <f t="shared" si="367"/>
        <v>109490.40000000001</v>
      </c>
      <c r="BL150" s="2">
        <f t="shared" si="368"/>
        <v>109600</v>
      </c>
      <c r="BM150" s="2">
        <f t="shared" si="340"/>
        <v>109600</v>
      </c>
      <c r="BN150" s="8">
        <f t="shared" si="341"/>
        <v>4.5999999999999999E-2</v>
      </c>
      <c r="BO150" s="2">
        <f t="shared" si="342"/>
        <v>114641.60000000001</v>
      </c>
      <c r="BP150" s="2" t="str">
        <f t="shared" si="343"/>
        <v>nie</v>
      </c>
      <c r="BQ150" s="2">
        <f t="shared" si="344"/>
        <v>2192</v>
      </c>
      <c r="BR150" s="1">
        <f t="shared" si="316"/>
        <v>176</v>
      </c>
      <c r="BS150" s="1">
        <f t="shared" si="327"/>
        <v>171</v>
      </c>
      <c r="BT150" s="1">
        <f t="shared" si="309"/>
        <v>22</v>
      </c>
      <c r="BU150" s="1">
        <f t="shared" si="320"/>
        <v>112</v>
      </c>
      <c r="BV150" s="2">
        <f t="shared" si="247"/>
        <v>17600</v>
      </c>
      <c r="BW150" s="8">
        <f t="shared" si="317"/>
        <v>4.7500000000000001E-2</v>
      </c>
      <c r="BX150" s="2">
        <f t="shared" si="248"/>
        <v>18436</v>
      </c>
      <c r="BY150" s="2">
        <f t="shared" si="318"/>
        <v>352</v>
      </c>
      <c r="BZ150" s="2">
        <f t="shared" si="273"/>
        <v>30500</v>
      </c>
      <c r="CA150" s="8">
        <f t="shared" si="328"/>
        <v>4.5999999999999999E-2</v>
      </c>
      <c r="CB150" s="2">
        <f t="shared" si="249"/>
        <v>31903</v>
      </c>
      <c r="CC150" s="2">
        <f t="shared" si="329"/>
        <v>610</v>
      </c>
      <c r="CD150" s="2">
        <f t="shared" si="345"/>
        <v>5041.6000000000058</v>
      </c>
      <c r="CE150" s="2">
        <f t="shared" si="250"/>
        <v>13439</v>
      </c>
      <c r="CF150" s="2">
        <f t="shared" si="251"/>
        <v>18546.000000000047</v>
      </c>
      <c r="CG150" s="1">
        <f t="shared" si="312"/>
        <v>112</v>
      </c>
      <c r="CH150" s="2">
        <f t="shared" si="346"/>
        <v>7357.2000000000462</v>
      </c>
      <c r="CI150" s="1">
        <f t="shared" si="242"/>
        <v>73</v>
      </c>
      <c r="CJ150" s="2">
        <f t="shared" si="252"/>
        <v>57.200000000046202</v>
      </c>
      <c r="CK150" s="2">
        <f t="shared" si="253"/>
        <v>165046.00000000006</v>
      </c>
      <c r="CL150" s="2">
        <f t="shared" si="347"/>
        <v>165.04600000000005</v>
      </c>
      <c r="CM150" s="2">
        <f t="shared" si="369"/>
        <v>1605.0280900000005</v>
      </c>
      <c r="CN150" s="2">
        <f t="shared" si="348"/>
        <v>163440.97191000005</v>
      </c>
      <c r="CO150" s="2">
        <f t="shared" si="370"/>
        <v>3154</v>
      </c>
      <c r="CP150" s="2">
        <f t="shared" si="349"/>
        <v>11759.48000000001</v>
      </c>
      <c r="CQ150" s="2">
        <f t="shared" si="350"/>
        <v>148527.49191000004</v>
      </c>
      <c r="CS150" s="5">
        <f t="shared" si="371"/>
        <v>1650</v>
      </c>
      <c r="CT150" s="2">
        <f t="shared" si="372"/>
        <v>164835</v>
      </c>
      <c r="CU150" s="2">
        <f t="shared" si="373"/>
        <v>165000</v>
      </c>
      <c r="CV150" s="2">
        <f t="shared" si="374"/>
        <v>165000</v>
      </c>
      <c r="CW150" s="8">
        <f t="shared" si="351"/>
        <v>5.3499999999999999E-2</v>
      </c>
      <c r="CX150" s="2">
        <f t="shared" si="352"/>
        <v>173827.50000000003</v>
      </c>
      <c r="CY150" s="2" t="str">
        <f t="shared" si="353"/>
        <v>nie</v>
      </c>
      <c r="CZ150" s="2">
        <f t="shared" si="375"/>
        <v>0</v>
      </c>
      <c r="DA150" s="2">
        <f t="shared" si="376"/>
        <v>3.6253774281067308</v>
      </c>
      <c r="DB150" s="2">
        <f t="shared" si="377"/>
        <v>173831.12537742814</v>
      </c>
      <c r="DC150" s="2">
        <f t="shared" si="354"/>
        <v>173.83112537742815</v>
      </c>
      <c r="DD150" s="2">
        <f t="shared" si="378"/>
        <v>1653.0847367034451</v>
      </c>
      <c r="DE150" s="2">
        <f t="shared" si="379"/>
        <v>172178.04064072468</v>
      </c>
      <c r="DF150" s="2">
        <f t="shared" si="355"/>
        <v>4950</v>
      </c>
      <c r="DG150" s="2">
        <f t="shared" si="356"/>
        <v>13086.725000000006</v>
      </c>
      <c r="DH150" s="2">
        <f t="shared" si="380"/>
        <v>154141.31564072467</v>
      </c>
    </row>
    <row r="151" spans="2:112">
      <c r="B151" s="232"/>
      <c r="C151" s="1">
        <f t="shared" si="321"/>
        <v>114</v>
      </c>
      <c r="D151" s="2">
        <f t="shared" si="259"/>
        <v>147754.2491391224</v>
      </c>
      <c r="E151" s="2">
        <f t="shared" si="260"/>
        <v>137260.90773743761</v>
      </c>
      <c r="F151" s="2">
        <f t="shared" si="261"/>
        <v>152993.64771000002</v>
      </c>
      <c r="G151" s="2">
        <f t="shared" si="262"/>
        <v>140239.89146000001</v>
      </c>
      <c r="H151" s="2">
        <f t="shared" si="263"/>
        <v>159524.79559878266</v>
      </c>
      <c r="I151" s="2">
        <f t="shared" si="264"/>
        <v>145535.34558768373</v>
      </c>
      <c r="J151" s="2">
        <f t="shared" si="322"/>
        <v>131874.95341179013</v>
      </c>
      <c r="K151" s="2">
        <f t="shared" si="323"/>
        <v>133661.98770697368</v>
      </c>
      <c r="W151" s="1">
        <f t="shared" si="357"/>
        <v>133</v>
      </c>
      <c r="X151" s="2">
        <f t="shared" si="330"/>
        <v>140270.32358964992</v>
      </c>
      <c r="Y151" s="8">
        <f t="shared" si="310"/>
        <v>3.9100000000000003E-2</v>
      </c>
      <c r="Z151" s="5">
        <f t="shared" si="358"/>
        <v>1455</v>
      </c>
      <c r="AA151" s="2">
        <f t="shared" si="359"/>
        <v>145354.5</v>
      </c>
      <c r="AB151" s="2">
        <f t="shared" si="360"/>
        <v>145500</v>
      </c>
      <c r="AC151" s="2">
        <f t="shared" si="361"/>
        <v>158585.68799999999</v>
      </c>
      <c r="AD151" s="8">
        <f t="shared" si="331"/>
        <v>4.3999999999999997E-2</v>
      </c>
      <c r="AE151" s="2">
        <f t="shared" si="332"/>
        <v>159167.168856</v>
      </c>
      <c r="AF151" s="2" t="str">
        <f t="shared" si="333"/>
        <v>nie</v>
      </c>
      <c r="AG151" s="2">
        <f t="shared" si="334"/>
        <v>1455</v>
      </c>
      <c r="AH151" s="1">
        <f t="shared" si="233"/>
        <v>1</v>
      </c>
      <c r="AI151" s="1">
        <f t="shared" si="324"/>
        <v>1</v>
      </c>
      <c r="AJ151" s="1">
        <f t="shared" ref="AJ151:AJ162" si="381">IF(zapadalnosc_TOS/12&gt;=AJ$18,AI139,0)</f>
        <v>1</v>
      </c>
      <c r="AK151" s="1">
        <f t="shared" si="319"/>
        <v>0</v>
      </c>
      <c r="AL151" s="2">
        <f t="shared" si="243"/>
        <v>100</v>
      </c>
      <c r="AM151" s="8">
        <f t="shared" si="313"/>
        <v>4.3999999999999997E-2</v>
      </c>
      <c r="AN151" s="2">
        <f t="shared" si="244"/>
        <v>100.36666666666667</v>
      </c>
      <c r="AO151" s="2">
        <f t="shared" si="314"/>
        <v>0.36666666666667425</v>
      </c>
      <c r="AP151" s="2">
        <f t="shared" si="272"/>
        <v>200</v>
      </c>
      <c r="AQ151" s="8">
        <f t="shared" si="325"/>
        <v>3.9100000000000003E-2</v>
      </c>
      <c r="AR151" s="2">
        <f t="shared" si="267"/>
        <v>200.65166666666667</v>
      </c>
      <c r="AS151" s="2">
        <f t="shared" si="326"/>
        <v>2</v>
      </c>
      <c r="AT151" s="2">
        <f t="shared" si="362"/>
        <v>0</v>
      </c>
      <c r="AU151" s="2">
        <f t="shared" si="245"/>
        <v>0</v>
      </c>
      <c r="AV151" s="2">
        <f t="shared" si="236"/>
        <v>29.75842991998536</v>
      </c>
      <c r="AW151" s="1">
        <f t="shared" si="311"/>
        <v>0</v>
      </c>
      <c r="AX151" s="2">
        <f t="shared" si="335"/>
        <v>29.75842991998536</v>
      </c>
      <c r="AY151" s="1">
        <f t="shared" si="237"/>
        <v>0</v>
      </c>
      <c r="AZ151" s="2">
        <f t="shared" si="363"/>
        <v>29.75842991998536</v>
      </c>
      <c r="BA151" s="2">
        <f t="shared" si="246"/>
        <v>159497.94561925333</v>
      </c>
      <c r="BB151" s="2">
        <f t="shared" si="336"/>
        <v>0</v>
      </c>
      <c r="BC151" s="2">
        <f t="shared" si="364"/>
        <v>1569.3142756574237</v>
      </c>
      <c r="BD151" s="2">
        <f t="shared" si="337"/>
        <v>157928.63134359589</v>
      </c>
      <c r="BE151" s="2">
        <f t="shared" si="365"/>
        <v>1457.3666666666668</v>
      </c>
      <c r="BF151" s="2">
        <f t="shared" si="338"/>
        <v>11027.710000991465</v>
      </c>
      <c r="BG151" s="2">
        <f t="shared" si="339"/>
        <v>145443.55467593775</v>
      </c>
      <c r="BI151" s="8">
        <f t="shared" si="315"/>
        <v>3.1E-2</v>
      </c>
      <c r="BJ151" s="5">
        <f t="shared" si="366"/>
        <v>1096</v>
      </c>
      <c r="BK151" s="2">
        <f t="shared" si="367"/>
        <v>109490.40000000001</v>
      </c>
      <c r="BL151" s="2">
        <f t="shared" si="368"/>
        <v>109600</v>
      </c>
      <c r="BM151" s="2">
        <f t="shared" si="340"/>
        <v>109600</v>
      </c>
      <c r="BN151" s="8">
        <f t="shared" si="341"/>
        <v>4.5999999999999999E-2</v>
      </c>
      <c r="BO151" s="2">
        <f t="shared" si="342"/>
        <v>110020.13333333333</v>
      </c>
      <c r="BP151" s="2" t="str">
        <f t="shared" si="343"/>
        <v>nie</v>
      </c>
      <c r="BQ151" s="2">
        <f t="shared" si="344"/>
        <v>2192</v>
      </c>
      <c r="BR151" s="1">
        <f t="shared" si="316"/>
        <v>185</v>
      </c>
      <c r="BS151" s="1">
        <f t="shared" si="327"/>
        <v>176</v>
      </c>
      <c r="BT151" s="1">
        <f t="shared" ref="BT151:BT162" si="382">IF(zapadalnosc_COI/12&gt;=BT$18,BS139,0)</f>
        <v>171</v>
      </c>
      <c r="BU151" s="1">
        <f t="shared" si="320"/>
        <v>22</v>
      </c>
      <c r="BV151" s="2">
        <f t="shared" si="247"/>
        <v>18500</v>
      </c>
      <c r="BW151" s="8">
        <f t="shared" si="317"/>
        <v>4.7500000000000001E-2</v>
      </c>
      <c r="BX151" s="2">
        <f t="shared" si="248"/>
        <v>18573.229166666664</v>
      </c>
      <c r="BY151" s="2">
        <f t="shared" si="318"/>
        <v>73.229166666664241</v>
      </c>
      <c r="BZ151" s="2">
        <f t="shared" si="273"/>
        <v>36900</v>
      </c>
      <c r="CA151" s="8">
        <f t="shared" si="328"/>
        <v>4.5999999999999999E-2</v>
      </c>
      <c r="CB151" s="2">
        <f t="shared" si="249"/>
        <v>37041.450000000004</v>
      </c>
      <c r="CC151" s="2">
        <f t="shared" si="329"/>
        <v>738</v>
      </c>
      <c r="CD151" s="2">
        <f t="shared" si="345"/>
        <v>0</v>
      </c>
      <c r="CE151" s="2">
        <f t="shared" si="250"/>
        <v>0</v>
      </c>
      <c r="CF151" s="2">
        <f t="shared" si="251"/>
        <v>57.200000000046202</v>
      </c>
      <c r="CG151" s="1">
        <f t="shared" si="312"/>
        <v>0</v>
      </c>
      <c r="CH151" s="2">
        <f t="shared" si="346"/>
        <v>57.200000000046202</v>
      </c>
      <c r="CI151" s="1">
        <f t="shared" si="242"/>
        <v>0</v>
      </c>
      <c r="CJ151" s="2">
        <f t="shared" si="252"/>
        <v>57.200000000046202</v>
      </c>
      <c r="CK151" s="2">
        <f t="shared" si="253"/>
        <v>165692.01250000004</v>
      </c>
      <c r="CL151" s="2">
        <f t="shared" si="347"/>
        <v>0</v>
      </c>
      <c r="CM151" s="2">
        <f t="shared" si="369"/>
        <v>1605.0280900000005</v>
      </c>
      <c r="CN151" s="2">
        <f t="shared" si="348"/>
        <v>164086.98441000003</v>
      </c>
      <c r="CO151" s="2">
        <f t="shared" si="370"/>
        <v>3003.2291666666642</v>
      </c>
      <c r="CP151" s="2">
        <f t="shared" si="349"/>
        <v>11910.868833333343</v>
      </c>
      <c r="CQ151" s="2">
        <f t="shared" si="350"/>
        <v>149172.88641000004</v>
      </c>
      <c r="CS151" s="5">
        <f t="shared" si="371"/>
        <v>1650</v>
      </c>
      <c r="CT151" s="2">
        <f t="shared" si="372"/>
        <v>164835</v>
      </c>
      <c r="CU151" s="2">
        <f t="shared" si="373"/>
        <v>165000</v>
      </c>
      <c r="CV151" s="2">
        <f t="shared" si="374"/>
        <v>173827.50000000003</v>
      </c>
      <c r="CW151" s="8">
        <f t="shared" si="351"/>
        <v>5.1000000000000004E-2</v>
      </c>
      <c r="CX151" s="2">
        <f t="shared" si="352"/>
        <v>174566.26687500003</v>
      </c>
      <c r="CY151" s="2" t="str">
        <f t="shared" si="353"/>
        <v>nie</v>
      </c>
      <c r="CZ151" s="2">
        <f t="shared" si="375"/>
        <v>0</v>
      </c>
      <c r="DA151" s="2">
        <f t="shared" si="376"/>
        <v>3.6253774281067308</v>
      </c>
      <c r="DB151" s="2">
        <f t="shared" si="377"/>
        <v>174569.89225242814</v>
      </c>
      <c r="DC151" s="2">
        <f t="shared" si="354"/>
        <v>0</v>
      </c>
      <c r="DD151" s="2">
        <f t="shared" si="378"/>
        <v>1653.0847367034451</v>
      </c>
      <c r="DE151" s="2">
        <f t="shared" si="379"/>
        <v>172916.80751572468</v>
      </c>
      <c r="DF151" s="2">
        <f t="shared" si="355"/>
        <v>4950</v>
      </c>
      <c r="DG151" s="2">
        <f t="shared" si="356"/>
        <v>13227.090706250006</v>
      </c>
      <c r="DH151" s="2">
        <f t="shared" si="380"/>
        <v>154739.71680947466</v>
      </c>
    </row>
    <row r="152" spans="2:112">
      <c r="B152" s="232"/>
      <c r="C152" s="1">
        <f t="shared" si="321"/>
        <v>115</v>
      </c>
      <c r="D152" s="2">
        <f t="shared" si="259"/>
        <v>148288.76747245574</v>
      </c>
      <c r="E152" s="2">
        <f t="shared" si="260"/>
        <v>137693.86758743762</v>
      </c>
      <c r="F152" s="2">
        <f t="shared" si="261"/>
        <v>153573.46854333335</v>
      </c>
      <c r="G152" s="2">
        <f t="shared" si="262"/>
        <v>140709.54633500002</v>
      </c>
      <c r="H152" s="2">
        <f t="shared" si="263"/>
        <v>160191.36473089879</v>
      </c>
      <c r="I152" s="2">
        <f t="shared" si="264"/>
        <v>146075.26658469779</v>
      </c>
      <c r="J152" s="2">
        <f t="shared" si="322"/>
        <v>132195.40954858076</v>
      </c>
      <c r="K152" s="2">
        <f t="shared" si="323"/>
        <v>134002.01081701109</v>
      </c>
      <c r="W152" s="1">
        <f t="shared" si="357"/>
        <v>134</v>
      </c>
      <c r="X152" s="2">
        <f t="shared" si="330"/>
        <v>140631.75489471844</v>
      </c>
      <c r="Y152" s="8">
        <f t="shared" si="310"/>
        <v>3.9100000000000003E-2</v>
      </c>
      <c r="Z152" s="5">
        <f t="shared" si="358"/>
        <v>1455</v>
      </c>
      <c r="AA152" s="2">
        <f t="shared" si="359"/>
        <v>145354.5</v>
      </c>
      <c r="AB152" s="2">
        <f t="shared" si="360"/>
        <v>145500</v>
      </c>
      <c r="AC152" s="2">
        <f t="shared" si="361"/>
        <v>158585.68799999999</v>
      </c>
      <c r="AD152" s="8">
        <f t="shared" si="331"/>
        <v>4.3999999999999997E-2</v>
      </c>
      <c r="AE152" s="2">
        <f t="shared" si="332"/>
        <v>159748.64971200001</v>
      </c>
      <c r="AF152" s="2" t="str">
        <f t="shared" si="333"/>
        <v>nie</v>
      </c>
      <c r="AG152" s="2">
        <f t="shared" si="334"/>
        <v>1455</v>
      </c>
      <c r="AH152" s="1">
        <f t="shared" si="233"/>
        <v>1</v>
      </c>
      <c r="AI152" s="1">
        <f t="shared" si="324"/>
        <v>1</v>
      </c>
      <c r="AJ152" s="1">
        <f t="shared" si="381"/>
        <v>1</v>
      </c>
      <c r="AK152" s="1">
        <f t="shared" si="319"/>
        <v>0</v>
      </c>
      <c r="AL152" s="2">
        <f t="shared" si="243"/>
        <v>100</v>
      </c>
      <c r="AM152" s="8">
        <f t="shared" si="313"/>
        <v>4.3999999999999997E-2</v>
      </c>
      <c r="AN152" s="2">
        <f t="shared" si="244"/>
        <v>100.73333333333335</v>
      </c>
      <c r="AO152" s="2">
        <f t="shared" si="314"/>
        <v>0.73333333333334849</v>
      </c>
      <c r="AP152" s="2">
        <f t="shared" si="272"/>
        <v>200</v>
      </c>
      <c r="AQ152" s="8">
        <f t="shared" si="325"/>
        <v>3.9100000000000003E-2</v>
      </c>
      <c r="AR152" s="2">
        <f t="shared" si="267"/>
        <v>201.30333333333334</v>
      </c>
      <c r="AS152" s="2">
        <f t="shared" si="326"/>
        <v>2</v>
      </c>
      <c r="AT152" s="2">
        <f t="shared" si="362"/>
        <v>0</v>
      </c>
      <c r="AU152" s="2">
        <f t="shared" si="245"/>
        <v>0</v>
      </c>
      <c r="AV152" s="2">
        <f t="shared" si="236"/>
        <v>29.75842991998536</v>
      </c>
      <c r="AW152" s="1">
        <f t="shared" si="311"/>
        <v>0</v>
      </c>
      <c r="AX152" s="2">
        <f t="shared" si="335"/>
        <v>29.75842991998536</v>
      </c>
      <c r="AY152" s="1">
        <f t="shared" si="237"/>
        <v>0</v>
      </c>
      <c r="AZ152" s="2">
        <f t="shared" si="363"/>
        <v>29.75842991998536</v>
      </c>
      <c r="BA152" s="2">
        <f t="shared" si="246"/>
        <v>160080.44480858668</v>
      </c>
      <c r="BB152" s="2">
        <f t="shared" si="336"/>
        <v>0</v>
      </c>
      <c r="BC152" s="2">
        <f t="shared" si="364"/>
        <v>1569.3142756574237</v>
      </c>
      <c r="BD152" s="2">
        <f t="shared" si="337"/>
        <v>158511.13053292924</v>
      </c>
      <c r="BE152" s="2">
        <f t="shared" si="365"/>
        <v>1457.7333333333333</v>
      </c>
      <c r="BF152" s="2">
        <f t="shared" si="338"/>
        <v>11138.315180298134</v>
      </c>
      <c r="BG152" s="2">
        <f t="shared" si="339"/>
        <v>145915.08201929776</v>
      </c>
      <c r="BI152" s="8">
        <f t="shared" si="315"/>
        <v>3.1E-2</v>
      </c>
      <c r="BJ152" s="5">
        <f t="shared" si="366"/>
        <v>1096</v>
      </c>
      <c r="BK152" s="2">
        <f t="shared" si="367"/>
        <v>109490.40000000001</v>
      </c>
      <c r="BL152" s="2">
        <f t="shared" si="368"/>
        <v>109600</v>
      </c>
      <c r="BM152" s="2">
        <f t="shared" si="340"/>
        <v>109600</v>
      </c>
      <c r="BN152" s="8">
        <f t="shared" si="341"/>
        <v>4.5999999999999999E-2</v>
      </c>
      <c r="BO152" s="2">
        <f t="shared" si="342"/>
        <v>110440.26666666668</v>
      </c>
      <c r="BP152" s="2" t="str">
        <f t="shared" si="343"/>
        <v>nie</v>
      </c>
      <c r="BQ152" s="2">
        <f t="shared" si="344"/>
        <v>2192</v>
      </c>
      <c r="BR152" s="1">
        <f t="shared" si="316"/>
        <v>185</v>
      </c>
      <c r="BS152" s="1">
        <f t="shared" si="327"/>
        <v>176</v>
      </c>
      <c r="BT152" s="1">
        <f t="shared" si="382"/>
        <v>171</v>
      </c>
      <c r="BU152" s="1">
        <f t="shared" si="320"/>
        <v>22</v>
      </c>
      <c r="BV152" s="2">
        <f t="shared" si="247"/>
        <v>18500</v>
      </c>
      <c r="BW152" s="8">
        <f t="shared" si="317"/>
        <v>4.7500000000000001E-2</v>
      </c>
      <c r="BX152" s="2">
        <f t="shared" si="248"/>
        <v>18646.458333333332</v>
      </c>
      <c r="BY152" s="2">
        <f t="shared" si="318"/>
        <v>146.45833333333212</v>
      </c>
      <c r="BZ152" s="2">
        <f t="shared" si="273"/>
        <v>36900</v>
      </c>
      <c r="CA152" s="8">
        <f t="shared" si="328"/>
        <v>4.5999999999999999E-2</v>
      </c>
      <c r="CB152" s="2">
        <f t="shared" si="249"/>
        <v>37182.9</v>
      </c>
      <c r="CC152" s="2">
        <f t="shared" si="329"/>
        <v>738</v>
      </c>
      <c r="CD152" s="2">
        <f t="shared" si="345"/>
        <v>0</v>
      </c>
      <c r="CE152" s="2">
        <f t="shared" si="250"/>
        <v>0</v>
      </c>
      <c r="CF152" s="2">
        <f t="shared" si="251"/>
        <v>57.200000000046202</v>
      </c>
      <c r="CG152" s="1">
        <f t="shared" si="312"/>
        <v>0</v>
      </c>
      <c r="CH152" s="2">
        <f t="shared" si="346"/>
        <v>57.200000000046202</v>
      </c>
      <c r="CI152" s="1">
        <f t="shared" si="242"/>
        <v>0</v>
      </c>
      <c r="CJ152" s="2">
        <f t="shared" si="252"/>
        <v>57.200000000046202</v>
      </c>
      <c r="CK152" s="2">
        <f t="shared" si="253"/>
        <v>166326.82500000004</v>
      </c>
      <c r="CL152" s="2">
        <f t="shared" si="347"/>
        <v>0</v>
      </c>
      <c r="CM152" s="2">
        <f t="shared" si="369"/>
        <v>1605.0280900000005</v>
      </c>
      <c r="CN152" s="2">
        <f t="shared" si="348"/>
        <v>164721.79691000003</v>
      </c>
      <c r="CO152" s="2">
        <f t="shared" si="370"/>
        <v>3076.4583333333321</v>
      </c>
      <c r="CP152" s="2">
        <f t="shared" si="349"/>
        <v>12017.569666666674</v>
      </c>
      <c r="CQ152" s="2">
        <f t="shared" si="350"/>
        <v>149627.76891000001</v>
      </c>
      <c r="CS152" s="5">
        <f t="shared" si="371"/>
        <v>1650</v>
      </c>
      <c r="CT152" s="2">
        <f t="shared" si="372"/>
        <v>164835</v>
      </c>
      <c r="CU152" s="2">
        <f t="shared" si="373"/>
        <v>165000</v>
      </c>
      <c r="CV152" s="2">
        <f t="shared" si="374"/>
        <v>173827.50000000003</v>
      </c>
      <c r="CW152" s="8">
        <f t="shared" si="351"/>
        <v>5.1000000000000004E-2</v>
      </c>
      <c r="CX152" s="2">
        <f t="shared" si="352"/>
        <v>175305.03375000003</v>
      </c>
      <c r="CY152" s="2" t="str">
        <f t="shared" si="353"/>
        <v>nie</v>
      </c>
      <c r="CZ152" s="2">
        <f t="shared" si="375"/>
        <v>0</v>
      </c>
      <c r="DA152" s="2">
        <f t="shared" si="376"/>
        <v>3.6253774281067308</v>
      </c>
      <c r="DB152" s="2">
        <f t="shared" si="377"/>
        <v>175308.65912742814</v>
      </c>
      <c r="DC152" s="2">
        <f t="shared" si="354"/>
        <v>0</v>
      </c>
      <c r="DD152" s="2">
        <f t="shared" si="378"/>
        <v>1653.0847367034451</v>
      </c>
      <c r="DE152" s="2">
        <f t="shared" si="379"/>
        <v>173655.57439072468</v>
      </c>
      <c r="DF152" s="2">
        <f t="shared" si="355"/>
        <v>4950</v>
      </c>
      <c r="DG152" s="2">
        <f t="shared" si="356"/>
        <v>13367.456412500007</v>
      </c>
      <c r="DH152" s="2">
        <f t="shared" si="380"/>
        <v>155338.11797822468</v>
      </c>
    </row>
    <row r="153" spans="2:112">
      <c r="B153" s="232"/>
      <c r="C153" s="1">
        <f t="shared" si="321"/>
        <v>116</v>
      </c>
      <c r="D153" s="2">
        <f t="shared" si="259"/>
        <v>148823.28580578908</v>
      </c>
      <c r="E153" s="2">
        <f t="shared" si="260"/>
        <v>138126.82743743761</v>
      </c>
      <c r="F153" s="2">
        <f t="shared" si="261"/>
        <v>154153.28937666668</v>
      </c>
      <c r="G153" s="2">
        <f t="shared" si="262"/>
        <v>141179.20121</v>
      </c>
      <c r="H153" s="2">
        <f t="shared" si="263"/>
        <v>160857.93386301494</v>
      </c>
      <c r="I153" s="2">
        <f t="shared" si="264"/>
        <v>146615.18758171186</v>
      </c>
      <c r="J153" s="2">
        <f t="shared" si="322"/>
        <v>132516.64439378382</v>
      </c>
      <c r="K153" s="2">
        <f t="shared" si="323"/>
        <v>134342.03392704853</v>
      </c>
      <c r="W153" s="1">
        <f t="shared" si="357"/>
        <v>135</v>
      </c>
      <c r="X153" s="2">
        <f t="shared" si="330"/>
        <v>140993.1861997869</v>
      </c>
      <c r="Y153" s="8">
        <f t="shared" ref="Y153:Y162" si="383">MAX(INDEX(scenariusz_I_WIBOR6M,MATCH(ROUNDUP(W153/12,0),scenariusz_I_rok,0)),0)</f>
        <v>3.9100000000000003E-2</v>
      </c>
      <c r="Z153" s="5">
        <f t="shared" si="358"/>
        <v>1455</v>
      </c>
      <c r="AA153" s="2">
        <f t="shared" si="359"/>
        <v>145354.5</v>
      </c>
      <c r="AB153" s="2">
        <f t="shared" si="360"/>
        <v>145500</v>
      </c>
      <c r="AC153" s="2">
        <f t="shared" si="361"/>
        <v>158585.68799999999</v>
      </c>
      <c r="AD153" s="8">
        <f t="shared" si="331"/>
        <v>4.3999999999999997E-2</v>
      </c>
      <c r="AE153" s="2">
        <f t="shared" si="332"/>
        <v>160330.13056799996</v>
      </c>
      <c r="AF153" s="2" t="str">
        <f t="shared" si="333"/>
        <v>nie</v>
      </c>
      <c r="AG153" s="2">
        <f t="shared" si="334"/>
        <v>1455</v>
      </c>
      <c r="AH153" s="1">
        <f t="shared" si="233"/>
        <v>1</v>
      </c>
      <c r="AI153" s="1">
        <f t="shared" si="324"/>
        <v>1</v>
      </c>
      <c r="AJ153" s="1">
        <f t="shared" si="381"/>
        <v>1</v>
      </c>
      <c r="AK153" s="1">
        <f t="shared" si="319"/>
        <v>0</v>
      </c>
      <c r="AL153" s="2">
        <f t="shared" si="243"/>
        <v>100</v>
      </c>
      <c r="AM153" s="8">
        <f t="shared" si="313"/>
        <v>4.3999999999999997E-2</v>
      </c>
      <c r="AN153" s="2">
        <f t="shared" si="244"/>
        <v>101.1</v>
      </c>
      <c r="AO153" s="2">
        <f t="shared" si="314"/>
        <v>1</v>
      </c>
      <c r="AP153" s="2">
        <f t="shared" si="272"/>
        <v>200</v>
      </c>
      <c r="AQ153" s="8">
        <f t="shared" si="325"/>
        <v>3.9100000000000003E-2</v>
      </c>
      <c r="AR153" s="2">
        <f t="shared" si="267"/>
        <v>201.95500000000001</v>
      </c>
      <c r="AS153" s="2">
        <f t="shared" si="326"/>
        <v>2</v>
      </c>
      <c r="AT153" s="2">
        <f t="shared" si="362"/>
        <v>0</v>
      </c>
      <c r="AU153" s="2">
        <f t="shared" si="245"/>
        <v>0</v>
      </c>
      <c r="AV153" s="2">
        <f t="shared" si="236"/>
        <v>29.75842991998536</v>
      </c>
      <c r="AW153" s="1">
        <f t="shared" si="311"/>
        <v>0</v>
      </c>
      <c r="AX153" s="2">
        <f t="shared" si="335"/>
        <v>29.75842991998536</v>
      </c>
      <c r="AY153" s="1">
        <f t="shared" si="237"/>
        <v>0</v>
      </c>
      <c r="AZ153" s="2">
        <f t="shared" si="363"/>
        <v>29.75842991998536</v>
      </c>
      <c r="BA153" s="2">
        <f t="shared" si="246"/>
        <v>160662.94399791994</v>
      </c>
      <c r="BB153" s="2">
        <f t="shared" si="336"/>
        <v>0</v>
      </c>
      <c r="BC153" s="2">
        <f t="shared" si="364"/>
        <v>1569.3142756574237</v>
      </c>
      <c r="BD153" s="2">
        <f t="shared" si="337"/>
        <v>159093.6297222625</v>
      </c>
      <c r="BE153" s="2">
        <f t="shared" si="365"/>
        <v>1458</v>
      </c>
      <c r="BF153" s="2">
        <f t="shared" si="338"/>
        <v>11248.939359604788</v>
      </c>
      <c r="BG153" s="2">
        <f t="shared" si="339"/>
        <v>146386.69036265771</v>
      </c>
      <c r="BI153" s="8">
        <f t="shared" si="315"/>
        <v>3.1E-2</v>
      </c>
      <c r="BJ153" s="5">
        <f t="shared" si="366"/>
        <v>1096</v>
      </c>
      <c r="BK153" s="2">
        <f t="shared" si="367"/>
        <v>109490.40000000001</v>
      </c>
      <c r="BL153" s="2">
        <f t="shared" si="368"/>
        <v>109600</v>
      </c>
      <c r="BM153" s="2">
        <f t="shared" si="340"/>
        <v>109600</v>
      </c>
      <c r="BN153" s="8">
        <f t="shared" si="341"/>
        <v>4.5999999999999999E-2</v>
      </c>
      <c r="BO153" s="2">
        <f t="shared" si="342"/>
        <v>110860.40000000001</v>
      </c>
      <c r="BP153" s="2" t="str">
        <f t="shared" si="343"/>
        <v>nie</v>
      </c>
      <c r="BQ153" s="2">
        <f t="shared" si="344"/>
        <v>2192</v>
      </c>
      <c r="BR153" s="1">
        <f t="shared" si="316"/>
        <v>185</v>
      </c>
      <c r="BS153" s="1">
        <f t="shared" si="327"/>
        <v>176</v>
      </c>
      <c r="BT153" s="1">
        <f t="shared" si="382"/>
        <v>171</v>
      </c>
      <c r="BU153" s="1">
        <f t="shared" si="320"/>
        <v>22</v>
      </c>
      <c r="BV153" s="2">
        <f t="shared" si="247"/>
        <v>18500</v>
      </c>
      <c r="BW153" s="8">
        <f t="shared" si="317"/>
        <v>4.7500000000000001E-2</v>
      </c>
      <c r="BX153" s="2">
        <f t="shared" si="248"/>
        <v>18719.6875</v>
      </c>
      <c r="BY153" s="2">
        <f t="shared" si="318"/>
        <v>219.6875</v>
      </c>
      <c r="BZ153" s="2">
        <f t="shared" si="273"/>
        <v>36900</v>
      </c>
      <c r="CA153" s="8">
        <f t="shared" si="328"/>
        <v>4.5999999999999999E-2</v>
      </c>
      <c r="CB153" s="2">
        <f t="shared" si="249"/>
        <v>37324.350000000006</v>
      </c>
      <c r="CC153" s="2">
        <f t="shared" si="329"/>
        <v>738</v>
      </c>
      <c r="CD153" s="2">
        <f t="shared" si="345"/>
        <v>0</v>
      </c>
      <c r="CE153" s="2">
        <f t="shared" si="250"/>
        <v>0</v>
      </c>
      <c r="CF153" s="2">
        <f t="shared" si="251"/>
        <v>57.200000000046202</v>
      </c>
      <c r="CG153" s="1">
        <f t="shared" si="312"/>
        <v>0</v>
      </c>
      <c r="CH153" s="2">
        <f t="shared" si="346"/>
        <v>57.200000000046202</v>
      </c>
      <c r="CI153" s="1">
        <f t="shared" si="242"/>
        <v>0</v>
      </c>
      <c r="CJ153" s="2">
        <f t="shared" si="252"/>
        <v>57.200000000046202</v>
      </c>
      <c r="CK153" s="2">
        <f t="shared" si="253"/>
        <v>166961.63750000004</v>
      </c>
      <c r="CL153" s="2">
        <f t="shared" si="347"/>
        <v>0</v>
      </c>
      <c r="CM153" s="2">
        <f t="shared" si="369"/>
        <v>1605.0280900000005</v>
      </c>
      <c r="CN153" s="2">
        <f t="shared" si="348"/>
        <v>165356.60941000003</v>
      </c>
      <c r="CO153" s="2">
        <f t="shared" si="370"/>
        <v>3149.6875</v>
      </c>
      <c r="CP153" s="2">
        <f t="shared" si="349"/>
        <v>12124.270500000008</v>
      </c>
      <c r="CQ153" s="2">
        <f t="shared" si="350"/>
        <v>150082.65141000002</v>
      </c>
      <c r="CS153" s="5">
        <f t="shared" si="371"/>
        <v>1650</v>
      </c>
      <c r="CT153" s="2">
        <f t="shared" si="372"/>
        <v>164835</v>
      </c>
      <c r="CU153" s="2">
        <f t="shared" si="373"/>
        <v>165000</v>
      </c>
      <c r="CV153" s="2">
        <f t="shared" si="374"/>
        <v>173827.50000000003</v>
      </c>
      <c r="CW153" s="8">
        <f t="shared" si="351"/>
        <v>5.1000000000000004E-2</v>
      </c>
      <c r="CX153" s="2">
        <f t="shared" si="352"/>
        <v>176043.80062500003</v>
      </c>
      <c r="CY153" s="2" t="str">
        <f t="shared" si="353"/>
        <v>nie</v>
      </c>
      <c r="CZ153" s="2">
        <f t="shared" si="375"/>
        <v>0</v>
      </c>
      <c r="DA153" s="2">
        <f t="shared" si="376"/>
        <v>3.6253774281067308</v>
      </c>
      <c r="DB153" s="2">
        <f t="shared" si="377"/>
        <v>176047.42600242814</v>
      </c>
      <c r="DC153" s="2">
        <f t="shared" si="354"/>
        <v>0</v>
      </c>
      <c r="DD153" s="2">
        <f t="shared" si="378"/>
        <v>1653.0847367034451</v>
      </c>
      <c r="DE153" s="2">
        <f t="shared" si="379"/>
        <v>174394.34126572468</v>
      </c>
      <c r="DF153" s="2">
        <f t="shared" si="355"/>
        <v>4950</v>
      </c>
      <c r="DG153" s="2">
        <f t="shared" si="356"/>
        <v>13507.822118750006</v>
      </c>
      <c r="DH153" s="2">
        <f t="shared" si="380"/>
        <v>155936.51914697466</v>
      </c>
    </row>
    <row r="154" spans="2:112">
      <c r="B154" s="232"/>
      <c r="C154" s="1">
        <f t="shared" si="321"/>
        <v>117</v>
      </c>
      <c r="D154" s="2">
        <f t="shared" si="259"/>
        <v>149357.80413912237</v>
      </c>
      <c r="E154" s="2">
        <f t="shared" si="260"/>
        <v>138559.78728743759</v>
      </c>
      <c r="F154" s="2">
        <f t="shared" si="261"/>
        <v>154733.11021000004</v>
      </c>
      <c r="G154" s="2">
        <f t="shared" si="262"/>
        <v>141648.85608500004</v>
      </c>
      <c r="H154" s="2">
        <f t="shared" si="263"/>
        <v>161524.50299513107</v>
      </c>
      <c r="I154" s="2">
        <f t="shared" si="264"/>
        <v>147155.10857872595</v>
      </c>
      <c r="J154" s="2">
        <f t="shared" si="322"/>
        <v>132838.65983966072</v>
      </c>
      <c r="K154" s="2">
        <f t="shared" si="323"/>
        <v>134682.05703708596</v>
      </c>
      <c r="W154" s="1">
        <f t="shared" si="357"/>
        <v>136</v>
      </c>
      <c r="X154" s="2">
        <f t="shared" si="330"/>
        <v>141354.61750485541</v>
      </c>
      <c r="Y154" s="8">
        <f t="shared" si="383"/>
        <v>3.9100000000000003E-2</v>
      </c>
      <c r="Z154" s="5">
        <f t="shared" si="358"/>
        <v>1455</v>
      </c>
      <c r="AA154" s="2">
        <f t="shared" si="359"/>
        <v>145354.5</v>
      </c>
      <c r="AB154" s="2">
        <f t="shared" si="360"/>
        <v>145500</v>
      </c>
      <c r="AC154" s="2">
        <f t="shared" si="361"/>
        <v>158585.68799999999</v>
      </c>
      <c r="AD154" s="8">
        <f t="shared" si="331"/>
        <v>4.3999999999999997E-2</v>
      </c>
      <c r="AE154" s="2">
        <f t="shared" si="332"/>
        <v>160911.61142399997</v>
      </c>
      <c r="AF154" s="2" t="str">
        <f t="shared" si="333"/>
        <v>nie</v>
      </c>
      <c r="AG154" s="2">
        <f t="shared" si="334"/>
        <v>1455</v>
      </c>
      <c r="AH154" s="1">
        <f t="shared" si="233"/>
        <v>1</v>
      </c>
      <c r="AI154" s="1">
        <f t="shared" si="324"/>
        <v>1</v>
      </c>
      <c r="AJ154" s="1">
        <f t="shared" si="381"/>
        <v>1</v>
      </c>
      <c r="AK154" s="1">
        <f t="shared" si="319"/>
        <v>0</v>
      </c>
      <c r="AL154" s="2">
        <f t="shared" si="243"/>
        <v>100</v>
      </c>
      <c r="AM154" s="8">
        <f t="shared" si="313"/>
        <v>4.3999999999999997E-2</v>
      </c>
      <c r="AN154" s="2">
        <f t="shared" si="244"/>
        <v>101.46666666666665</v>
      </c>
      <c r="AO154" s="2">
        <f t="shared" si="314"/>
        <v>1</v>
      </c>
      <c r="AP154" s="2">
        <f t="shared" si="272"/>
        <v>200</v>
      </c>
      <c r="AQ154" s="8">
        <f t="shared" si="325"/>
        <v>3.9100000000000003E-2</v>
      </c>
      <c r="AR154" s="2">
        <f t="shared" si="267"/>
        <v>202.60666666666665</v>
      </c>
      <c r="AS154" s="2">
        <f t="shared" si="326"/>
        <v>2</v>
      </c>
      <c r="AT154" s="2">
        <f t="shared" si="362"/>
        <v>0</v>
      </c>
      <c r="AU154" s="2">
        <f t="shared" si="245"/>
        <v>0</v>
      </c>
      <c r="AV154" s="2">
        <f t="shared" si="236"/>
        <v>29.75842991998536</v>
      </c>
      <c r="AW154" s="1">
        <f t="shared" si="311"/>
        <v>0</v>
      </c>
      <c r="AX154" s="2">
        <f t="shared" si="335"/>
        <v>29.75842991998536</v>
      </c>
      <c r="AY154" s="1">
        <f t="shared" si="237"/>
        <v>0</v>
      </c>
      <c r="AZ154" s="2">
        <f t="shared" si="363"/>
        <v>29.75842991998536</v>
      </c>
      <c r="BA154" s="2">
        <f t="shared" si="246"/>
        <v>161245.44318725329</v>
      </c>
      <c r="BB154" s="2">
        <f t="shared" si="336"/>
        <v>0</v>
      </c>
      <c r="BC154" s="2">
        <f t="shared" si="364"/>
        <v>1569.3142756574237</v>
      </c>
      <c r="BD154" s="2">
        <f t="shared" si="337"/>
        <v>159676.12891159585</v>
      </c>
      <c r="BE154" s="2">
        <f t="shared" si="365"/>
        <v>1458</v>
      </c>
      <c r="BF154" s="2">
        <f t="shared" si="338"/>
        <v>11359.614205578126</v>
      </c>
      <c r="BG154" s="2">
        <f t="shared" si="339"/>
        <v>146858.51470601771</v>
      </c>
      <c r="BI154" s="8">
        <f t="shared" si="315"/>
        <v>3.1E-2</v>
      </c>
      <c r="BJ154" s="5">
        <f t="shared" si="366"/>
        <v>1096</v>
      </c>
      <c r="BK154" s="2">
        <f t="shared" si="367"/>
        <v>109490.40000000001</v>
      </c>
      <c r="BL154" s="2">
        <f t="shared" si="368"/>
        <v>109600</v>
      </c>
      <c r="BM154" s="2">
        <f t="shared" si="340"/>
        <v>109600</v>
      </c>
      <c r="BN154" s="8">
        <f t="shared" si="341"/>
        <v>4.5999999999999999E-2</v>
      </c>
      <c r="BO154" s="2">
        <f t="shared" si="342"/>
        <v>111280.53333333334</v>
      </c>
      <c r="BP154" s="2" t="str">
        <f t="shared" si="343"/>
        <v>nie</v>
      </c>
      <c r="BQ154" s="2">
        <f t="shared" si="344"/>
        <v>2192</v>
      </c>
      <c r="BR154" s="1">
        <f t="shared" si="316"/>
        <v>185</v>
      </c>
      <c r="BS154" s="1">
        <f t="shared" si="327"/>
        <v>176</v>
      </c>
      <c r="BT154" s="1">
        <f t="shared" si="382"/>
        <v>171</v>
      </c>
      <c r="BU154" s="1">
        <f t="shared" si="320"/>
        <v>22</v>
      </c>
      <c r="BV154" s="2">
        <f t="shared" si="247"/>
        <v>18500</v>
      </c>
      <c r="BW154" s="8">
        <f t="shared" si="317"/>
        <v>4.7500000000000001E-2</v>
      </c>
      <c r="BX154" s="2">
        <f t="shared" si="248"/>
        <v>18792.916666666668</v>
      </c>
      <c r="BY154" s="2">
        <f t="shared" si="318"/>
        <v>292.91666666666788</v>
      </c>
      <c r="BZ154" s="2">
        <f t="shared" si="273"/>
        <v>36900</v>
      </c>
      <c r="CA154" s="8">
        <f t="shared" si="328"/>
        <v>4.5999999999999999E-2</v>
      </c>
      <c r="CB154" s="2">
        <f t="shared" si="249"/>
        <v>37465.800000000003</v>
      </c>
      <c r="CC154" s="2">
        <f t="shared" si="329"/>
        <v>738</v>
      </c>
      <c r="CD154" s="2">
        <f t="shared" si="345"/>
        <v>0</v>
      </c>
      <c r="CE154" s="2">
        <f t="shared" si="250"/>
        <v>0</v>
      </c>
      <c r="CF154" s="2">
        <f t="shared" si="251"/>
        <v>57.200000000046202</v>
      </c>
      <c r="CG154" s="1">
        <f t="shared" si="312"/>
        <v>0</v>
      </c>
      <c r="CH154" s="2">
        <f t="shared" si="346"/>
        <v>57.200000000046202</v>
      </c>
      <c r="CI154" s="1">
        <f t="shared" si="242"/>
        <v>0</v>
      </c>
      <c r="CJ154" s="2">
        <f t="shared" si="252"/>
        <v>57.200000000046202</v>
      </c>
      <c r="CK154" s="2">
        <f t="shared" si="253"/>
        <v>167596.45000000004</v>
      </c>
      <c r="CL154" s="2">
        <f t="shared" si="347"/>
        <v>0</v>
      </c>
      <c r="CM154" s="2">
        <f t="shared" si="369"/>
        <v>1605.0280900000005</v>
      </c>
      <c r="CN154" s="2">
        <f t="shared" si="348"/>
        <v>165991.42191000003</v>
      </c>
      <c r="CO154" s="2">
        <f t="shared" si="370"/>
        <v>3222.9166666666679</v>
      </c>
      <c r="CP154" s="2">
        <f t="shared" si="349"/>
        <v>12230.971333333344</v>
      </c>
      <c r="CQ154" s="2">
        <f t="shared" si="350"/>
        <v>150537.53391000003</v>
      </c>
      <c r="CS154" s="5">
        <f t="shared" si="371"/>
        <v>1650</v>
      </c>
      <c r="CT154" s="2">
        <f t="shared" si="372"/>
        <v>164835</v>
      </c>
      <c r="CU154" s="2">
        <f t="shared" si="373"/>
        <v>165000</v>
      </c>
      <c r="CV154" s="2">
        <f t="shared" si="374"/>
        <v>173827.50000000003</v>
      </c>
      <c r="CW154" s="8">
        <f t="shared" si="351"/>
        <v>5.1000000000000004E-2</v>
      </c>
      <c r="CX154" s="2">
        <f t="shared" si="352"/>
        <v>176782.5675</v>
      </c>
      <c r="CY154" s="2" t="str">
        <f t="shared" si="353"/>
        <v>nie</v>
      </c>
      <c r="CZ154" s="2">
        <f t="shared" si="375"/>
        <v>0</v>
      </c>
      <c r="DA154" s="2">
        <f t="shared" si="376"/>
        <v>3.6253774281067308</v>
      </c>
      <c r="DB154" s="2">
        <f t="shared" si="377"/>
        <v>176786.19287742811</v>
      </c>
      <c r="DC154" s="2">
        <f t="shared" si="354"/>
        <v>0</v>
      </c>
      <c r="DD154" s="2">
        <f t="shared" si="378"/>
        <v>1653.0847367034451</v>
      </c>
      <c r="DE154" s="2">
        <f t="shared" si="379"/>
        <v>175133.10814072465</v>
      </c>
      <c r="DF154" s="2">
        <f t="shared" si="355"/>
        <v>4950</v>
      </c>
      <c r="DG154" s="2">
        <f t="shared" si="356"/>
        <v>13648.187825000001</v>
      </c>
      <c r="DH154" s="2">
        <f t="shared" si="380"/>
        <v>156534.92031572465</v>
      </c>
    </row>
    <row r="155" spans="2:112">
      <c r="B155" s="232"/>
      <c r="C155" s="1">
        <f t="shared" si="321"/>
        <v>118</v>
      </c>
      <c r="D155" s="2">
        <f t="shared" si="259"/>
        <v>149892.32247245571</v>
      </c>
      <c r="E155" s="2">
        <f t="shared" si="260"/>
        <v>138992.74713743757</v>
      </c>
      <c r="F155" s="2">
        <f t="shared" si="261"/>
        <v>155312.93104333334</v>
      </c>
      <c r="G155" s="2">
        <f t="shared" si="262"/>
        <v>142118.51096000001</v>
      </c>
      <c r="H155" s="2">
        <f t="shared" si="263"/>
        <v>162191.07212724723</v>
      </c>
      <c r="I155" s="2">
        <f t="shared" si="264"/>
        <v>147695.02957574002</v>
      </c>
      <c r="J155" s="2">
        <f t="shared" si="322"/>
        <v>133161.45778307109</v>
      </c>
      <c r="K155" s="2">
        <f t="shared" si="323"/>
        <v>135022.08014712343</v>
      </c>
      <c r="W155" s="1">
        <f t="shared" si="357"/>
        <v>137</v>
      </c>
      <c r="X155" s="2">
        <f t="shared" si="330"/>
        <v>141716.04880992393</v>
      </c>
      <c r="Y155" s="8">
        <f t="shared" si="383"/>
        <v>3.9100000000000003E-2</v>
      </c>
      <c r="Z155" s="5">
        <f t="shared" si="358"/>
        <v>1455</v>
      </c>
      <c r="AA155" s="2">
        <f t="shared" si="359"/>
        <v>145354.5</v>
      </c>
      <c r="AB155" s="2">
        <f t="shared" si="360"/>
        <v>145500</v>
      </c>
      <c r="AC155" s="2">
        <f t="shared" si="361"/>
        <v>158585.68799999999</v>
      </c>
      <c r="AD155" s="8">
        <f t="shared" si="331"/>
        <v>4.3999999999999997E-2</v>
      </c>
      <c r="AE155" s="2">
        <f t="shared" si="332"/>
        <v>161493.09227999998</v>
      </c>
      <c r="AF155" s="2" t="str">
        <f t="shared" si="333"/>
        <v>nie</v>
      </c>
      <c r="AG155" s="2">
        <f t="shared" si="334"/>
        <v>1455</v>
      </c>
      <c r="AH155" s="1">
        <f t="shared" si="233"/>
        <v>1</v>
      </c>
      <c r="AI155" s="1">
        <f t="shared" si="324"/>
        <v>1</v>
      </c>
      <c r="AJ155" s="1">
        <f t="shared" si="381"/>
        <v>1</v>
      </c>
      <c r="AK155" s="1">
        <f t="shared" si="319"/>
        <v>0</v>
      </c>
      <c r="AL155" s="2">
        <f t="shared" si="243"/>
        <v>100</v>
      </c>
      <c r="AM155" s="8">
        <f t="shared" si="313"/>
        <v>4.3999999999999997E-2</v>
      </c>
      <c r="AN155" s="2">
        <f t="shared" si="244"/>
        <v>101.83333333333333</v>
      </c>
      <c r="AO155" s="2">
        <f t="shared" si="314"/>
        <v>1</v>
      </c>
      <c r="AP155" s="2">
        <f t="shared" si="272"/>
        <v>200</v>
      </c>
      <c r="AQ155" s="8">
        <f t="shared" si="325"/>
        <v>3.9100000000000003E-2</v>
      </c>
      <c r="AR155" s="2">
        <f t="shared" si="267"/>
        <v>203.25833333333333</v>
      </c>
      <c r="AS155" s="2">
        <f t="shared" si="326"/>
        <v>2</v>
      </c>
      <c r="AT155" s="2">
        <f t="shared" si="362"/>
        <v>0</v>
      </c>
      <c r="AU155" s="2">
        <f t="shared" si="245"/>
        <v>0</v>
      </c>
      <c r="AV155" s="2">
        <f t="shared" si="236"/>
        <v>29.75842991998536</v>
      </c>
      <c r="AW155" s="1">
        <f t="shared" si="311"/>
        <v>0</v>
      </c>
      <c r="AX155" s="2">
        <f t="shared" si="335"/>
        <v>29.75842991998536</v>
      </c>
      <c r="AY155" s="1">
        <f t="shared" si="237"/>
        <v>0</v>
      </c>
      <c r="AZ155" s="2">
        <f t="shared" si="363"/>
        <v>29.75842991998536</v>
      </c>
      <c r="BA155" s="2">
        <f t="shared" si="246"/>
        <v>161827.94237658664</v>
      </c>
      <c r="BB155" s="2">
        <f t="shared" si="336"/>
        <v>0</v>
      </c>
      <c r="BC155" s="2">
        <f t="shared" si="364"/>
        <v>1569.3142756574237</v>
      </c>
      <c r="BD155" s="2">
        <f t="shared" si="337"/>
        <v>160258.6281009292</v>
      </c>
      <c r="BE155" s="2">
        <f t="shared" si="365"/>
        <v>1458</v>
      </c>
      <c r="BF155" s="2">
        <f t="shared" si="338"/>
        <v>11470.289051551461</v>
      </c>
      <c r="BG155" s="2">
        <f t="shared" si="339"/>
        <v>147330.33904937774</v>
      </c>
      <c r="BI155" s="8">
        <f t="shared" si="315"/>
        <v>3.1E-2</v>
      </c>
      <c r="BJ155" s="5">
        <f t="shared" si="366"/>
        <v>1096</v>
      </c>
      <c r="BK155" s="2">
        <f t="shared" si="367"/>
        <v>109490.40000000001</v>
      </c>
      <c r="BL155" s="2">
        <f t="shared" si="368"/>
        <v>109600</v>
      </c>
      <c r="BM155" s="2">
        <f t="shared" si="340"/>
        <v>109600</v>
      </c>
      <c r="BN155" s="8">
        <f t="shared" si="341"/>
        <v>4.5999999999999999E-2</v>
      </c>
      <c r="BO155" s="2">
        <f t="shared" si="342"/>
        <v>111700.66666666666</v>
      </c>
      <c r="BP155" s="2" t="str">
        <f t="shared" si="343"/>
        <v>nie</v>
      </c>
      <c r="BQ155" s="2">
        <f t="shared" si="344"/>
        <v>2192</v>
      </c>
      <c r="BR155" s="1">
        <f t="shared" si="316"/>
        <v>185</v>
      </c>
      <c r="BS155" s="1">
        <f t="shared" si="327"/>
        <v>176</v>
      </c>
      <c r="BT155" s="1">
        <f t="shared" si="382"/>
        <v>171</v>
      </c>
      <c r="BU155" s="1">
        <f t="shared" si="320"/>
        <v>22</v>
      </c>
      <c r="BV155" s="2">
        <f t="shared" si="247"/>
        <v>18500</v>
      </c>
      <c r="BW155" s="8">
        <f t="shared" si="317"/>
        <v>4.7500000000000001E-2</v>
      </c>
      <c r="BX155" s="2">
        <f t="shared" si="248"/>
        <v>18866.145833333332</v>
      </c>
      <c r="BY155" s="2">
        <f t="shared" si="318"/>
        <v>366.14583333333212</v>
      </c>
      <c r="BZ155" s="2">
        <f t="shared" si="273"/>
        <v>36900</v>
      </c>
      <c r="CA155" s="8">
        <f t="shared" si="328"/>
        <v>4.5999999999999999E-2</v>
      </c>
      <c r="CB155" s="2">
        <f t="shared" si="249"/>
        <v>37607.249999999993</v>
      </c>
      <c r="CC155" s="2">
        <f t="shared" si="329"/>
        <v>738</v>
      </c>
      <c r="CD155" s="2">
        <f t="shared" si="345"/>
        <v>0</v>
      </c>
      <c r="CE155" s="2">
        <f t="shared" si="250"/>
        <v>0</v>
      </c>
      <c r="CF155" s="2">
        <f t="shared" si="251"/>
        <v>57.200000000046202</v>
      </c>
      <c r="CG155" s="1">
        <f t="shared" si="312"/>
        <v>0</v>
      </c>
      <c r="CH155" s="2">
        <f t="shared" si="346"/>
        <v>57.200000000046202</v>
      </c>
      <c r="CI155" s="1">
        <f t="shared" si="242"/>
        <v>0</v>
      </c>
      <c r="CJ155" s="2">
        <f t="shared" si="252"/>
        <v>57.200000000046202</v>
      </c>
      <c r="CK155" s="2">
        <f t="shared" si="253"/>
        <v>168231.26250000001</v>
      </c>
      <c r="CL155" s="2">
        <f t="shared" si="347"/>
        <v>0</v>
      </c>
      <c r="CM155" s="2">
        <f t="shared" si="369"/>
        <v>1605.0280900000005</v>
      </c>
      <c r="CN155" s="2">
        <f t="shared" si="348"/>
        <v>166626.23441</v>
      </c>
      <c r="CO155" s="2">
        <f t="shared" si="370"/>
        <v>3296.1458333333321</v>
      </c>
      <c r="CP155" s="2">
        <f t="shared" si="349"/>
        <v>12337.672166666667</v>
      </c>
      <c r="CQ155" s="2">
        <f t="shared" si="350"/>
        <v>150992.41641000001</v>
      </c>
      <c r="CS155" s="5">
        <f t="shared" si="371"/>
        <v>1650</v>
      </c>
      <c r="CT155" s="2">
        <f t="shared" si="372"/>
        <v>164835</v>
      </c>
      <c r="CU155" s="2">
        <f t="shared" si="373"/>
        <v>165000</v>
      </c>
      <c r="CV155" s="2">
        <f t="shared" si="374"/>
        <v>173827.50000000003</v>
      </c>
      <c r="CW155" s="8">
        <f t="shared" si="351"/>
        <v>5.1000000000000004E-2</v>
      </c>
      <c r="CX155" s="2">
        <f t="shared" si="352"/>
        <v>177521.33437500003</v>
      </c>
      <c r="CY155" s="2" t="str">
        <f t="shared" si="353"/>
        <v>nie</v>
      </c>
      <c r="CZ155" s="2">
        <f t="shared" si="375"/>
        <v>0</v>
      </c>
      <c r="DA155" s="2">
        <f t="shared" si="376"/>
        <v>3.6253774281067308</v>
      </c>
      <c r="DB155" s="2">
        <f t="shared" si="377"/>
        <v>177524.95975242814</v>
      </c>
      <c r="DC155" s="2">
        <f t="shared" si="354"/>
        <v>0</v>
      </c>
      <c r="DD155" s="2">
        <f t="shared" si="378"/>
        <v>1653.0847367034451</v>
      </c>
      <c r="DE155" s="2">
        <f t="shared" si="379"/>
        <v>175871.87501572468</v>
      </c>
      <c r="DF155" s="2">
        <f t="shared" si="355"/>
        <v>4950</v>
      </c>
      <c r="DG155" s="2">
        <f t="shared" si="356"/>
        <v>13788.553531250007</v>
      </c>
      <c r="DH155" s="2">
        <f t="shared" si="380"/>
        <v>157133.32148447467</v>
      </c>
    </row>
    <row r="156" spans="2:112">
      <c r="B156" s="233"/>
      <c r="C156" s="1">
        <f t="shared" si="321"/>
        <v>119</v>
      </c>
      <c r="D156" s="2">
        <f t="shared" si="259"/>
        <v>150426.84080578905</v>
      </c>
      <c r="E156" s="2">
        <f t="shared" si="260"/>
        <v>139425.70698743759</v>
      </c>
      <c r="F156" s="2">
        <f t="shared" si="261"/>
        <v>155892.75187666671</v>
      </c>
      <c r="G156" s="2">
        <f t="shared" si="262"/>
        <v>142588.16583500002</v>
      </c>
      <c r="H156" s="2">
        <f t="shared" si="263"/>
        <v>162857.64125936339</v>
      </c>
      <c r="I156" s="2">
        <f t="shared" si="264"/>
        <v>148234.95057275411</v>
      </c>
      <c r="J156" s="2">
        <f t="shared" si="322"/>
        <v>133485.04012548394</v>
      </c>
      <c r="K156" s="2">
        <f t="shared" si="323"/>
        <v>135362.10325716087</v>
      </c>
      <c r="W156" s="1">
        <f t="shared" si="357"/>
        <v>138</v>
      </c>
      <c r="X156" s="2">
        <f t="shared" si="330"/>
        <v>142077.48011499242</v>
      </c>
      <c r="Y156" s="8">
        <f t="shared" si="383"/>
        <v>3.9100000000000003E-2</v>
      </c>
      <c r="Z156" s="5">
        <f t="shared" si="358"/>
        <v>1455</v>
      </c>
      <c r="AA156" s="2">
        <f t="shared" si="359"/>
        <v>145354.5</v>
      </c>
      <c r="AB156" s="2">
        <f t="shared" si="360"/>
        <v>145500</v>
      </c>
      <c r="AC156" s="2">
        <f t="shared" si="361"/>
        <v>158585.68799999999</v>
      </c>
      <c r="AD156" s="8">
        <f t="shared" si="331"/>
        <v>4.3999999999999997E-2</v>
      </c>
      <c r="AE156" s="2">
        <f t="shared" si="332"/>
        <v>162074.57313599999</v>
      </c>
      <c r="AF156" s="2" t="str">
        <f t="shared" si="333"/>
        <v>nie</v>
      </c>
      <c r="AG156" s="2">
        <f t="shared" si="334"/>
        <v>1455</v>
      </c>
      <c r="AH156" s="1">
        <f t="shared" si="233"/>
        <v>1</v>
      </c>
      <c r="AI156" s="1">
        <f t="shared" si="324"/>
        <v>1</v>
      </c>
      <c r="AJ156" s="1">
        <f t="shared" si="381"/>
        <v>1</v>
      </c>
      <c r="AK156" s="1">
        <f t="shared" si="319"/>
        <v>0</v>
      </c>
      <c r="AL156" s="2">
        <f t="shared" si="243"/>
        <v>100</v>
      </c>
      <c r="AM156" s="8">
        <f t="shared" si="313"/>
        <v>4.3999999999999997E-2</v>
      </c>
      <c r="AN156" s="2">
        <f t="shared" si="244"/>
        <v>102.2</v>
      </c>
      <c r="AO156" s="2">
        <f t="shared" si="314"/>
        <v>1</v>
      </c>
      <c r="AP156" s="2">
        <f t="shared" si="272"/>
        <v>200</v>
      </c>
      <c r="AQ156" s="8">
        <f t="shared" si="325"/>
        <v>3.9100000000000003E-2</v>
      </c>
      <c r="AR156" s="2">
        <f t="shared" si="267"/>
        <v>203.91</v>
      </c>
      <c r="AS156" s="2">
        <f t="shared" si="326"/>
        <v>2</v>
      </c>
      <c r="AT156" s="2">
        <f t="shared" si="362"/>
        <v>0</v>
      </c>
      <c r="AU156" s="2">
        <f t="shared" si="245"/>
        <v>0</v>
      </c>
      <c r="AV156" s="2">
        <f t="shared" si="236"/>
        <v>29.75842991998536</v>
      </c>
      <c r="AW156" s="1">
        <f t="shared" si="311"/>
        <v>0</v>
      </c>
      <c r="AX156" s="2">
        <f t="shared" si="335"/>
        <v>29.75842991998536</v>
      </c>
      <c r="AY156" s="1">
        <f t="shared" si="237"/>
        <v>0</v>
      </c>
      <c r="AZ156" s="2">
        <f t="shared" si="363"/>
        <v>29.75842991998536</v>
      </c>
      <c r="BA156" s="2">
        <f t="shared" si="246"/>
        <v>162410.44156591999</v>
      </c>
      <c r="BB156" s="2">
        <f t="shared" si="336"/>
        <v>0</v>
      </c>
      <c r="BC156" s="2">
        <f t="shared" si="364"/>
        <v>1569.3142756574237</v>
      </c>
      <c r="BD156" s="2">
        <f t="shared" si="337"/>
        <v>160841.12729026255</v>
      </c>
      <c r="BE156" s="2">
        <f t="shared" si="365"/>
        <v>1458</v>
      </c>
      <c r="BF156" s="2">
        <f t="shared" si="338"/>
        <v>11580.963897524798</v>
      </c>
      <c r="BG156" s="2">
        <f t="shared" si="339"/>
        <v>147802.16339273774</v>
      </c>
      <c r="BI156" s="8">
        <f t="shared" si="315"/>
        <v>3.1E-2</v>
      </c>
      <c r="BJ156" s="5">
        <f t="shared" si="366"/>
        <v>1096</v>
      </c>
      <c r="BK156" s="2">
        <f t="shared" si="367"/>
        <v>109490.40000000001</v>
      </c>
      <c r="BL156" s="2">
        <f t="shared" si="368"/>
        <v>109600</v>
      </c>
      <c r="BM156" s="2">
        <f t="shared" si="340"/>
        <v>109600</v>
      </c>
      <c r="BN156" s="8">
        <f t="shared" si="341"/>
        <v>4.5999999999999999E-2</v>
      </c>
      <c r="BO156" s="2">
        <f t="shared" si="342"/>
        <v>112120.79999999999</v>
      </c>
      <c r="BP156" s="2" t="str">
        <f t="shared" si="343"/>
        <v>nie</v>
      </c>
      <c r="BQ156" s="2">
        <f t="shared" si="344"/>
        <v>2192</v>
      </c>
      <c r="BR156" s="1">
        <f t="shared" si="316"/>
        <v>185</v>
      </c>
      <c r="BS156" s="1">
        <f t="shared" si="327"/>
        <v>176</v>
      </c>
      <c r="BT156" s="1">
        <f t="shared" si="382"/>
        <v>171</v>
      </c>
      <c r="BU156" s="1">
        <f t="shared" si="320"/>
        <v>22</v>
      </c>
      <c r="BV156" s="2">
        <f t="shared" si="247"/>
        <v>18500</v>
      </c>
      <c r="BW156" s="8">
        <f t="shared" si="317"/>
        <v>4.7500000000000001E-2</v>
      </c>
      <c r="BX156" s="2">
        <f t="shared" si="248"/>
        <v>18939.375</v>
      </c>
      <c r="BY156" s="2">
        <f t="shared" si="318"/>
        <v>370</v>
      </c>
      <c r="BZ156" s="2">
        <f t="shared" si="273"/>
        <v>36900</v>
      </c>
      <c r="CA156" s="8">
        <f t="shared" si="328"/>
        <v>4.5999999999999999E-2</v>
      </c>
      <c r="CB156" s="2">
        <f t="shared" si="249"/>
        <v>37748.699999999997</v>
      </c>
      <c r="CC156" s="2">
        <f t="shared" si="329"/>
        <v>738</v>
      </c>
      <c r="CD156" s="2">
        <f t="shared" si="345"/>
        <v>0</v>
      </c>
      <c r="CE156" s="2">
        <f t="shared" si="250"/>
        <v>0</v>
      </c>
      <c r="CF156" s="2">
        <f t="shared" si="251"/>
        <v>57.200000000046202</v>
      </c>
      <c r="CG156" s="1">
        <f t="shared" si="312"/>
        <v>0</v>
      </c>
      <c r="CH156" s="2">
        <f t="shared" si="346"/>
        <v>57.200000000046202</v>
      </c>
      <c r="CI156" s="1">
        <f t="shared" si="242"/>
        <v>0</v>
      </c>
      <c r="CJ156" s="2">
        <f t="shared" si="252"/>
        <v>57.200000000046202</v>
      </c>
      <c r="CK156" s="2">
        <f t="shared" si="253"/>
        <v>168866.07500000004</v>
      </c>
      <c r="CL156" s="2">
        <f t="shared" si="347"/>
        <v>0</v>
      </c>
      <c r="CM156" s="2">
        <f t="shared" si="369"/>
        <v>1605.0280900000005</v>
      </c>
      <c r="CN156" s="2">
        <f t="shared" si="348"/>
        <v>167261.04691000003</v>
      </c>
      <c r="CO156" s="2">
        <f t="shared" si="370"/>
        <v>3300</v>
      </c>
      <c r="CP156" s="2">
        <f t="shared" si="349"/>
        <v>12457.554250000008</v>
      </c>
      <c r="CQ156" s="2">
        <f t="shared" si="350"/>
        <v>151503.49266000002</v>
      </c>
      <c r="CS156" s="5">
        <f t="shared" si="371"/>
        <v>1650</v>
      </c>
      <c r="CT156" s="2">
        <f t="shared" si="372"/>
        <v>164835</v>
      </c>
      <c r="CU156" s="2">
        <f t="shared" si="373"/>
        <v>165000</v>
      </c>
      <c r="CV156" s="2">
        <f t="shared" si="374"/>
        <v>173827.50000000003</v>
      </c>
      <c r="CW156" s="8">
        <f t="shared" si="351"/>
        <v>5.1000000000000004E-2</v>
      </c>
      <c r="CX156" s="2">
        <f t="shared" si="352"/>
        <v>178260.10125000004</v>
      </c>
      <c r="CY156" s="2" t="str">
        <f t="shared" si="353"/>
        <v>nie</v>
      </c>
      <c r="CZ156" s="2">
        <f t="shared" si="375"/>
        <v>0</v>
      </c>
      <c r="DA156" s="2">
        <f t="shared" si="376"/>
        <v>3.6253774281067308</v>
      </c>
      <c r="DB156" s="2">
        <f t="shared" si="377"/>
        <v>178263.72662742814</v>
      </c>
      <c r="DC156" s="2">
        <f t="shared" si="354"/>
        <v>0</v>
      </c>
      <c r="DD156" s="2">
        <f t="shared" si="378"/>
        <v>1653.0847367034451</v>
      </c>
      <c r="DE156" s="2">
        <f t="shared" si="379"/>
        <v>176610.64189072468</v>
      </c>
      <c r="DF156" s="2">
        <f t="shared" si="355"/>
        <v>4950</v>
      </c>
      <c r="DG156" s="2">
        <f t="shared" si="356"/>
        <v>13928.919237500008</v>
      </c>
      <c r="DH156" s="2">
        <f t="shared" si="380"/>
        <v>157731.72265322469</v>
      </c>
    </row>
    <row r="157" spans="2:112">
      <c r="B157" s="231">
        <f>ROUNDUP(C158/12,0)</f>
        <v>11</v>
      </c>
      <c r="C157" s="3">
        <f t="shared" si="321"/>
        <v>120</v>
      </c>
      <c r="D157" s="10">
        <f t="shared" si="259"/>
        <v>150809.13960069246</v>
      </c>
      <c r="E157" s="10">
        <f t="shared" si="260"/>
        <v>139706.44729900768</v>
      </c>
      <c r="F157" s="10">
        <f t="shared" si="261"/>
        <v>156314.81791000004</v>
      </c>
      <c r="G157" s="10">
        <f t="shared" si="262"/>
        <v>142900.06591000003</v>
      </c>
      <c r="H157" s="10">
        <f t="shared" si="263"/>
        <v>163359.37176610209</v>
      </c>
      <c r="I157" s="10">
        <f t="shared" si="264"/>
        <v>151040.03294439075</v>
      </c>
      <c r="J157" s="10">
        <f t="shared" si="322"/>
        <v>133809.40877298886</v>
      </c>
      <c r="K157" s="10">
        <f t="shared" si="323"/>
        <v>135702.12636719827</v>
      </c>
      <c r="W157" s="1">
        <f t="shared" si="357"/>
        <v>139</v>
      </c>
      <c r="X157" s="2">
        <f t="shared" si="330"/>
        <v>142438.9114200609</v>
      </c>
      <c r="Y157" s="8">
        <f t="shared" si="383"/>
        <v>3.9100000000000003E-2</v>
      </c>
      <c r="Z157" s="5">
        <f t="shared" si="358"/>
        <v>1455</v>
      </c>
      <c r="AA157" s="2">
        <f t="shared" si="359"/>
        <v>145354.5</v>
      </c>
      <c r="AB157" s="2">
        <f t="shared" si="360"/>
        <v>145500</v>
      </c>
      <c r="AC157" s="2">
        <f t="shared" si="361"/>
        <v>158585.68799999999</v>
      </c>
      <c r="AD157" s="8">
        <f t="shared" si="331"/>
        <v>4.3999999999999997E-2</v>
      </c>
      <c r="AE157" s="2">
        <f t="shared" si="332"/>
        <v>162656.053992</v>
      </c>
      <c r="AF157" s="2" t="str">
        <f t="shared" si="333"/>
        <v>nie</v>
      </c>
      <c r="AG157" s="2">
        <f t="shared" si="334"/>
        <v>1455</v>
      </c>
      <c r="AH157" s="1">
        <f t="shared" si="233"/>
        <v>1</v>
      </c>
      <c r="AI157" s="1">
        <f t="shared" si="324"/>
        <v>1</v>
      </c>
      <c r="AJ157" s="1">
        <f t="shared" si="381"/>
        <v>1</v>
      </c>
      <c r="AK157" s="1">
        <f t="shared" si="319"/>
        <v>0</v>
      </c>
      <c r="AL157" s="2">
        <f t="shared" si="243"/>
        <v>100</v>
      </c>
      <c r="AM157" s="8">
        <f t="shared" si="313"/>
        <v>4.3999999999999997E-2</v>
      </c>
      <c r="AN157" s="2">
        <f t="shared" si="244"/>
        <v>102.56666666666668</v>
      </c>
      <c r="AO157" s="2">
        <f t="shared" si="314"/>
        <v>1</v>
      </c>
      <c r="AP157" s="2">
        <f t="shared" si="272"/>
        <v>200</v>
      </c>
      <c r="AQ157" s="8">
        <f t="shared" si="325"/>
        <v>3.9100000000000003E-2</v>
      </c>
      <c r="AR157" s="2">
        <f t="shared" si="267"/>
        <v>204.56166666666667</v>
      </c>
      <c r="AS157" s="2">
        <f t="shared" si="326"/>
        <v>2</v>
      </c>
      <c r="AT157" s="2">
        <f t="shared" si="362"/>
        <v>0</v>
      </c>
      <c r="AU157" s="2">
        <f t="shared" si="245"/>
        <v>0</v>
      </c>
      <c r="AV157" s="2">
        <f t="shared" si="236"/>
        <v>29.75842991998536</v>
      </c>
      <c r="AW157" s="1">
        <f t="shared" si="311"/>
        <v>0</v>
      </c>
      <c r="AX157" s="2">
        <f t="shared" si="335"/>
        <v>29.75842991998536</v>
      </c>
      <c r="AY157" s="1">
        <f t="shared" si="237"/>
        <v>0</v>
      </c>
      <c r="AZ157" s="2">
        <f t="shared" si="363"/>
        <v>29.75842991998536</v>
      </c>
      <c r="BA157" s="2">
        <f t="shared" si="246"/>
        <v>162992.94075525334</v>
      </c>
      <c r="BB157" s="2">
        <f t="shared" si="336"/>
        <v>0</v>
      </c>
      <c r="BC157" s="2">
        <f t="shared" si="364"/>
        <v>1569.3142756574237</v>
      </c>
      <c r="BD157" s="2">
        <f t="shared" si="337"/>
        <v>161423.6264795959</v>
      </c>
      <c r="BE157" s="2">
        <f t="shared" si="365"/>
        <v>1458</v>
      </c>
      <c r="BF157" s="2">
        <f t="shared" si="338"/>
        <v>11691.638743498133</v>
      </c>
      <c r="BG157" s="2">
        <f t="shared" si="339"/>
        <v>148273.98773609777</v>
      </c>
      <c r="BI157" s="8">
        <f t="shared" si="315"/>
        <v>3.1E-2</v>
      </c>
      <c r="BJ157" s="5">
        <f t="shared" si="366"/>
        <v>1096</v>
      </c>
      <c r="BK157" s="2">
        <f t="shared" si="367"/>
        <v>109490.40000000001</v>
      </c>
      <c r="BL157" s="2">
        <f t="shared" si="368"/>
        <v>109600</v>
      </c>
      <c r="BM157" s="2">
        <f t="shared" si="340"/>
        <v>109600</v>
      </c>
      <c r="BN157" s="8">
        <f t="shared" si="341"/>
        <v>4.5999999999999999E-2</v>
      </c>
      <c r="BO157" s="2">
        <f t="shared" si="342"/>
        <v>112540.93333333332</v>
      </c>
      <c r="BP157" s="2" t="str">
        <f t="shared" si="343"/>
        <v>nie</v>
      </c>
      <c r="BQ157" s="2">
        <f t="shared" si="344"/>
        <v>2192</v>
      </c>
      <c r="BR157" s="1">
        <f t="shared" si="316"/>
        <v>185</v>
      </c>
      <c r="BS157" s="1">
        <f t="shared" si="327"/>
        <v>176</v>
      </c>
      <c r="BT157" s="1">
        <f t="shared" si="382"/>
        <v>171</v>
      </c>
      <c r="BU157" s="1">
        <f t="shared" si="320"/>
        <v>22</v>
      </c>
      <c r="BV157" s="2">
        <f t="shared" si="247"/>
        <v>18500</v>
      </c>
      <c r="BW157" s="8">
        <f t="shared" si="317"/>
        <v>4.7500000000000001E-2</v>
      </c>
      <c r="BX157" s="2">
        <f t="shared" si="248"/>
        <v>19012.604166666668</v>
      </c>
      <c r="BY157" s="2">
        <f t="shared" si="318"/>
        <v>370</v>
      </c>
      <c r="BZ157" s="2">
        <f t="shared" si="273"/>
        <v>36900</v>
      </c>
      <c r="CA157" s="8">
        <f t="shared" si="328"/>
        <v>4.5999999999999999E-2</v>
      </c>
      <c r="CB157" s="2">
        <f t="shared" si="249"/>
        <v>37890.149999999994</v>
      </c>
      <c r="CC157" s="2">
        <f t="shared" si="329"/>
        <v>738</v>
      </c>
      <c r="CD157" s="2">
        <f t="shared" si="345"/>
        <v>0</v>
      </c>
      <c r="CE157" s="2">
        <f t="shared" si="250"/>
        <v>0</v>
      </c>
      <c r="CF157" s="2">
        <f t="shared" si="251"/>
        <v>57.200000000046202</v>
      </c>
      <c r="CG157" s="1">
        <f t="shared" si="312"/>
        <v>0</v>
      </c>
      <c r="CH157" s="2">
        <f t="shared" si="346"/>
        <v>57.200000000046202</v>
      </c>
      <c r="CI157" s="1">
        <f t="shared" si="242"/>
        <v>0</v>
      </c>
      <c r="CJ157" s="2">
        <f t="shared" si="252"/>
        <v>57.200000000046202</v>
      </c>
      <c r="CK157" s="2">
        <f t="shared" si="253"/>
        <v>169500.88750000001</v>
      </c>
      <c r="CL157" s="2">
        <f t="shared" si="347"/>
        <v>0</v>
      </c>
      <c r="CM157" s="2">
        <f t="shared" si="369"/>
        <v>1605.0280900000005</v>
      </c>
      <c r="CN157" s="2">
        <f t="shared" si="348"/>
        <v>167895.85941</v>
      </c>
      <c r="CO157" s="2">
        <f t="shared" si="370"/>
        <v>3300</v>
      </c>
      <c r="CP157" s="2">
        <f t="shared" si="349"/>
        <v>12578.168625000002</v>
      </c>
      <c r="CQ157" s="2">
        <f t="shared" si="350"/>
        <v>152017.69078500001</v>
      </c>
      <c r="CS157" s="5">
        <f t="shared" si="371"/>
        <v>1650</v>
      </c>
      <c r="CT157" s="2">
        <f t="shared" si="372"/>
        <v>164835</v>
      </c>
      <c r="CU157" s="2">
        <f t="shared" si="373"/>
        <v>165000</v>
      </c>
      <c r="CV157" s="2">
        <f t="shared" si="374"/>
        <v>173827.50000000003</v>
      </c>
      <c r="CW157" s="8">
        <f t="shared" si="351"/>
        <v>5.1000000000000004E-2</v>
      </c>
      <c r="CX157" s="2">
        <f t="shared" si="352"/>
        <v>178998.86812500001</v>
      </c>
      <c r="CY157" s="2" t="str">
        <f t="shared" si="353"/>
        <v>nie</v>
      </c>
      <c r="CZ157" s="2">
        <f t="shared" si="375"/>
        <v>0</v>
      </c>
      <c r="DA157" s="2">
        <f t="shared" si="376"/>
        <v>3.6253774281067308</v>
      </c>
      <c r="DB157" s="2">
        <f t="shared" si="377"/>
        <v>179002.49350242811</v>
      </c>
      <c r="DC157" s="2">
        <f t="shared" si="354"/>
        <v>0</v>
      </c>
      <c r="DD157" s="2">
        <f t="shared" si="378"/>
        <v>1653.0847367034451</v>
      </c>
      <c r="DE157" s="2">
        <f t="shared" si="379"/>
        <v>177349.40876572466</v>
      </c>
      <c r="DF157" s="2">
        <f t="shared" si="355"/>
        <v>4950</v>
      </c>
      <c r="DG157" s="2">
        <f t="shared" si="356"/>
        <v>14069.284943750001</v>
      </c>
      <c r="DH157" s="2">
        <f t="shared" si="380"/>
        <v>158330.12382197464</v>
      </c>
    </row>
    <row r="158" spans="2:112">
      <c r="B158" s="232"/>
      <c r="C158" s="1">
        <f t="shared" si="321"/>
        <v>121</v>
      </c>
      <c r="D158" s="2">
        <f t="shared" si="259"/>
        <v>151367.13193402582</v>
      </c>
      <c r="E158" s="2">
        <f t="shared" si="260"/>
        <v>140158.93408900767</v>
      </c>
      <c r="F158" s="2">
        <f t="shared" si="261"/>
        <v>156932.13457666669</v>
      </c>
      <c r="G158" s="2">
        <f t="shared" si="262"/>
        <v>143515.38241000002</v>
      </c>
      <c r="H158" s="2">
        <f t="shared" si="263"/>
        <v>164259.99676610206</v>
      </c>
      <c r="I158" s="2">
        <f t="shared" si="264"/>
        <v>151174.37176610209</v>
      </c>
      <c r="J158" s="2">
        <f t="shared" si="322"/>
        <v>134134.5656363072</v>
      </c>
      <c r="K158" s="2">
        <f t="shared" si="323"/>
        <v>136052.69019364688</v>
      </c>
      <c r="W158" s="1">
        <f t="shared" si="357"/>
        <v>140</v>
      </c>
      <c r="X158" s="2">
        <f t="shared" si="330"/>
        <v>142800.34272512942</v>
      </c>
      <c r="Y158" s="8">
        <f t="shared" si="383"/>
        <v>3.9100000000000003E-2</v>
      </c>
      <c r="Z158" s="5">
        <f t="shared" si="358"/>
        <v>1455</v>
      </c>
      <c r="AA158" s="2">
        <f t="shared" si="359"/>
        <v>145354.5</v>
      </c>
      <c r="AB158" s="2">
        <f t="shared" si="360"/>
        <v>145500</v>
      </c>
      <c r="AC158" s="2">
        <f t="shared" si="361"/>
        <v>158585.68799999999</v>
      </c>
      <c r="AD158" s="8">
        <f t="shared" si="331"/>
        <v>4.3999999999999997E-2</v>
      </c>
      <c r="AE158" s="2">
        <f t="shared" si="332"/>
        <v>163237.53484800001</v>
      </c>
      <c r="AF158" s="2" t="str">
        <f t="shared" si="333"/>
        <v>nie</v>
      </c>
      <c r="AG158" s="2">
        <f t="shared" si="334"/>
        <v>1455</v>
      </c>
      <c r="AH158" s="1">
        <f t="shared" si="233"/>
        <v>1</v>
      </c>
      <c r="AI158" s="1">
        <f t="shared" si="324"/>
        <v>1</v>
      </c>
      <c r="AJ158" s="1">
        <f t="shared" si="381"/>
        <v>1</v>
      </c>
      <c r="AK158" s="1">
        <f t="shared" si="319"/>
        <v>0</v>
      </c>
      <c r="AL158" s="2">
        <f t="shared" si="243"/>
        <v>100</v>
      </c>
      <c r="AM158" s="8">
        <f t="shared" si="313"/>
        <v>4.3999999999999997E-2</v>
      </c>
      <c r="AN158" s="2">
        <f t="shared" si="244"/>
        <v>102.93333333333334</v>
      </c>
      <c r="AO158" s="2">
        <f t="shared" si="314"/>
        <v>1</v>
      </c>
      <c r="AP158" s="2">
        <f t="shared" si="272"/>
        <v>200</v>
      </c>
      <c r="AQ158" s="8">
        <f t="shared" si="325"/>
        <v>3.9100000000000003E-2</v>
      </c>
      <c r="AR158" s="2">
        <f t="shared" si="267"/>
        <v>205.21333333333334</v>
      </c>
      <c r="AS158" s="2">
        <f t="shared" si="326"/>
        <v>2</v>
      </c>
      <c r="AT158" s="2">
        <f t="shared" si="362"/>
        <v>0</v>
      </c>
      <c r="AU158" s="2">
        <f t="shared" si="245"/>
        <v>0</v>
      </c>
      <c r="AV158" s="2">
        <f t="shared" si="236"/>
        <v>29.75842991998536</v>
      </c>
      <c r="AW158" s="1">
        <f t="shared" ref="AW158:AW162" si="384">IF(AT158&lt;&gt;0,MIN(IF(AK158&lt;&gt;"",AK158,0),ROUNDDOWN(AV158/zamiana_TOS,0)),0)</f>
        <v>0</v>
      </c>
      <c r="AX158" s="2">
        <f t="shared" si="335"/>
        <v>29.75842991998536</v>
      </c>
      <c r="AY158" s="1">
        <f t="shared" si="237"/>
        <v>0</v>
      </c>
      <c r="AZ158" s="2">
        <f t="shared" si="363"/>
        <v>29.75842991998536</v>
      </c>
      <c r="BA158" s="2">
        <f t="shared" si="246"/>
        <v>163575.43994458666</v>
      </c>
      <c r="BB158" s="2">
        <f t="shared" si="336"/>
        <v>0</v>
      </c>
      <c r="BC158" s="2">
        <f t="shared" si="364"/>
        <v>1569.3142756574237</v>
      </c>
      <c r="BD158" s="2">
        <f t="shared" si="337"/>
        <v>162006.12566892922</v>
      </c>
      <c r="BE158" s="2">
        <f t="shared" si="365"/>
        <v>1458</v>
      </c>
      <c r="BF158" s="2">
        <f t="shared" si="338"/>
        <v>11802.313589471465</v>
      </c>
      <c r="BG158" s="2">
        <f t="shared" si="339"/>
        <v>148745.81207945774</v>
      </c>
      <c r="BI158" s="8">
        <f t="shared" si="315"/>
        <v>3.1E-2</v>
      </c>
      <c r="BJ158" s="5">
        <f t="shared" si="366"/>
        <v>1096</v>
      </c>
      <c r="BK158" s="2">
        <f t="shared" si="367"/>
        <v>109490.40000000001</v>
      </c>
      <c r="BL158" s="2">
        <f t="shared" si="368"/>
        <v>109600</v>
      </c>
      <c r="BM158" s="2">
        <f t="shared" si="340"/>
        <v>109600</v>
      </c>
      <c r="BN158" s="8">
        <f t="shared" si="341"/>
        <v>4.5999999999999999E-2</v>
      </c>
      <c r="BO158" s="2">
        <f t="shared" si="342"/>
        <v>112961.06666666667</v>
      </c>
      <c r="BP158" s="2" t="str">
        <f t="shared" si="343"/>
        <v>nie</v>
      </c>
      <c r="BQ158" s="2">
        <f t="shared" si="344"/>
        <v>2192</v>
      </c>
      <c r="BR158" s="1">
        <f t="shared" si="316"/>
        <v>185</v>
      </c>
      <c r="BS158" s="1">
        <f t="shared" si="327"/>
        <v>176</v>
      </c>
      <c r="BT158" s="1">
        <f t="shared" si="382"/>
        <v>171</v>
      </c>
      <c r="BU158" s="1">
        <f t="shared" si="320"/>
        <v>22</v>
      </c>
      <c r="BV158" s="2">
        <f t="shared" si="247"/>
        <v>18500</v>
      </c>
      <c r="BW158" s="8">
        <f t="shared" si="317"/>
        <v>4.7500000000000001E-2</v>
      </c>
      <c r="BX158" s="2">
        <f t="shared" si="248"/>
        <v>19085.833333333336</v>
      </c>
      <c r="BY158" s="2">
        <f t="shared" si="318"/>
        <v>370</v>
      </c>
      <c r="BZ158" s="2">
        <f t="shared" si="273"/>
        <v>36900</v>
      </c>
      <c r="CA158" s="8">
        <f t="shared" si="328"/>
        <v>4.5999999999999999E-2</v>
      </c>
      <c r="CB158" s="2">
        <f t="shared" si="249"/>
        <v>38031.599999999999</v>
      </c>
      <c r="CC158" s="2">
        <f t="shared" si="329"/>
        <v>738</v>
      </c>
      <c r="CD158" s="2">
        <f t="shared" si="345"/>
        <v>0</v>
      </c>
      <c r="CE158" s="2">
        <f t="shared" si="250"/>
        <v>0</v>
      </c>
      <c r="CF158" s="2">
        <f t="shared" si="251"/>
        <v>57.200000000046202</v>
      </c>
      <c r="CG158" s="1">
        <f t="shared" ref="CG158:CG162" si="385">IF(CD158&lt;&gt;0,MIN(IF(BU158&lt;&gt;"",BU158,0),ROUNDDOWN(CF158/zamiana_COI,0)),0)</f>
        <v>0</v>
      </c>
      <c r="CH158" s="2">
        <f t="shared" si="346"/>
        <v>57.200000000046202</v>
      </c>
      <c r="CI158" s="1">
        <f t="shared" si="242"/>
        <v>0</v>
      </c>
      <c r="CJ158" s="2">
        <f t="shared" si="252"/>
        <v>57.200000000046202</v>
      </c>
      <c r="CK158" s="2">
        <f t="shared" si="253"/>
        <v>170135.70000000004</v>
      </c>
      <c r="CL158" s="2">
        <f t="shared" si="347"/>
        <v>0</v>
      </c>
      <c r="CM158" s="2">
        <f t="shared" si="369"/>
        <v>1605.0280900000005</v>
      </c>
      <c r="CN158" s="2">
        <f t="shared" si="348"/>
        <v>168530.67191000003</v>
      </c>
      <c r="CO158" s="2">
        <f t="shared" si="370"/>
        <v>3300</v>
      </c>
      <c r="CP158" s="2">
        <f t="shared" si="349"/>
        <v>12698.783000000009</v>
      </c>
      <c r="CQ158" s="2">
        <f t="shared" si="350"/>
        <v>152531.88891000004</v>
      </c>
      <c r="CS158" s="5">
        <f t="shared" si="371"/>
        <v>1650</v>
      </c>
      <c r="CT158" s="2">
        <f t="shared" si="372"/>
        <v>164835</v>
      </c>
      <c r="CU158" s="2">
        <f t="shared" si="373"/>
        <v>165000</v>
      </c>
      <c r="CV158" s="2">
        <f t="shared" si="374"/>
        <v>173827.50000000003</v>
      </c>
      <c r="CW158" s="8">
        <f t="shared" si="351"/>
        <v>5.1000000000000004E-2</v>
      </c>
      <c r="CX158" s="2">
        <f t="shared" si="352"/>
        <v>179737.63500000004</v>
      </c>
      <c r="CY158" s="2" t="str">
        <f t="shared" si="353"/>
        <v>nie</v>
      </c>
      <c r="CZ158" s="2">
        <f t="shared" si="375"/>
        <v>0</v>
      </c>
      <c r="DA158" s="2">
        <f t="shared" si="376"/>
        <v>3.6253774281067308</v>
      </c>
      <c r="DB158" s="2">
        <f t="shared" si="377"/>
        <v>179741.26037742815</v>
      </c>
      <c r="DC158" s="2">
        <f t="shared" si="354"/>
        <v>0</v>
      </c>
      <c r="DD158" s="2">
        <f t="shared" si="378"/>
        <v>1653.0847367034451</v>
      </c>
      <c r="DE158" s="2">
        <f t="shared" si="379"/>
        <v>178088.17564072469</v>
      </c>
      <c r="DF158" s="2">
        <f t="shared" si="355"/>
        <v>4950</v>
      </c>
      <c r="DG158" s="2">
        <f t="shared" si="356"/>
        <v>14209.650650000007</v>
      </c>
      <c r="DH158" s="2">
        <f t="shared" si="380"/>
        <v>158928.52499072469</v>
      </c>
    </row>
    <row r="159" spans="2:112">
      <c r="B159" s="232"/>
      <c r="C159" s="1">
        <f t="shared" si="321"/>
        <v>122</v>
      </c>
      <c r="D159" s="2">
        <f t="shared" si="259"/>
        <v>151925.12426735915</v>
      </c>
      <c r="E159" s="2">
        <f t="shared" si="260"/>
        <v>140610.61087900767</v>
      </c>
      <c r="F159" s="2">
        <f t="shared" si="261"/>
        <v>157538.8512433334</v>
      </c>
      <c r="G159" s="2">
        <f t="shared" si="262"/>
        <v>143950.39291000005</v>
      </c>
      <c r="H159" s="2">
        <f t="shared" si="263"/>
        <v>164995.62176610209</v>
      </c>
      <c r="I159" s="2">
        <f t="shared" si="264"/>
        <v>151174.37176610209</v>
      </c>
      <c r="J159" s="2">
        <f t="shared" si="322"/>
        <v>134460.51263080342</v>
      </c>
      <c r="K159" s="2">
        <f t="shared" si="323"/>
        <v>136403.25402009548</v>
      </c>
      <c r="W159" s="1">
        <f t="shared" si="357"/>
        <v>141</v>
      </c>
      <c r="X159" s="2">
        <f t="shared" si="330"/>
        <v>143161.77403019794</v>
      </c>
      <c r="Y159" s="8">
        <f t="shared" si="383"/>
        <v>3.9100000000000003E-2</v>
      </c>
      <c r="Z159" s="5">
        <f t="shared" si="358"/>
        <v>1455</v>
      </c>
      <c r="AA159" s="2">
        <f t="shared" si="359"/>
        <v>145354.5</v>
      </c>
      <c r="AB159" s="2">
        <f t="shared" si="360"/>
        <v>145500</v>
      </c>
      <c r="AC159" s="2">
        <f t="shared" si="361"/>
        <v>158585.68799999999</v>
      </c>
      <c r="AD159" s="8">
        <f t="shared" si="331"/>
        <v>4.3999999999999997E-2</v>
      </c>
      <c r="AE159" s="2">
        <f t="shared" si="332"/>
        <v>163819.01570399999</v>
      </c>
      <c r="AF159" s="2" t="str">
        <f t="shared" si="333"/>
        <v>nie</v>
      </c>
      <c r="AG159" s="2">
        <f t="shared" si="334"/>
        <v>1455</v>
      </c>
      <c r="AH159" s="1">
        <f t="shared" ref="AH159:AH162" si="386">IF(AT158&lt;&gt;0,AW158+AY158,AH158)</f>
        <v>1</v>
      </c>
      <c r="AI159" s="1">
        <f t="shared" si="324"/>
        <v>1</v>
      </c>
      <c r="AJ159" s="1">
        <f t="shared" si="381"/>
        <v>1</v>
      </c>
      <c r="AK159" s="1">
        <f t="shared" si="319"/>
        <v>0</v>
      </c>
      <c r="AL159" s="2">
        <f t="shared" si="243"/>
        <v>100</v>
      </c>
      <c r="AM159" s="8">
        <f t="shared" si="313"/>
        <v>4.3999999999999997E-2</v>
      </c>
      <c r="AN159" s="2">
        <f t="shared" si="244"/>
        <v>103.3</v>
      </c>
      <c r="AO159" s="2">
        <f t="shared" ref="AO159:AO162" si="387">MIN(AH159*koszt_wczesniejszy_wykup_TOS,AN159-AL159)</f>
        <v>1</v>
      </c>
      <c r="AP159" s="2">
        <f t="shared" si="272"/>
        <v>200</v>
      </c>
      <c r="AQ159" s="8">
        <f t="shared" si="325"/>
        <v>3.9100000000000003E-2</v>
      </c>
      <c r="AR159" s="2">
        <f t="shared" si="267"/>
        <v>205.86500000000001</v>
      </c>
      <c r="AS159" s="2">
        <f t="shared" si="326"/>
        <v>2</v>
      </c>
      <c r="AT159" s="2">
        <f t="shared" si="362"/>
        <v>0</v>
      </c>
      <c r="AU159" s="2">
        <f t="shared" si="245"/>
        <v>0</v>
      </c>
      <c r="AV159" s="2">
        <f t="shared" ref="AV159:AV161" si="388">AZ158+AT159+AU159</f>
        <v>29.75842991998536</v>
      </c>
      <c r="AW159" s="1">
        <f t="shared" si="384"/>
        <v>0</v>
      </c>
      <c r="AX159" s="2">
        <f t="shared" si="335"/>
        <v>29.75842991998536</v>
      </c>
      <c r="AY159" s="1">
        <f t="shared" ref="AY159:AY162" si="389">ROUNDDOWN(AX159/100,0)</f>
        <v>0</v>
      </c>
      <c r="AZ159" s="2">
        <f t="shared" si="363"/>
        <v>29.75842991998536</v>
      </c>
      <c r="BA159" s="2">
        <f t="shared" si="246"/>
        <v>164157.93913391995</v>
      </c>
      <c r="BB159" s="2">
        <f t="shared" si="336"/>
        <v>0</v>
      </c>
      <c r="BC159" s="2">
        <f t="shared" si="364"/>
        <v>1569.3142756574237</v>
      </c>
      <c r="BD159" s="2">
        <f t="shared" si="337"/>
        <v>162588.62485826251</v>
      </c>
      <c r="BE159" s="2">
        <f t="shared" si="365"/>
        <v>1458</v>
      </c>
      <c r="BF159" s="2">
        <f t="shared" si="338"/>
        <v>11912.988435444791</v>
      </c>
      <c r="BG159" s="2">
        <f t="shared" si="339"/>
        <v>149217.63642281771</v>
      </c>
      <c r="BI159" s="8">
        <f t="shared" si="315"/>
        <v>3.1E-2</v>
      </c>
      <c r="BJ159" s="5">
        <f t="shared" si="366"/>
        <v>1096</v>
      </c>
      <c r="BK159" s="2">
        <f t="shared" si="367"/>
        <v>109490.40000000001</v>
      </c>
      <c r="BL159" s="2">
        <f t="shared" si="368"/>
        <v>109600</v>
      </c>
      <c r="BM159" s="2">
        <f t="shared" si="340"/>
        <v>109600</v>
      </c>
      <c r="BN159" s="8">
        <f t="shared" si="341"/>
        <v>4.5999999999999999E-2</v>
      </c>
      <c r="BO159" s="2">
        <f t="shared" si="342"/>
        <v>113381.2</v>
      </c>
      <c r="BP159" s="2" t="str">
        <f t="shared" si="343"/>
        <v>nie</v>
      </c>
      <c r="BQ159" s="2">
        <f t="shared" si="344"/>
        <v>2192</v>
      </c>
      <c r="BR159" s="1">
        <f t="shared" si="316"/>
        <v>185</v>
      </c>
      <c r="BS159" s="1">
        <f t="shared" si="327"/>
        <v>176</v>
      </c>
      <c r="BT159" s="1">
        <f t="shared" si="382"/>
        <v>171</v>
      </c>
      <c r="BU159" s="1">
        <f t="shared" si="320"/>
        <v>22</v>
      </c>
      <c r="BV159" s="2">
        <f t="shared" si="247"/>
        <v>18500</v>
      </c>
      <c r="BW159" s="8">
        <f t="shared" si="317"/>
        <v>4.7500000000000001E-2</v>
      </c>
      <c r="BX159" s="2">
        <f t="shared" si="248"/>
        <v>19159.0625</v>
      </c>
      <c r="BY159" s="2">
        <f t="shared" ref="BY159:BY162" si="390">MIN(BR159*koszt_wczesniejszy_wykup_COI,BX159-BV159)</f>
        <v>370</v>
      </c>
      <c r="BZ159" s="2">
        <f t="shared" si="273"/>
        <v>36900</v>
      </c>
      <c r="CA159" s="8">
        <f t="shared" si="328"/>
        <v>4.5999999999999999E-2</v>
      </c>
      <c r="CB159" s="2">
        <f t="shared" si="249"/>
        <v>38173.049999999996</v>
      </c>
      <c r="CC159" s="2">
        <f t="shared" si="329"/>
        <v>738</v>
      </c>
      <c r="CD159" s="2">
        <f t="shared" si="345"/>
        <v>0</v>
      </c>
      <c r="CE159" s="2">
        <f t="shared" si="250"/>
        <v>0</v>
      </c>
      <c r="CF159" s="2">
        <f t="shared" si="251"/>
        <v>57.200000000046202</v>
      </c>
      <c r="CG159" s="1">
        <f t="shared" si="385"/>
        <v>0</v>
      </c>
      <c r="CH159" s="2">
        <f t="shared" si="346"/>
        <v>57.200000000046202</v>
      </c>
      <c r="CI159" s="1">
        <f t="shared" ref="CI159:CI162" si="391">ROUNDDOWN(CH159/100,0)</f>
        <v>0</v>
      </c>
      <c r="CJ159" s="2">
        <f t="shared" si="252"/>
        <v>57.200000000046202</v>
      </c>
      <c r="CK159" s="2">
        <f t="shared" si="253"/>
        <v>170770.51250000004</v>
      </c>
      <c r="CL159" s="2">
        <f t="shared" si="347"/>
        <v>0</v>
      </c>
      <c r="CM159" s="2">
        <f t="shared" si="369"/>
        <v>1605.0280900000005</v>
      </c>
      <c r="CN159" s="2">
        <f t="shared" si="348"/>
        <v>169165.48441000003</v>
      </c>
      <c r="CO159" s="2">
        <f t="shared" si="370"/>
        <v>3300</v>
      </c>
      <c r="CP159" s="2">
        <f t="shared" si="349"/>
        <v>12819.397375000008</v>
      </c>
      <c r="CQ159" s="2">
        <f t="shared" si="350"/>
        <v>153046.08703500003</v>
      </c>
      <c r="CS159" s="5">
        <f t="shared" si="371"/>
        <v>1650</v>
      </c>
      <c r="CT159" s="2">
        <f t="shared" si="372"/>
        <v>164835</v>
      </c>
      <c r="CU159" s="2">
        <f t="shared" si="373"/>
        <v>165000</v>
      </c>
      <c r="CV159" s="2">
        <f t="shared" si="374"/>
        <v>173827.50000000003</v>
      </c>
      <c r="CW159" s="8">
        <f t="shared" si="351"/>
        <v>5.1000000000000004E-2</v>
      </c>
      <c r="CX159" s="2">
        <f t="shared" si="352"/>
        <v>180476.40187500001</v>
      </c>
      <c r="CY159" s="2" t="str">
        <f t="shared" si="353"/>
        <v>nie</v>
      </c>
      <c r="CZ159" s="2">
        <f t="shared" si="375"/>
        <v>0</v>
      </c>
      <c r="DA159" s="2">
        <f t="shared" si="376"/>
        <v>3.6253774281067308</v>
      </c>
      <c r="DB159" s="2">
        <f t="shared" si="377"/>
        <v>180480.02725242812</v>
      </c>
      <c r="DC159" s="2">
        <f t="shared" si="354"/>
        <v>0</v>
      </c>
      <c r="DD159" s="2">
        <f t="shared" si="378"/>
        <v>1653.0847367034451</v>
      </c>
      <c r="DE159" s="2">
        <f t="shared" si="379"/>
        <v>178826.94251572466</v>
      </c>
      <c r="DF159" s="2">
        <f t="shared" si="355"/>
        <v>4950</v>
      </c>
      <c r="DG159" s="2">
        <f t="shared" si="356"/>
        <v>14350.016356250002</v>
      </c>
      <c r="DH159" s="2">
        <f t="shared" si="380"/>
        <v>159526.92615947465</v>
      </c>
    </row>
    <row r="160" spans="2:112">
      <c r="B160" s="232"/>
      <c r="C160" s="1">
        <f t="shared" si="321"/>
        <v>123</v>
      </c>
      <c r="D160" s="2">
        <f t="shared" si="259"/>
        <v>152483.11660069245</v>
      </c>
      <c r="E160" s="2">
        <f t="shared" si="260"/>
        <v>141062.36866900764</v>
      </c>
      <c r="F160" s="2">
        <f t="shared" si="261"/>
        <v>158145.56791000007</v>
      </c>
      <c r="G160" s="2">
        <f t="shared" si="262"/>
        <v>144385.40341000006</v>
      </c>
      <c r="H160" s="2">
        <f t="shared" si="263"/>
        <v>165731.24676610209</v>
      </c>
      <c r="I160" s="2">
        <f t="shared" si="264"/>
        <v>151174.37176610209</v>
      </c>
      <c r="J160" s="2">
        <f t="shared" si="322"/>
        <v>134787.25167649626</v>
      </c>
      <c r="K160" s="2">
        <f t="shared" si="323"/>
        <v>136753.81784654406</v>
      </c>
      <c r="W160" s="1">
        <f t="shared" si="357"/>
        <v>142</v>
      </c>
      <c r="X160" s="2">
        <f t="shared" si="330"/>
        <v>143523.20533526642</v>
      </c>
      <c r="Y160" s="8">
        <f t="shared" si="383"/>
        <v>3.9100000000000003E-2</v>
      </c>
      <c r="Z160" s="5">
        <f t="shared" si="358"/>
        <v>1455</v>
      </c>
      <c r="AA160" s="2">
        <f t="shared" si="359"/>
        <v>145354.5</v>
      </c>
      <c r="AB160" s="2">
        <f t="shared" si="360"/>
        <v>145500</v>
      </c>
      <c r="AC160" s="2">
        <f t="shared" si="361"/>
        <v>158585.68799999999</v>
      </c>
      <c r="AD160" s="8">
        <f t="shared" si="331"/>
        <v>4.3999999999999997E-2</v>
      </c>
      <c r="AE160" s="2">
        <f t="shared" si="332"/>
        <v>164400.49656</v>
      </c>
      <c r="AF160" s="2" t="str">
        <f t="shared" si="333"/>
        <v>nie</v>
      </c>
      <c r="AG160" s="2">
        <f t="shared" si="334"/>
        <v>1455</v>
      </c>
      <c r="AH160" s="1">
        <f t="shared" si="386"/>
        <v>1</v>
      </c>
      <c r="AI160" s="1">
        <f t="shared" si="324"/>
        <v>1</v>
      </c>
      <c r="AJ160" s="1">
        <f t="shared" si="381"/>
        <v>1</v>
      </c>
      <c r="AK160" s="1">
        <f t="shared" si="319"/>
        <v>0</v>
      </c>
      <c r="AL160" s="2">
        <f t="shared" ref="AL160:AL162" si="392">AH160*100</f>
        <v>100</v>
      </c>
      <c r="AM160" s="8">
        <f t="shared" si="313"/>
        <v>4.3999999999999997E-2</v>
      </c>
      <c r="AN160" s="2">
        <f t="shared" ref="AN160:AN162" si="393">AL160*(1+AM160*IF(MOD($W160,12)&lt;&gt;0,MOD($W160,12),12)/12)</f>
        <v>103.66666666666666</v>
      </c>
      <c r="AO160" s="2">
        <f t="shared" si="387"/>
        <v>1</v>
      </c>
      <c r="AP160" s="2">
        <f t="shared" si="272"/>
        <v>200</v>
      </c>
      <c r="AQ160" s="8">
        <f t="shared" si="325"/>
        <v>3.9100000000000003E-2</v>
      </c>
      <c r="AR160" s="2">
        <f t="shared" si="267"/>
        <v>206.51666666666668</v>
      </c>
      <c r="AS160" s="2">
        <f t="shared" si="326"/>
        <v>2</v>
      </c>
      <c r="AT160" s="2">
        <f t="shared" si="362"/>
        <v>0</v>
      </c>
      <c r="AU160" s="2">
        <f t="shared" ref="AU160:AU161" si="394">IF(MOD($W160,12)=0,AN160-AL160+AR160-AP160+AK160*100,0)</f>
        <v>0</v>
      </c>
      <c r="AV160" s="2">
        <f t="shared" si="388"/>
        <v>29.75842991998536</v>
      </c>
      <c r="AW160" s="1">
        <f t="shared" si="384"/>
        <v>0</v>
      </c>
      <c r="AX160" s="2">
        <f t="shared" si="335"/>
        <v>29.75842991998536</v>
      </c>
      <c r="AY160" s="1">
        <f t="shared" si="389"/>
        <v>0</v>
      </c>
      <c r="AZ160" s="2">
        <f t="shared" si="363"/>
        <v>29.75842991998536</v>
      </c>
      <c r="BA160" s="2">
        <f t="shared" ref="BA160:BA162" si="395">AE160+AN160+AR160+AZ159</f>
        <v>164740.4383232533</v>
      </c>
      <c r="BB160" s="2">
        <f t="shared" si="336"/>
        <v>0</v>
      </c>
      <c r="BC160" s="2">
        <f t="shared" si="364"/>
        <v>1569.3142756574237</v>
      </c>
      <c r="BD160" s="2">
        <f t="shared" si="337"/>
        <v>163171.12404759586</v>
      </c>
      <c r="BE160" s="2">
        <f t="shared" si="365"/>
        <v>1458</v>
      </c>
      <c r="BF160" s="2">
        <f t="shared" si="338"/>
        <v>12023.663281418127</v>
      </c>
      <c r="BG160" s="2">
        <f t="shared" si="339"/>
        <v>149689.46076617774</v>
      </c>
      <c r="BI160" s="8">
        <f t="shared" si="315"/>
        <v>3.1E-2</v>
      </c>
      <c r="BJ160" s="5">
        <f t="shared" si="366"/>
        <v>1096</v>
      </c>
      <c r="BK160" s="2">
        <f t="shared" si="367"/>
        <v>109490.40000000001</v>
      </c>
      <c r="BL160" s="2">
        <f t="shared" si="368"/>
        <v>109600</v>
      </c>
      <c r="BM160" s="2">
        <f t="shared" si="340"/>
        <v>109600</v>
      </c>
      <c r="BN160" s="8">
        <f t="shared" si="341"/>
        <v>4.5999999999999999E-2</v>
      </c>
      <c r="BO160" s="2">
        <f t="shared" si="342"/>
        <v>113801.33333333333</v>
      </c>
      <c r="BP160" s="2" t="str">
        <f t="shared" si="343"/>
        <v>nie</v>
      </c>
      <c r="BQ160" s="2">
        <f t="shared" si="344"/>
        <v>2192</v>
      </c>
      <c r="BR160" s="1">
        <f t="shared" si="316"/>
        <v>185</v>
      </c>
      <c r="BS160" s="1">
        <f t="shared" si="327"/>
        <v>176</v>
      </c>
      <c r="BT160" s="1">
        <f t="shared" si="382"/>
        <v>171</v>
      </c>
      <c r="BU160" s="1">
        <f t="shared" si="320"/>
        <v>22</v>
      </c>
      <c r="BV160" s="2">
        <f t="shared" ref="BV160:BV162" si="396">BR160*100</f>
        <v>18500</v>
      </c>
      <c r="BW160" s="8">
        <f t="shared" si="317"/>
        <v>4.7500000000000001E-2</v>
      </c>
      <c r="BX160" s="2">
        <f t="shared" ref="BX160:BX162" si="397">BV160*(1+BW160*IF(MOD($W160,12)&lt;&gt;0,MOD($W160,12),12)/12)</f>
        <v>19232.291666666668</v>
      </c>
      <c r="BY160" s="2">
        <f t="shared" si="390"/>
        <v>370</v>
      </c>
      <c r="BZ160" s="2">
        <f t="shared" si="273"/>
        <v>36900</v>
      </c>
      <c r="CA160" s="8">
        <f t="shared" si="328"/>
        <v>4.5999999999999999E-2</v>
      </c>
      <c r="CB160" s="2">
        <f t="shared" ref="CB160:CB162" si="398">BZ160*(1+CA160*IF(MOD($W160,12)&lt;&gt;0,MOD($W160,12),12)/12)</f>
        <v>38314.5</v>
      </c>
      <c r="CC160" s="2">
        <f t="shared" si="329"/>
        <v>738</v>
      </c>
      <c r="CD160" s="2">
        <f t="shared" si="345"/>
        <v>0</v>
      </c>
      <c r="CE160" s="2">
        <f t="shared" ref="CE160:CE161" si="399">IF(MOD($W160,12)=0,BX160-BV160+CB160-BZ160+BU160*100,0)</f>
        <v>0</v>
      </c>
      <c r="CF160" s="2">
        <f t="shared" ref="CF160:CF161" si="400">CJ159+CD160+CE160</f>
        <v>57.200000000046202</v>
      </c>
      <c r="CG160" s="1">
        <f t="shared" si="385"/>
        <v>0</v>
      </c>
      <c r="CH160" s="2">
        <f t="shared" si="346"/>
        <v>57.200000000046202</v>
      </c>
      <c r="CI160" s="1">
        <f t="shared" si="391"/>
        <v>0</v>
      </c>
      <c r="CJ160" s="2">
        <f t="shared" ref="CJ160:CJ162" si="401">CH160-CI160*100</f>
        <v>57.200000000046202</v>
      </c>
      <c r="CK160" s="2">
        <f t="shared" ref="CK160:CK162" si="402">BO160+BX160+CB160+CJ159</f>
        <v>171405.32500000004</v>
      </c>
      <c r="CL160" s="2">
        <f t="shared" si="347"/>
        <v>0</v>
      </c>
      <c r="CM160" s="2">
        <f t="shared" si="369"/>
        <v>1605.0280900000005</v>
      </c>
      <c r="CN160" s="2">
        <f t="shared" si="348"/>
        <v>169800.29691000003</v>
      </c>
      <c r="CO160" s="2">
        <f t="shared" si="370"/>
        <v>3300</v>
      </c>
      <c r="CP160" s="2">
        <f t="shared" si="349"/>
        <v>12940.011750000009</v>
      </c>
      <c r="CQ160" s="2">
        <f t="shared" si="350"/>
        <v>153560.28516000003</v>
      </c>
      <c r="CS160" s="5">
        <f t="shared" si="371"/>
        <v>1650</v>
      </c>
      <c r="CT160" s="2">
        <f t="shared" si="372"/>
        <v>164835</v>
      </c>
      <c r="CU160" s="2">
        <f t="shared" si="373"/>
        <v>165000</v>
      </c>
      <c r="CV160" s="2">
        <f t="shared" si="374"/>
        <v>173827.50000000003</v>
      </c>
      <c r="CW160" s="8">
        <f t="shared" si="351"/>
        <v>5.1000000000000004E-2</v>
      </c>
      <c r="CX160" s="2">
        <f t="shared" si="352"/>
        <v>181215.16875000004</v>
      </c>
      <c r="CY160" s="2" t="str">
        <f t="shared" si="353"/>
        <v>nie</v>
      </c>
      <c r="CZ160" s="2">
        <f t="shared" si="375"/>
        <v>0</v>
      </c>
      <c r="DA160" s="2">
        <f t="shared" si="376"/>
        <v>3.6253774281067308</v>
      </c>
      <c r="DB160" s="2">
        <f t="shared" si="377"/>
        <v>181218.79412742815</v>
      </c>
      <c r="DC160" s="2">
        <f t="shared" si="354"/>
        <v>0</v>
      </c>
      <c r="DD160" s="2">
        <f t="shared" si="378"/>
        <v>1653.0847367034451</v>
      </c>
      <c r="DE160" s="2">
        <f t="shared" si="379"/>
        <v>179565.70939072469</v>
      </c>
      <c r="DF160" s="2">
        <f t="shared" si="355"/>
        <v>4950</v>
      </c>
      <c r="DG160" s="2">
        <f t="shared" si="356"/>
        <v>14490.382062500008</v>
      </c>
      <c r="DH160" s="2">
        <f t="shared" si="380"/>
        <v>160125.32732822467</v>
      </c>
    </row>
    <row r="161" spans="2:112">
      <c r="B161" s="232"/>
      <c r="C161" s="1">
        <f t="shared" si="321"/>
        <v>124</v>
      </c>
      <c r="D161" s="2">
        <f t="shared" si="259"/>
        <v>153041.10893402577</v>
      </c>
      <c r="E161" s="2">
        <f t="shared" si="260"/>
        <v>141514.34245900766</v>
      </c>
      <c r="F161" s="2">
        <f t="shared" si="261"/>
        <v>158752.28457666672</v>
      </c>
      <c r="G161" s="2">
        <f t="shared" si="262"/>
        <v>144820.41391000006</v>
      </c>
      <c r="H161" s="2">
        <f t="shared" si="263"/>
        <v>166466.87176610209</v>
      </c>
      <c r="I161" s="2">
        <f t="shared" si="264"/>
        <v>151174.37176610209</v>
      </c>
      <c r="J161" s="2">
        <f t="shared" si="322"/>
        <v>135114.78469807014</v>
      </c>
      <c r="K161" s="2">
        <f t="shared" si="323"/>
        <v>137104.38167299266</v>
      </c>
      <c r="W161" s="1">
        <f t="shared" si="357"/>
        <v>143</v>
      </c>
      <c r="X161" s="2">
        <f t="shared" si="330"/>
        <v>143884.63664033494</v>
      </c>
      <c r="Y161" s="8">
        <f t="shared" si="383"/>
        <v>3.9100000000000003E-2</v>
      </c>
      <c r="Z161" s="5">
        <f t="shared" si="358"/>
        <v>1455</v>
      </c>
      <c r="AA161" s="2">
        <f t="shared" si="359"/>
        <v>145354.5</v>
      </c>
      <c r="AB161" s="2">
        <f t="shared" si="360"/>
        <v>145500</v>
      </c>
      <c r="AC161" s="2">
        <f t="shared" si="361"/>
        <v>158585.68799999999</v>
      </c>
      <c r="AD161" s="8">
        <f t="shared" si="331"/>
        <v>4.3999999999999997E-2</v>
      </c>
      <c r="AE161" s="2">
        <f t="shared" si="332"/>
        <v>164981.97741599998</v>
      </c>
      <c r="AF161" s="2" t="str">
        <f t="shared" si="333"/>
        <v>nie</v>
      </c>
      <c r="AG161" s="2">
        <f t="shared" si="334"/>
        <v>1455</v>
      </c>
      <c r="AH161" s="1">
        <f t="shared" si="386"/>
        <v>1</v>
      </c>
      <c r="AI161" s="1">
        <f t="shared" si="324"/>
        <v>1</v>
      </c>
      <c r="AJ161" s="1">
        <f t="shared" si="381"/>
        <v>1</v>
      </c>
      <c r="AK161" s="1">
        <f t="shared" si="319"/>
        <v>0</v>
      </c>
      <c r="AL161" s="2">
        <f t="shared" si="392"/>
        <v>100</v>
      </c>
      <c r="AM161" s="8">
        <f t="shared" si="313"/>
        <v>4.3999999999999997E-2</v>
      </c>
      <c r="AN161" s="2">
        <f t="shared" si="393"/>
        <v>104.03333333333333</v>
      </c>
      <c r="AO161" s="2">
        <f t="shared" si="387"/>
        <v>1</v>
      </c>
      <c r="AP161" s="2">
        <f t="shared" si="272"/>
        <v>200</v>
      </c>
      <c r="AQ161" s="8">
        <f t="shared" si="325"/>
        <v>3.9100000000000003E-2</v>
      </c>
      <c r="AR161" s="2">
        <f t="shared" si="267"/>
        <v>207.16833333333335</v>
      </c>
      <c r="AS161" s="2">
        <f t="shared" si="326"/>
        <v>2</v>
      </c>
      <c r="AT161" s="2">
        <f t="shared" si="362"/>
        <v>0</v>
      </c>
      <c r="AU161" s="2">
        <f t="shared" si="394"/>
        <v>0</v>
      </c>
      <c r="AV161" s="2">
        <f t="shared" si="388"/>
        <v>29.75842991998536</v>
      </c>
      <c r="AW161" s="1">
        <f t="shared" si="384"/>
        <v>0</v>
      </c>
      <c r="AX161" s="2">
        <f t="shared" si="335"/>
        <v>29.75842991998536</v>
      </c>
      <c r="AY161" s="1">
        <f t="shared" si="389"/>
        <v>0</v>
      </c>
      <c r="AZ161" s="2">
        <f t="shared" si="363"/>
        <v>29.75842991998536</v>
      </c>
      <c r="BA161" s="2">
        <f t="shared" si="395"/>
        <v>165322.93751258662</v>
      </c>
      <c r="BB161" s="2">
        <f t="shared" si="336"/>
        <v>0</v>
      </c>
      <c r="BC161" s="2">
        <f t="shared" si="364"/>
        <v>1569.3142756574237</v>
      </c>
      <c r="BD161" s="2">
        <f t="shared" si="337"/>
        <v>163753.62323692918</v>
      </c>
      <c r="BE161" s="2">
        <f t="shared" si="365"/>
        <v>1458</v>
      </c>
      <c r="BF161" s="2">
        <f t="shared" si="338"/>
        <v>12134.338127391458</v>
      </c>
      <c r="BG161" s="2">
        <f t="shared" si="339"/>
        <v>150161.28510953771</v>
      </c>
      <c r="BI161" s="8">
        <f t="shared" si="315"/>
        <v>3.1E-2</v>
      </c>
      <c r="BJ161" s="5">
        <f t="shared" si="366"/>
        <v>1096</v>
      </c>
      <c r="BK161" s="2">
        <f t="shared" si="367"/>
        <v>109490.40000000001</v>
      </c>
      <c r="BL161" s="2">
        <f t="shared" si="368"/>
        <v>109600</v>
      </c>
      <c r="BM161" s="2">
        <f t="shared" si="340"/>
        <v>109600</v>
      </c>
      <c r="BN161" s="8">
        <f t="shared" si="341"/>
        <v>4.5999999999999999E-2</v>
      </c>
      <c r="BO161" s="2">
        <f t="shared" si="342"/>
        <v>114221.46666666667</v>
      </c>
      <c r="BP161" s="2" t="str">
        <f t="shared" si="343"/>
        <v>nie</v>
      </c>
      <c r="BQ161" s="2">
        <f t="shared" si="344"/>
        <v>2192</v>
      </c>
      <c r="BR161" s="1">
        <f t="shared" si="316"/>
        <v>185</v>
      </c>
      <c r="BS161" s="1">
        <f t="shared" si="327"/>
        <v>176</v>
      </c>
      <c r="BT161" s="1">
        <f t="shared" si="382"/>
        <v>171</v>
      </c>
      <c r="BU161" s="1">
        <f t="shared" si="320"/>
        <v>22</v>
      </c>
      <c r="BV161" s="2">
        <f t="shared" si="396"/>
        <v>18500</v>
      </c>
      <c r="BW161" s="8">
        <f t="shared" si="317"/>
        <v>4.7500000000000001E-2</v>
      </c>
      <c r="BX161" s="2">
        <f t="shared" si="397"/>
        <v>19305.520833333332</v>
      </c>
      <c r="BY161" s="2">
        <f t="shared" si="390"/>
        <v>370</v>
      </c>
      <c r="BZ161" s="2">
        <f t="shared" si="273"/>
        <v>36900</v>
      </c>
      <c r="CA161" s="8">
        <f t="shared" si="328"/>
        <v>4.5999999999999999E-2</v>
      </c>
      <c r="CB161" s="2">
        <f t="shared" si="398"/>
        <v>38455.949999999997</v>
      </c>
      <c r="CC161" s="2">
        <f t="shared" si="329"/>
        <v>738</v>
      </c>
      <c r="CD161" s="2">
        <f t="shared" si="345"/>
        <v>0</v>
      </c>
      <c r="CE161" s="2">
        <f t="shared" si="399"/>
        <v>0</v>
      </c>
      <c r="CF161" s="2">
        <f t="shared" si="400"/>
        <v>57.200000000046202</v>
      </c>
      <c r="CG161" s="1">
        <f t="shared" si="385"/>
        <v>0</v>
      </c>
      <c r="CH161" s="2">
        <f t="shared" si="346"/>
        <v>57.200000000046202</v>
      </c>
      <c r="CI161" s="1">
        <f t="shared" si="391"/>
        <v>0</v>
      </c>
      <c r="CJ161" s="2">
        <f t="shared" si="401"/>
        <v>57.200000000046202</v>
      </c>
      <c r="CK161" s="2">
        <f t="shared" si="402"/>
        <v>172040.13750000004</v>
      </c>
      <c r="CL161" s="2">
        <f t="shared" si="347"/>
        <v>0</v>
      </c>
      <c r="CM161" s="2">
        <f t="shared" si="369"/>
        <v>1605.0280900000005</v>
      </c>
      <c r="CN161" s="2">
        <f t="shared" si="348"/>
        <v>170435.10941000003</v>
      </c>
      <c r="CO161" s="2">
        <f t="shared" si="370"/>
        <v>3300</v>
      </c>
      <c r="CP161" s="2">
        <f t="shared" si="349"/>
        <v>13060.626125000008</v>
      </c>
      <c r="CQ161" s="2">
        <f t="shared" si="350"/>
        <v>154074.48328500002</v>
      </c>
      <c r="CS161" s="5">
        <f t="shared" si="371"/>
        <v>1650</v>
      </c>
      <c r="CT161" s="2">
        <f t="shared" si="372"/>
        <v>164835</v>
      </c>
      <c r="CU161" s="2">
        <f t="shared" si="373"/>
        <v>165000</v>
      </c>
      <c r="CV161" s="2">
        <f t="shared" si="374"/>
        <v>173827.50000000003</v>
      </c>
      <c r="CW161" s="8">
        <f t="shared" si="351"/>
        <v>5.1000000000000004E-2</v>
      </c>
      <c r="CX161" s="2">
        <f t="shared" si="352"/>
        <v>181953.93562500004</v>
      </c>
      <c r="CY161" s="2" t="str">
        <f t="shared" si="353"/>
        <v>nie</v>
      </c>
      <c r="CZ161" s="2">
        <f t="shared" si="375"/>
        <v>0</v>
      </c>
      <c r="DA161" s="2">
        <f t="shared" si="376"/>
        <v>3.6253774281067308</v>
      </c>
      <c r="DB161" s="2">
        <f t="shared" si="377"/>
        <v>181957.56100242815</v>
      </c>
      <c r="DC161" s="2">
        <f t="shared" si="354"/>
        <v>0</v>
      </c>
      <c r="DD161" s="2">
        <f t="shared" si="378"/>
        <v>1653.0847367034451</v>
      </c>
      <c r="DE161" s="2">
        <f t="shared" si="379"/>
        <v>180304.47626572469</v>
      </c>
      <c r="DF161" s="2">
        <f t="shared" si="355"/>
        <v>4950</v>
      </c>
      <c r="DG161" s="2">
        <f t="shared" si="356"/>
        <v>14630.747768750009</v>
      </c>
      <c r="DH161" s="2">
        <f t="shared" si="380"/>
        <v>160723.72849697468</v>
      </c>
    </row>
    <row r="162" spans="2:112">
      <c r="B162" s="232"/>
      <c r="C162" s="1">
        <f t="shared" si="321"/>
        <v>125</v>
      </c>
      <c r="D162" s="2">
        <f t="shared" si="259"/>
        <v>153599.10126735913</v>
      </c>
      <c r="E162" s="2">
        <f t="shared" si="260"/>
        <v>141966.31624900768</v>
      </c>
      <c r="F162" s="2">
        <f t="shared" si="261"/>
        <v>159359.00124333336</v>
      </c>
      <c r="G162" s="2">
        <f t="shared" si="262"/>
        <v>145255.42441000001</v>
      </c>
      <c r="H162" s="2">
        <f t="shared" si="263"/>
        <v>167202.49676610209</v>
      </c>
      <c r="I162" s="2">
        <f t="shared" si="264"/>
        <v>151174.37176610209</v>
      </c>
      <c r="J162" s="2">
        <f t="shared" si="322"/>
        <v>135443.11362488643</v>
      </c>
      <c r="K162" s="2">
        <f t="shared" si="323"/>
        <v>137454.94549944127</v>
      </c>
      <c r="W162" s="1">
        <f t="shared" si="357"/>
        <v>144</v>
      </c>
      <c r="X162" s="2">
        <f t="shared" si="330"/>
        <v>144246.06794540343</v>
      </c>
      <c r="Y162" s="8">
        <f t="shared" si="383"/>
        <v>3.9100000000000003E-2</v>
      </c>
      <c r="Z162" s="5">
        <f t="shared" si="358"/>
        <v>1455</v>
      </c>
      <c r="AA162" s="2">
        <f t="shared" si="359"/>
        <v>145354.5</v>
      </c>
      <c r="AB162" s="2">
        <f t="shared" si="360"/>
        <v>145500</v>
      </c>
      <c r="AC162" s="2">
        <f t="shared" si="361"/>
        <v>158585.68799999999</v>
      </c>
      <c r="AD162" s="8">
        <f t="shared" si="331"/>
        <v>3.9100000000000003E-2</v>
      </c>
      <c r="AE162" s="2">
        <f t="shared" si="332"/>
        <v>164786.38840079997</v>
      </c>
      <c r="AF162" s="2" t="str">
        <f t="shared" si="333"/>
        <v>tak</v>
      </c>
      <c r="AG162" s="2">
        <f t="shared" si="334"/>
        <v>0</v>
      </c>
      <c r="AH162" s="1">
        <f t="shared" si="386"/>
        <v>1</v>
      </c>
      <c r="AI162" s="1">
        <f t="shared" si="324"/>
        <v>1</v>
      </c>
      <c r="AJ162" s="1">
        <f t="shared" si="381"/>
        <v>1</v>
      </c>
      <c r="AK162" s="1">
        <f t="shared" si="319"/>
        <v>0</v>
      </c>
      <c r="AL162" s="2">
        <f t="shared" si="392"/>
        <v>100</v>
      </c>
      <c r="AM162" s="8">
        <f t="shared" si="313"/>
        <v>4.3999999999999997E-2</v>
      </c>
      <c r="AN162" s="2">
        <f t="shared" si="393"/>
        <v>104.4</v>
      </c>
      <c r="AO162" s="2">
        <f t="shared" si="387"/>
        <v>1</v>
      </c>
      <c r="AP162" s="2">
        <f t="shared" si="272"/>
        <v>200</v>
      </c>
      <c r="AQ162" s="8">
        <f t="shared" si="325"/>
        <v>3.9100000000000003E-2</v>
      </c>
      <c r="AR162" s="2">
        <f t="shared" si="267"/>
        <v>207.82</v>
      </c>
      <c r="AS162" s="2">
        <f t="shared" si="326"/>
        <v>2</v>
      </c>
      <c r="AT162" s="6"/>
      <c r="AU162" s="6"/>
      <c r="AV162" s="6"/>
      <c r="AW162" s="1">
        <f t="shared" si="384"/>
        <v>0</v>
      </c>
      <c r="AX162" s="2">
        <f t="shared" si="335"/>
        <v>0</v>
      </c>
      <c r="AY162" s="1">
        <f t="shared" si="389"/>
        <v>0</v>
      </c>
      <c r="AZ162" s="2">
        <f t="shared" si="363"/>
        <v>0</v>
      </c>
      <c r="BA162" s="2">
        <f t="shared" si="395"/>
        <v>165128.36683071996</v>
      </c>
      <c r="BB162" s="2">
        <f t="shared" si="336"/>
        <v>165.12836683071995</v>
      </c>
      <c r="BC162" s="2">
        <f t="shared" si="364"/>
        <v>1734.4426424881435</v>
      </c>
      <c r="BD162" s="2">
        <f t="shared" si="337"/>
        <v>163393.92418823182</v>
      </c>
      <c r="BE162" s="2">
        <f t="shared" si="365"/>
        <v>3</v>
      </c>
      <c r="BF162" s="2">
        <f t="shared" si="338"/>
        <v>12373.819697836792</v>
      </c>
      <c r="BG162" s="2">
        <f t="shared" si="339"/>
        <v>151017.10449039502</v>
      </c>
      <c r="BI162" s="8">
        <f t="shared" si="315"/>
        <v>3.1E-2</v>
      </c>
      <c r="BJ162" s="5">
        <f t="shared" si="366"/>
        <v>1096</v>
      </c>
      <c r="BK162" s="2">
        <f t="shared" si="367"/>
        <v>109490.40000000001</v>
      </c>
      <c r="BL162" s="2">
        <f t="shared" si="368"/>
        <v>109600</v>
      </c>
      <c r="BM162" s="2">
        <f t="shared" si="340"/>
        <v>109600</v>
      </c>
      <c r="BN162" s="8">
        <f t="shared" si="341"/>
        <v>4.5999999999999999E-2</v>
      </c>
      <c r="BO162" s="2">
        <f t="shared" si="342"/>
        <v>114641.60000000001</v>
      </c>
      <c r="BP162" s="2" t="str">
        <f t="shared" si="343"/>
        <v>tak</v>
      </c>
      <c r="BQ162" s="2">
        <f t="shared" si="344"/>
        <v>0</v>
      </c>
      <c r="BR162" s="1">
        <f t="shared" si="316"/>
        <v>185</v>
      </c>
      <c r="BS162" s="1">
        <f t="shared" si="327"/>
        <v>176</v>
      </c>
      <c r="BT162" s="1">
        <f t="shared" si="382"/>
        <v>171</v>
      </c>
      <c r="BU162" s="1">
        <f t="shared" si="320"/>
        <v>22</v>
      </c>
      <c r="BV162" s="2">
        <f t="shared" si="396"/>
        <v>18500</v>
      </c>
      <c r="BW162" s="8">
        <f t="shared" si="317"/>
        <v>4.7500000000000001E-2</v>
      </c>
      <c r="BX162" s="2">
        <f t="shared" si="397"/>
        <v>19378.75</v>
      </c>
      <c r="BY162" s="2">
        <f t="shared" si="390"/>
        <v>370</v>
      </c>
      <c r="BZ162" s="2">
        <f t="shared" si="273"/>
        <v>36900</v>
      </c>
      <c r="CA162" s="8">
        <f t="shared" si="328"/>
        <v>4.5999999999999999E-2</v>
      </c>
      <c r="CB162" s="2">
        <f t="shared" si="398"/>
        <v>38597.4</v>
      </c>
      <c r="CC162" s="2">
        <f t="shared" si="329"/>
        <v>738</v>
      </c>
      <c r="CD162" s="6"/>
      <c r="CE162" s="6"/>
      <c r="CF162" s="6"/>
      <c r="CG162" s="1">
        <f t="shared" si="385"/>
        <v>0</v>
      </c>
      <c r="CH162" s="2">
        <f t="shared" si="346"/>
        <v>0</v>
      </c>
      <c r="CI162" s="1">
        <f t="shared" si="391"/>
        <v>0</v>
      </c>
      <c r="CJ162" s="2">
        <f t="shared" si="401"/>
        <v>0</v>
      </c>
      <c r="CK162" s="2">
        <f t="shared" si="402"/>
        <v>172674.95000000004</v>
      </c>
      <c r="CL162" s="2">
        <f t="shared" si="347"/>
        <v>172.67495000000005</v>
      </c>
      <c r="CM162" s="2">
        <f t="shared" si="369"/>
        <v>1777.7030400000006</v>
      </c>
      <c r="CN162" s="2">
        <f t="shared" si="348"/>
        <v>170897.24696000005</v>
      </c>
      <c r="CO162" s="2">
        <f t="shared" si="370"/>
        <v>1108</v>
      </c>
      <c r="CP162" s="2">
        <f t="shared" si="349"/>
        <v>13597.720500000009</v>
      </c>
      <c r="CQ162" s="2">
        <f t="shared" si="350"/>
        <v>156191.52646000005</v>
      </c>
      <c r="CS162" s="5">
        <f t="shared" si="371"/>
        <v>1650</v>
      </c>
      <c r="CT162" s="2">
        <f t="shared" si="372"/>
        <v>164835</v>
      </c>
      <c r="CU162" s="2">
        <f t="shared" si="373"/>
        <v>165000</v>
      </c>
      <c r="CV162" s="2">
        <f t="shared" si="374"/>
        <v>173827.50000000003</v>
      </c>
      <c r="CW162" s="8">
        <f t="shared" si="351"/>
        <v>5.1000000000000004E-2</v>
      </c>
      <c r="CX162" s="2">
        <f t="shared" si="352"/>
        <v>182692.70250000001</v>
      </c>
      <c r="CY162" s="2" t="str">
        <f t="shared" si="353"/>
        <v>nie</v>
      </c>
      <c r="CZ162" s="2">
        <f t="shared" si="375"/>
        <v>0</v>
      </c>
      <c r="DA162" s="2">
        <f t="shared" si="376"/>
        <v>3.6253774281067308</v>
      </c>
      <c r="DB162" s="2">
        <f t="shared" si="377"/>
        <v>182696.32787742812</v>
      </c>
      <c r="DC162" s="2">
        <f t="shared" si="354"/>
        <v>182.69632787742813</v>
      </c>
      <c r="DD162" s="2">
        <f t="shared" si="378"/>
        <v>1835.7810645808731</v>
      </c>
      <c r="DE162" s="2">
        <f t="shared" si="379"/>
        <v>180860.54681284726</v>
      </c>
      <c r="DF162" s="2">
        <f t="shared" si="355"/>
        <v>4950</v>
      </c>
      <c r="DG162" s="2">
        <f t="shared" si="356"/>
        <v>14771.113475000002</v>
      </c>
      <c r="DH162" s="2">
        <f t="shared" si="380"/>
        <v>161139.43333784727</v>
      </c>
    </row>
    <row r="163" spans="2:112">
      <c r="B163" s="232"/>
      <c r="C163" s="1">
        <f t="shared" si="321"/>
        <v>126</v>
      </c>
      <c r="D163" s="2">
        <f t="shared" si="259"/>
        <v>154157.09360069249</v>
      </c>
      <c r="E163" s="2">
        <f t="shared" si="260"/>
        <v>142418.2900390077</v>
      </c>
      <c r="F163" s="2">
        <f t="shared" si="261"/>
        <v>159965.71791000004</v>
      </c>
      <c r="G163" s="2">
        <f t="shared" si="262"/>
        <v>145743.89491000003</v>
      </c>
      <c r="H163" s="2">
        <f t="shared" si="263"/>
        <v>167938.12176610209</v>
      </c>
      <c r="I163" s="2">
        <f t="shared" si="264"/>
        <v>151174.37176610209</v>
      </c>
      <c r="J163" s="2">
        <f t="shared" si="322"/>
        <v>135772.24039099491</v>
      </c>
      <c r="K163" s="2">
        <f t="shared" si="323"/>
        <v>137805.50932588987</v>
      </c>
    </row>
    <row r="164" spans="2:112">
      <c r="B164" s="232"/>
      <c r="C164" s="1">
        <f t="shared" si="321"/>
        <v>127</v>
      </c>
      <c r="D164" s="2">
        <f t="shared" si="259"/>
        <v>154715.08593402582</v>
      </c>
      <c r="E164" s="2">
        <f t="shared" si="260"/>
        <v>142870.26382900769</v>
      </c>
      <c r="F164" s="2">
        <f t="shared" si="261"/>
        <v>160572.43457666671</v>
      </c>
      <c r="G164" s="2">
        <f t="shared" si="262"/>
        <v>146235.33541000003</v>
      </c>
      <c r="H164" s="2">
        <f t="shared" si="263"/>
        <v>168673.74676610209</v>
      </c>
      <c r="I164" s="2">
        <f t="shared" si="264"/>
        <v>151335.86551610209</v>
      </c>
      <c r="J164" s="2">
        <f t="shared" si="322"/>
        <v>136102.16693514501</v>
      </c>
      <c r="K164" s="2">
        <f t="shared" si="323"/>
        <v>138156.07315233842</v>
      </c>
    </row>
    <row r="165" spans="2:112">
      <c r="B165" s="232"/>
      <c r="C165" s="1">
        <f t="shared" si="321"/>
        <v>128</v>
      </c>
      <c r="D165" s="2">
        <f t="shared" si="259"/>
        <v>155273.07826735915</v>
      </c>
      <c r="E165" s="2">
        <f t="shared" si="260"/>
        <v>143322.23761900768</v>
      </c>
      <c r="F165" s="2">
        <f t="shared" si="261"/>
        <v>161179.15124333338</v>
      </c>
      <c r="G165" s="2">
        <f t="shared" si="262"/>
        <v>146726.77591000003</v>
      </c>
      <c r="H165" s="2">
        <f t="shared" si="263"/>
        <v>169409.37176610209</v>
      </c>
      <c r="I165" s="2">
        <f t="shared" si="264"/>
        <v>151931.7217661021</v>
      </c>
      <c r="J165" s="2">
        <f t="shared" si="322"/>
        <v>136432.89520079741</v>
      </c>
      <c r="K165" s="2">
        <f t="shared" si="323"/>
        <v>138506.63697878702</v>
      </c>
    </row>
    <row r="166" spans="2:112">
      <c r="B166" s="232"/>
      <c r="C166" s="1">
        <f t="shared" ref="C166:C181" si="403">W147</f>
        <v>129</v>
      </c>
      <c r="D166" s="2">
        <f t="shared" si="259"/>
        <v>155831.07060069242</v>
      </c>
      <c r="E166" s="2">
        <f t="shared" si="260"/>
        <v>143774.21140900764</v>
      </c>
      <c r="F166" s="2">
        <f t="shared" si="261"/>
        <v>161785.86791000006</v>
      </c>
      <c r="G166" s="2">
        <f t="shared" si="262"/>
        <v>147218.21641000005</v>
      </c>
      <c r="H166" s="2">
        <f t="shared" si="263"/>
        <v>170144.99676610209</v>
      </c>
      <c r="I166" s="2">
        <f t="shared" si="264"/>
        <v>152527.57801610208</v>
      </c>
      <c r="J166" s="2">
        <f t="shared" ref="J166:J181" si="404">FV(INDEX(scenariusz_I_konto,MATCH(ROUNDUP(C166/12,0),scenariusz_I_rok,0))/12*(1-podatek_Belki),1,0,-J165,1)</f>
        <v>136764.42713613535</v>
      </c>
      <c r="K166" s="2">
        <f t="shared" ref="K166:K181" si="405">X147</f>
        <v>138857.20080523563</v>
      </c>
    </row>
    <row r="167" spans="2:112">
      <c r="B167" s="232"/>
      <c r="C167" s="1">
        <f t="shared" si="403"/>
        <v>130</v>
      </c>
      <c r="D167" s="2">
        <f t="shared" ref="D167:D181" si="406">BD148</f>
        <v>156389.06293402577</v>
      </c>
      <c r="E167" s="2">
        <f t="shared" ref="E167:E181" si="407">BG148</f>
        <v>144226.18519900765</v>
      </c>
      <c r="F167" s="2">
        <f t="shared" ref="F167:F181" si="408">CN148</f>
        <v>162392.5845766667</v>
      </c>
      <c r="G167" s="2">
        <f t="shared" ref="G167:G181" si="409">CQ148</f>
        <v>147709.65691000002</v>
      </c>
      <c r="H167" s="2">
        <f t="shared" ref="H167:H181" si="410">DE148</f>
        <v>170880.62176610209</v>
      </c>
      <c r="I167" s="2">
        <f t="shared" ref="I167:I181" si="411">DH148</f>
        <v>153123.43426610209</v>
      </c>
      <c r="J167" s="2">
        <f t="shared" si="404"/>
        <v>137096.76469407615</v>
      </c>
      <c r="K167" s="2">
        <f t="shared" si="405"/>
        <v>139207.76463168423</v>
      </c>
    </row>
    <row r="168" spans="2:112">
      <c r="B168" s="233"/>
      <c r="C168" s="1">
        <f t="shared" si="403"/>
        <v>131</v>
      </c>
      <c r="D168" s="2">
        <f t="shared" si="406"/>
        <v>156947.05526735913</v>
      </c>
      <c r="E168" s="2">
        <f t="shared" si="407"/>
        <v>144678.15898900767</v>
      </c>
      <c r="F168" s="2">
        <f t="shared" si="408"/>
        <v>162999.30124333341</v>
      </c>
      <c r="G168" s="2">
        <f t="shared" si="409"/>
        <v>148201.09741000005</v>
      </c>
      <c r="H168" s="2">
        <f t="shared" si="410"/>
        <v>171616.24676610209</v>
      </c>
      <c r="I168" s="2">
        <f t="shared" si="411"/>
        <v>153719.2905161021</v>
      </c>
      <c r="J168" s="2">
        <f t="shared" si="404"/>
        <v>137429.90983228275</v>
      </c>
      <c r="K168" s="2">
        <f t="shared" si="405"/>
        <v>139558.32845813283</v>
      </c>
    </row>
    <row r="169" spans="2:112">
      <c r="B169" s="231">
        <f>ROUNDUP(C170/12,0)</f>
        <v>12</v>
      </c>
      <c r="C169" s="3">
        <f t="shared" si="403"/>
        <v>132</v>
      </c>
      <c r="D169" s="10">
        <f t="shared" si="406"/>
        <v>157346.13215426254</v>
      </c>
      <c r="E169" s="10">
        <f t="shared" si="407"/>
        <v>144971.21733257774</v>
      </c>
      <c r="F169" s="10">
        <f t="shared" si="408"/>
        <v>163440.97191000005</v>
      </c>
      <c r="G169" s="10">
        <f t="shared" si="409"/>
        <v>148527.49191000004</v>
      </c>
      <c r="H169" s="10">
        <f t="shared" si="410"/>
        <v>172178.04064072468</v>
      </c>
      <c r="I169" s="10">
        <f t="shared" si="411"/>
        <v>154141.31564072467</v>
      </c>
      <c r="J169" s="10">
        <f t="shared" si="404"/>
        <v>137763.86451317518</v>
      </c>
      <c r="K169" s="10">
        <f t="shared" si="405"/>
        <v>139908.89228458141</v>
      </c>
    </row>
    <row r="170" spans="2:112">
      <c r="B170" s="232"/>
      <c r="C170" s="1">
        <f t="shared" si="403"/>
        <v>133</v>
      </c>
      <c r="D170" s="2">
        <f t="shared" si="406"/>
        <v>157928.63134359589</v>
      </c>
      <c r="E170" s="2">
        <f t="shared" si="407"/>
        <v>145443.55467593775</v>
      </c>
      <c r="F170" s="2">
        <f t="shared" si="408"/>
        <v>164086.98441000003</v>
      </c>
      <c r="G170" s="2">
        <f t="shared" si="409"/>
        <v>149172.88641000004</v>
      </c>
      <c r="H170" s="2">
        <f t="shared" si="410"/>
        <v>172916.80751572468</v>
      </c>
      <c r="I170" s="2">
        <f t="shared" si="411"/>
        <v>154739.71680947466</v>
      </c>
      <c r="J170" s="2">
        <f t="shared" si="404"/>
        <v>138098.63070394218</v>
      </c>
      <c r="K170" s="2">
        <f t="shared" si="405"/>
        <v>140270.32358964992</v>
      </c>
    </row>
    <row r="171" spans="2:112">
      <c r="B171" s="232"/>
      <c r="C171" s="1">
        <f t="shared" si="403"/>
        <v>134</v>
      </c>
      <c r="D171" s="2">
        <f t="shared" si="406"/>
        <v>158511.13053292924</v>
      </c>
      <c r="E171" s="2">
        <f t="shared" si="407"/>
        <v>145915.08201929776</v>
      </c>
      <c r="F171" s="2">
        <f t="shared" si="408"/>
        <v>164721.79691000003</v>
      </c>
      <c r="G171" s="2">
        <f t="shared" si="409"/>
        <v>149627.76891000001</v>
      </c>
      <c r="H171" s="2">
        <f t="shared" si="410"/>
        <v>173655.57439072468</v>
      </c>
      <c r="I171" s="2">
        <f t="shared" si="411"/>
        <v>155338.11797822468</v>
      </c>
      <c r="J171" s="2">
        <f t="shared" si="404"/>
        <v>138434.21037655274</v>
      </c>
      <c r="K171" s="2">
        <f t="shared" si="405"/>
        <v>140631.75489471844</v>
      </c>
    </row>
    <row r="172" spans="2:112">
      <c r="B172" s="232"/>
      <c r="C172" s="1">
        <f t="shared" si="403"/>
        <v>135</v>
      </c>
      <c r="D172" s="2">
        <f t="shared" si="406"/>
        <v>159093.6297222625</v>
      </c>
      <c r="E172" s="2">
        <f t="shared" si="407"/>
        <v>146386.69036265771</v>
      </c>
      <c r="F172" s="2">
        <f t="shared" si="408"/>
        <v>165356.60941000003</v>
      </c>
      <c r="G172" s="2">
        <f t="shared" si="409"/>
        <v>150082.65141000002</v>
      </c>
      <c r="H172" s="2">
        <f t="shared" si="410"/>
        <v>174394.34126572468</v>
      </c>
      <c r="I172" s="2">
        <f t="shared" si="411"/>
        <v>155936.51914697466</v>
      </c>
      <c r="J172" s="2">
        <f t="shared" si="404"/>
        <v>138770.60550776776</v>
      </c>
      <c r="K172" s="2">
        <f t="shared" si="405"/>
        <v>140993.1861997869</v>
      </c>
    </row>
    <row r="173" spans="2:112">
      <c r="B173" s="232"/>
      <c r="C173" s="1">
        <f t="shared" si="403"/>
        <v>136</v>
      </c>
      <c r="D173" s="2">
        <f t="shared" si="406"/>
        <v>159676.12891159585</v>
      </c>
      <c r="E173" s="2">
        <f t="shared" si="407"/>
        <v>146858.51470601771</v>
      </c>
      <c r="F173" s="2">
        <f t="shared" si="408"/>
        <v>165991.42191000003</v>
      </c>
      <c r="G173" s="2">
        <f t="shared" si="409"/>
        <v>150537.53391000003</v>
      </c>
      <c r="H173" s="2">
        <f t="shared" si="410"/>
        <v>175133.10814072465</v>
      </c>
      <c r="I173" s="2">
        <f t="shared" si="411"/>
        <v>156534.92031572465</v>
      </c>
      <c r="J173" s="2">
        <f t="shared" si="404"/>
        <v>139107.81807915162</v>
      </c>
      <c r="K173" s="2">
        <f t="shared" si="405"/>
        <v>141354.61750485541</v>
      </c>
    </row>
    <row r="174" spans="2:112">
      <c r="B174" s="232"/>
      <c r="C174" s="1">
        <f t="shared" si="403"/>
        <v>137</v>
      </c>
      <c r="D174" s="2">
        <f t="shared" si="406"/>
        <v>160258.6281009292</v>
      </c>
      <c r="E174" s="2">
        <f t="shared" si="407"/>
        <v>147330.33904937774</v>
      </c>
      <c r="F174" s="2">
        <f t="shared" si="408"/>
        <v>166626.23441</v>
      </c>
      <c r="G174" s="2">
        <f t="shared" si="409"/>
        <v>150992.41641000001</v>
      </c>
      <c r="H174" s="2">
        <f t="shared" si="410"/>
        <v>175871.87501572468</v>
      </c>
      <c r="I174" s="2">
        <f t="shared" si="411"/>
        <v>157133.32148447467</v>
      </c>
      <c r="J174" s="2">
        <f t="shared" si="404"/>
        <v>139445.85007708395</v>
      </c>
      <c r="K174" s="2">
        <f t="shared" si="405"/>
        <v>141716.04880992393</v>
      </c>
    </row>
    <row r="175" spans="2:112">
      <c r="B175" s="232"/>
      <c r="C175" s="1">
        <f t="shared" si="403"/>
        <v>138</v>
      </c>
      <c r="D175" s="2">
        <f t="shared" si="406"/>
        <v>160841.12729026255</v>
      </c>
      <c r="E175" s="2">
        <f t="shared" si="407"/>
        <v>147802.16339273774</v>
      </c>
      <c r="F175" s="2">
        <f t="shared" si="408"/>
        <v>167261.04691000003</v>
      </c>
      <c r="G175" s="2">
        <f t="shared" si="409"/>
        <v>151503.49266000002</v>
      </c>
      <c r="H175" s="2">
        <f t="shared" si="410"/>
        <v>176610.64189072468</v>
      </c>
      <c r="I175" s="2">
        <f t="shared" si="411"/>
        <v>157731.72265322469</v>
      </c>
      <c r="J175" s="2">
        <f t="shared" si="404"/>
        <v>139784.70349277125</v>
      </c>
      <c r="K175" s="2">
        <f t="shared" si="405"/>
        <v>142077.48011499242</v>
      </c>
    </row>
    <row r="176" spans="2:112">
      <c r="B176" s="232"/>
      <c r="C176" s="1">
        <f t="shared" si="403"/>
        <v>139</v>
      </c>
      <c r="D176" s="2">
        <f t="shared" si="406"/>
        <v>161423.6264795959</v>
      </c>
      <c r="E176" s="2">
        <f t="shared" si="407"/>
        <v>148273.98773609777</v>
      </c>
      <c r="F176" s="2">
        <f t="shared" si="408"/>
        <v>167895.85941</v>
      </c>
      <c r="G176" s="2">
        <f t="shared" si="409"/>
        <v>152017.69078500001</v>
      </c>
      <c r="H176" s="2">
        <f t="shared" si="410"/>
        <v>177349.40876572466</v>
      </c>
      <c r="I176" s="2">
        <f t="shared" si="411"/>
        <v>158330.12382197464</v>
      </c>
      <c r="J176" s="2">
        <f t="shared" si="404"/>
        <v>140124.38032225869</v>
      </c>
      <c r="K176" s="2">
        <f t="shared" si="405"/>
        <v>142438.9114200609</v>
      </c>
    </row>
    <row r="177" spans="2:11">
      <c r="B177" s="232"/>
      <c r="C177" s="1">
        <f t="shared" si="403"/>
        <v>140</v>
      </c>
      <c r="D177" s="2">
        <f t="shared" si="406"/>
        <v>162006.12566892922</v>
      </c>
      <c r="E177" s="2">
        <f t="shared" si="407"/>
        <v>148745.81207945774</v>
      </c>
      <c r="F177" s="2">
        <f t="shared" si="408"/>
        <v>168530.67191000003</v>
      </c>
      <c r="G177" s="2">
        <f t="shared" si="409"/>
        <v>152531.88891000004</v>
      </c>
      <c r="H177" s="2">
        <f t="shared" si="410"/>
        <v>178088.17564072469</v>
      </c>
      <c r="I177" s="2">
        <f t="shared" si="411"/>
        <v>158928.52499072469</v>
      </c>
      <c r="J177" s="2">
        <f t="shared" si="404"/>
        <v>140464.88256644175</v>
      </c>
      <c r="K177" s="2">
        <f t="shared" si="405"/>
        <v>142800.34272512942</v>
      </c>
    </row>
    <row r="178" spans="2:11">
      <c r="B178" s="232"/>
      <c r="C178" s="1">
        <f t="shared" si="403"/>
        <v>141</v>
      </c>
      <c r="D178" s="2">
        <f t="shared" si="406"/>
        <v>162588.62485826251</v>
      </c>
      <c r="E178" s="2">
        <f t="shared" si="407"/>
        <v>149217.63642281771</v>
      </c>
      <c r="F178" s="2">
        <f t="shared" si="408"/>
        <v>169165.48441000003</v>
      </c>
      <c r="G178" s="2">
        <f t="shared" si="409"/>
        <v>153046.08703500003</v>
      </c>
      <c r="H178" s="2">
        <f t="shared" si="410"/>
        <v>178826.94251572466</v>
      </c>
      <c r="I178" s="2">
        <f t="shared" si="411"/>
        <v>159526.92615947465</v>
      </c>
      <c r="J178" s="2">
        <f t="shared" si="404"/>
        <v>140806.21223107819</v>
      </c>
      <c r="K178" s="2">
        <f t="shared" si="405"/>
        <v>143161.77403019794</v>
      </c>
    </row>
    <row r="179" spans="2:11">
      <c r="B179" s="232"/>
      <c r="C179" s="1">
        <f t="shared" si="403"/>
        <v>142</v>
      </c>
      <c r="D179" s="2">
        <f t="shared" si="406"/>
        <v>163171.12404759586</v>
      </c>
      <c r="E179" s="2">
        <f t="shared" si="407"/>
        <v>149689.46076617774</v>
      </c>
      <c r="F179" s="2">
        <f t="shared" si="408"/>
        <v>169800.29691000003</v>
      </c>
      <c r="G179" s="2">
        <f t="shared" si="409"/>
        <v>153560.28516000003</v>
      </c>
      <c r="H179" s="2">
        <f t="shared" si="410"/>
        <v>179565.70939072469</v>
      </c>
      <c r="I179" s="2">
        <f t="shared" si="411"/>
        <v>160125.32732822467</v>
      </c>
      <c r="J179" s="2">
        <f t="shared" si="404"/>
        <v>141148.37132679971</v>
      </c>
      <c r="K179" s="2">
        <f t="shared" si="405"/>
        <v>143523.20533526642</v>
      </c>
    </row>
    <row r="180" spans="2:11" s="45" customFormat="1">
      <c r="B180" s="233"/>
      <c r="C180" s="1">
        <f t="shared" si="403"/>
        <v>143</v>
      </c>
      <c r="D180" s="2">
        <f t="shared" si="406"/>
        <v>163753.62323692918</v>
      </c>
      <c r="E180" s="2">
        <f t="shared" si="407"/>
        <v>150161.28510953771</v>
      </c>
      <c r="F180" s="2">
        <f t="shared" si="408"/>
        <v>170435.10941000003</v>
      </c>
      <c r="G180" s="2">
        <f t="shared" si="409"/>
        <v>154074.48328500002</v>
      </c>
      <c r="H180" s="2">
        <f t="shared" si="410"/>
        <v>180304.47626572469</v>
      </c>
      <c r="I180" s="2">
        <f t="shared" si="411"/>
        <v>160723.72849697468</v>
      </c>
      <c r="J180" s="2">
        <f t="shared" si="404"/>
        <v>141491.36186912382</v>
      </c>
      <c r="K180" s="2">
        <f t="shared" si="405"/>
        <v>143884.63664033494</v>
      </c>
    </row>
    <row r="181" spans="2:11" s="45" customFormat="1">
      <c r="C181" s="3">
        <f t="shared" si="403"/>
        <v>144</v>
      </c>
      <c r="D181" s="10">
        <f t="shared" si="406"/>
        <v>163393.92418823182</v>
      </c>
      <c r="E181" s="10">
        <f t="shared" si="407"/>
        <v>151017.10449039502</v>
      </c>
      <c r="F181" s="10">
        <f t="shared" si="408"/>
        <v>170897.24696000005</v>
      </c>
      <c r="G181" s="10">
        <f t="shared" si="409"/>
        <v>156191.52646000005</v>
      </c>
      <c r="H181" s="10">
        <f t="shared" si="410"/>
        <v>180860.54681284726</v>
      </c>
      <c r="I181" s="10">
        <f t="shared" si="411"/>
        <v>161139.43333784727</v>
      </c>
      <c r="J181" s="10">
        <f t="shared" si="404"/>
        <v>141835.1858784658</v>
      </c>
      <c r="K181" s="10">
        <f t="shared" si="405"/>
        <v>144246.06794540343</v>
      </c>
    </row>
    <row r="182" spans="2:11" s="45" customFormat="1"/>
    <row r="183" spans="2:11" s="45" customFormat="1"/>
    <row r="184" spans="2:11" s="45" customFormat="1"/>
    <row r="185" spans="2:11" s="45" customFormat="1"/>
    <row r="186" spans="2:11" s="45" customFormat="1"/>
    <row r="187" spans="2:11" s="45" customFormat="1"/>
    <row r="188" spans="2:11" s="45" customFormat="1"/>
    <row r="189" spans="2:11">
      <c r="C189" s="45"/>
      <c r="D189" s="45"/>
      <c r="E189" s="45"/>
      <c r="F189" s="45"/>
      <c r="G189" s="45"/>
      <c r="H189" s="45"/>
      <c r="I189" s="45"/>
      <c r="J189" s="45"/>
      <c r="K189" s="45"/>
    </row>
    <row r="190" spans="2:11">
      <c r="C190" s="45"/>
      <c r="D190" s="45"/>
      <c r="E190" s="45"/>
      <c r="F190" s="45"/>
      <c r="G190" s="45"/>
      <c r="H190" s="45"/>
      <c r="I190" s="45"/>
      <c r="J190" s="45"/>
      <c r="K190" s="45"/>
    </row>
  </sheetData>
  <mergeCells count="14">
    <mergeCell ref="B73:B84"/>
    <mergeCell ref="B157:B168"/>
    <mergeCell ref="B169:B180"/>
    <mergeCell ref="B85:B96"/>
    <mergeCell ref="B97:B108"/>
    <mergeCell ref="B109:B120"/>
    <mergeCell ref="B121:B132"/>
    <mergeCell ref="B133:B144"/>
    <mergeCell ref="B145:B156"/>
    <mergeCell ref="M19:U19"/>
    <mergeCell ref="B37:B48"/>
    <mergeCell ref="B49:B60"/>
    <mergeCell ref="B61:B72"/>
    <mergeCell ref="C19:K19"/>
  </mergeCells>
  <dataValidations count="1">
    <dataValidation type="whole" allowBlank="1" showInputMessage="1" showErrorMessage="1" errorTitle="Uwaga" error="Wpisz liczbę z przedziału od 1 do 144. _x000a__x000a_Dziękuję :)" sqref="C17" xr:uid="{91FA14FC-ED14-4155-B1D3-8C6EA48253AA}">
      <formula1>1</formula1>
      <formula2>144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89</vt:i4>
      </vt:variant>
    </vt:vector>
  </HeadingPairs>
  <TitlesOfParts>
    <vt:vector size="92" baseType="lpstr">
      <vt:lpstr>WPISZ ZAŁOŻENIA</vt:lpstr>
      <vt:lpstr>OBLIGACJE</vt:lpstr>
      <vt:lpstr>IKE OBLIGACJE</vt:lpstr>
      <vt:lpstr>IKE_oplata_rok</vt:lpstr>
      <vt:lpstr>IKE_oplata_wskaznik</vt:lpstr>
      <vt:lpstr>IKE_wyniki_COI_I</vt:lpstr>
      <vt:lpstr>IKE_wyniki_COI_preferencje</vt:lpstr>
      <vt:lpstr>IKE_wyniki_EDO_I</vt:lpstr>
      <vt:lpstr>IKE_wyniki_EDO_preferencje</vt:lpstr>
      <vt:lpstr>IKE_wyniki_mc</vt:lpstr>
      <vt:lpstr>IKE_wyniki_skumulowana_inflacja</vt:lpstr>
      <vt:lpstr>IKE_wyniki_TOS_I</vt:lpstr>
      <vt:lpstr>IKE_wyniki_TOS_preferencje</vt:lpstr>
      <vt:lpstr>IKE_zakup_domyslny_mc</vt:lpstr>
      <vt:lpstr>kapitalizacja_odsetek_mc_EDO</vt:lpstr>
      <vt:lpstr>kapitalizacja_odsetek_mc_ROD</vt:lpstr>
      <vt:lpstr>kapitalizacja_odsetek_mc_ROS</vt:lpstr>
      <vt:lpstr>kapitalizacja_odsetek_mc_TOS</vt:lpstr>
      <vt:lpstr>koszt_wczesniejszy_wykup_COI</vt:lpstr>
      <vt:lpstr>koszt_wczesniejszy_wykup_DOR</vt:lpstr>
      <vt:lpstr>koszt_wczesniejszy_wykup_EDO</vt:lpstr>
      <vt:lpstr>koszt_wczesniejszy_wykup_ochrona_COI</vt:lpstr>
      <vt:lpstr>koszt_wczesniejszy_wykup_ochrona_DOR</vt:lpstr>
      <vt:lpstr>koszt_wczesniejszy_wykup_ochrona_ROR</vt:lpstr>
      <vt:lpstr>koszt_wczesniejszy_wykup_ochrona_TOS</vt:lpstr>
      <vt:lpstr>koszt_wczesniejszy_wykup_ROD</vt:lpstr>
      <vt:lpstr>koszt_wczesniejszy_wykup_ROR</vt:lpstr>
      <vt:lpstr>koszt_wczesniejszy_wykup_ROS</vt:lpstr>
      <vt:lpstr>koszt_wczesniejszy_wykup_TOS</vt:lpstr>
      <vt:lpstr>marza_COI</vt:lpstr>
      <vt:lpstr>marza_DOR</vt:lpstr>
      <vt:lpstr>marza_EDO</vt:lpstr>
      <vt:lpstr>marza_ROD</vt:lpstr>
      <vt:lpstr>marza_ROR</vt:lpstr>
      <vt:lpstr>marza_ROS</vt:lpstr>
      <vt:lpstr>marza_TOS</vt:lpstr>
      <vt:lpstr>podatek_Belki</vt:lpstr>
      <vt:lpstr>proc_I_okres_COI</vt:lpstr>
      <vt:lpstr>proc_I_okres_DOR</vt:lpstr>
      <vt:lpstr>proc_I_okres_EDO</vt:lpstr>
      <vt:lpstr>proc_I_okres_ROD</vt:lpstr>
      <vt:lpstr>proc_I_okres_ROR</vt:lpstr>
      <vt:lpstr>proc_I_okres_ROS</vt:lpstr>
      <vt:lpstr>proc_I_okres_TOS</vt:lpstr>
      <vt:lpstr>scenariusz_I_inflacja</vt:lpstr>
      <vt:lpstr>scenariusz_I_inflacja_skumulowana</vt:lpstr>
      <vt:lpstr>scenariusz_I_konto</vt:lpstr>
      <vt:lpstr>scenariusz_I_rok</vt:lpstr>
      <vt:lpstr>scenariusz_I_stopa_NBP</vt:lpstr>
      <vt:lpstr>scenariusz_I_WIBOR6M</vt:lpstr>
      <vt:lpstr>trigger_inflacja</vt:lpstr>
      <vt:lpstr>'IKE OBLIGACJE'!wyniki_COI_I</vt:lpstr>
      <vt:lpstr>OBLIGACJE!wyniki_COI_obl</vt:lpstr>
      <vt:lpstr>OBLIGACJE!wyniki_DOR_obl</vt:lpstr>
      <vt:lpstr>'IKE OBLIGACJE'!wyniki_EDO_I</vt:lpstr>
      <vt:lpstr>OBLIGACJE!wyniki_EDO_obl</vt:lpstr>
      <vt:lpstr>'IKE OBLIGACJE'!wyniki_mc</vt:lpstr>
      <vt:lpstr>OBLIGACJE!wyniki_mc</vt:lpstr>
      <vt:lpstr>'IKE OBLIGACJE'!wyniki_ROD_I</vt:lpstr>
      <vt:lpstr>OBLIGACJE!wyniki_ROD_obl</vt:lpstr>
      <vt:lpstr>OBLIGACJE!wyniki_ROR_obl</vt:lpstr>
      <vt:lpstr>'IKE OBLIGACJE'!wyniki_ROS_I</vt:lpstr>
      <vt:lpstr>OBLIGACJE!wyniki_ROS_obl</vt:lpstr>
      <vt:lpstr>'IKE OBLIGACJE'!wyniki_skumulowana_inflacja</vt:lpstr>
      <vt:lpstr>OBLIGACJE!wyniki_skumulowana_inflacja</vt:lpstr>
      <vt:lpstr>OBLIGACJE!wyniki_TOS_obl</vt:lpstr>
      <vt:lpstr>wyplata_odsetek_COI</vt:lpstr>
      <vt:lpstr>wyplata_odsetek_DOR</vt:lpstr>
      <vt:lpstr>wyplata_odsetek_ROR</vt:lpstr>
      <vt:lpstr>wyplata_odsetek_TOS</vt:lpstr>
      <vt:lpstr>zakup_domyslny_ilosc</vt:lpstr>
      <vt:lpstr>zakup_domyslny_mc</vt:lpstr>
      <vt:lpstr>zakup_domyslny_wartosc</vt:lpstr>
      <vt:lpstr>zamiana_COI</vt:lpstr>
      <vt:lpstr>zamiana_DOR</vt:lpstr>
      <vt:lpstr>zamiana_EDO</vt:lpstr>
      <vt:lpstr>zamiana_ROR</vt:lpstr>
      <vt:lpstr>zamiana_TOS</vt:lpstr>
      <vt:lpstr>zapadalnosc_COI</vt:lpstr>
      <vt:lpstr>zapadalnosc_DOR</vt:lpstr>
      <vt:lpstr>zapadalnosc_EDO</vt:lpstr>
      <vt:lpstr>zapadalnosc_ROD</vt:lpstr>
      <vt:lpstr>zapadalnosc_ROR</vt:lpstr>
      <vt:lpstr>zapadalnosc_ROS</vt:lpstr>
      <vt:lpstr>zapadalnosc_TOS</vt:lpstr>
      <vt:lpstr>zmiana_oprocentowania_co_ile_mc_COI</vt:lpstr>
      <vt:lpstr>zmiana_oprocentowania_co_ile_mc_DOR</vt:lpstr>
      <vt:lpstr>zmiana_oprocentowania_co_ile_mc_EDO</vt:lpstr>
      <vt:lpstr>zmiana_oprocentowania_co_ile_mc_ROD</vt:lpstr>
      <vt:lpstr>zmiana_oprocentowania_co_ile_mc_ROR</vt:lpstr>
      <vt:lpstr>zmiana_oprocentowania_co_ile_mc_ROS</vt:lpstr>
      <vt:lpstr>zmiana_oprocentowania_co_ile_mc_TOS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Kluczek</dc:creator>
  <cp:lastModifiedBy>Dawid Leszczyna</cp:lastModifiedBy>
  <dcterms:created xsi:type="dcterms:W3CDTF">2021-10-08T22:33:52Z</dcterms:created>
  <dcterms:modified xsi:type="dcterms:W3CDTF">2026-06-25T10:06:15Z</dcterms:modified>
</cp:coreProperties>
</file>