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widl/Downloads/"/>
    </mc:Choice>
  </mc:AlternateContent>
  <xr:revisionPtr revIDLastSave="0" documentId="13_ncr:1_{0BC556F2-1D1A-9849-ABA6-B7232AE2115B}" xr6:coauthVersionLast="47" xr6:coauthVersionMax="47" xr10:uidLastSave="{00000000-0000-0000-0000-000000000000}"/>
  <bookViews>
    <workbookView xWindow="29380" yWindow="-4460" windowWidth="25620" windowHeight="26460" xr2:uid="{DADC2D59-1894-424A-8D0D-406FDEA5C5F0}"/>
  </bookViews>
  <sheets>
    <sheet name="WPISZ ZAŁOŻENIA" sheetId="6" r:id="rId1"/>
    <sheet name="OBLIGACJE" sheetId="5" r:id="rId2"/>
    <sheet name="IKE OBLIGACJE" sheetId="4" r:id="rId3"/>
  </sheets>
  <definedNames>
    <definedName name="IKE_oplata_rok">'WPISZ ZAŁOŻENIA'!$A$43:$A$54</definedName>
    <definedName name="IKE_oplata_wskaznik">'WPISZ ZAŁOŻENIA'!$B$43:$B$54</definedName>
    <definedName name="IKE_wyniki_COI_I">'IKE OBLIGACJE'!$CQ$16:$CQ$162</definedName>
    <definedName name="IKE_wyniki_COI_preferencje">'IKE OBLIGACJE'!$CN$16:$CN$162</definedName>
    <definedName name="IKE_wyniki_EDO_I">'IKE OBLIGACJE'!$DH$16:$DH$162</definedName>
    <definedName name="IKE_wyniki_EDO_preferencje">'IKE OBLIGACJE'!$DE$16:$DE$162</definedName>
    <definedName name="IKE_wyniki_mc">'IKE OBLIGACJE'!$W$16:$W$162</definedName>
    <definedName name="IKE_wyniki_skumulowana_inflacja">'IKE OBLIGACJE'!$X$16:$X$162</definedName>
    <definedName name="IKE_wyniki_TOS_I">'IKE OBLIGACJE'!$BG$16:$BG$162</definedName>
    <definedName name="IKE_wyniki_TOS_preferencje">'IKE OBLIGACJE'!$BD$16:$BD$162</definedName>
    <definedName name="IKE_zakup_domyslny_mc">'IKE OBLIGACJE'!$C$17</definedName>
    <definedName name="kapitalizacja_odsetek_mc_EDO">'WPISZ ZAŁOŻENIA'!$H$34</definedName>
    <definedName name="kapitalizacja_odsetek_mc_ROD">'WPISZ ZAŁOŻENIA'!$H$36</definedName>
    <definedName name="kapitalizacja_odsetek_mc_ROS">'WPISZ ZAŁOŻENIA'!$H$35</definedName>
    <definedName name="kapitalizacja_odsetek_mc_TOS">'WPISZ ZAŁOŻENIA'!$H$32</definedName>
    <definedName name="koszt_wczesniejszy_wykup_COI">'WPISZ ZAŁOŻENIA'!$J$33</definedName>
    <definedName name="koszt_wczesniejszy_wykup_DOR">'WPISZ ZAŁOŻENIA'!$J$31</definedName>
    <definedName name="koszt_wczesniejszy_wykup_EDO">'WPISZ ZAŁOŻENIA'!$J$34</definedName>
    <definedName name="koszt_wczesniejszy_wykup_ochrona_COI">'WPISZ ZAŁOŻENIA'!$K$33</definedName>
    <definedName name="koszt_wczesniejszy_wykup_ochrona_DOR">'WPISZ ZAŁOŻENIA'!$K$31</definedName>
    <definedName name="koszt_wczesniejszy_wykup_ochrona_ROR">'WPISZ ZAŁOŻENIA'!$K$30</definedName>
    <definedName name="koszt_wczesniejszy_wykup_ochrona_TOS">'WPISZ ZAŁOŻENIA'!$K$32</definedName>
    <definedName name="koszt_wczesniejszy_wykup_ROD">'WPISZ ZAŁOŻENIA'!$J$36</definedName>
    <definedName name="koszt_wczesniejszy_wykup_ROR">'WPISZ ZAŁOŻENIA'!$J$30</definedName>
    <definedName name="koszt_wczesniejszy_wykup_ROS">'WPISZ ZAŁOŻENIA'!$J$35</definedName>
    <definedName name="koszt_wczesniejszy_wykup_TOS">'WPISZ ZAŁOŻENIA'!$J$32</definedName>
    <definedName name="marza_COI">'WPISZ ZAŁOŻENIA'!$F$33</definedName>
    <definedName name="marza_DOR">'WPISZ ZAŁOŻENIA'!$F$31</definedName>
    <definedName name="marza_EDO">'WPISZ ZAŁOŻENIA'!$F$34</definedName>
    <definedName name="marza_ROD">'WPISZ ZAŁOŻENIA'!$F$36</definedName>
    <definedName name="marza_ROR">'WPISZ ZAŁOŻENIA'!$F$30</definedName>
    <definedName name="marza_ROS">'WPISZ ZAŁOŻENIA'!$F$35</definedName>
    <definedName name="marza_TOS">'WPISZ ZAŁOŻENIA'!$F$32</definedName>
    <definedName name="podatek_Belki">'WPISZ ZAŁOŻENIA'!$B$8</definedName>
    <definedName name="proc_I_okres_COI">'WPISZ ZAŁOŻENIA'!$C$33</definedName>
    <definedName name="proc_I_okres_DOR">'WPISZ ZAŁOŻENIA'!$C$31</definedName>
    <definedName name="proc_I_okres_EDO">'WPISZ ZAŁOŻENIA'!$C$34</definedName>
    <definedName name="proc_I_okres_ROD">'WPISZ ZAŁOŻENIA'!$C$36</definedName>
    <definedName name="proc_I_okres_ROR">'WPISZ ZAŁOŻENIA'!$C$30</definedName>
    <definedName name="proc_I_okres_ROS">'WPISZ ZAŁOŻENIA'!$C$35</definedName>
    <definedName name="proc_I_okres_TOS">'WPISZ ZAŁOŻENIA'!$C$32</definedName>
    <definedName name="scenariusz_I_inflacja">OBLIGACJE!$EF$28:$EF$39</definedName>
    <definedName name="scenariusz_I_inflacja_skumulowana">OBLIGACJE!$EG$28:$EG$39</definedName>
    <definedName name="scenariusz_I_konto">OBLIGACJE!$EJ$28:$EJ$39</definedName>
    <definedName name="scenariusz_I_rok">OBLIGACJE!$EE$28:$EE$39</definedName>
    <definedName name="scenariusz_I_stopa_NBP">OBLIGACJE!$EH$28:$EH$39</definedName>
    <definedName name="scenariusz_I_WIBOR6M">OBLIGACJE!$EI$28:$EI$39</definedName>
    <definedName name="test">OBLIGACJE!#REF!</definedName>
    <definedName name="trigger_inflacja">'WPISZ ZAŁOŻENIA'!$A$11</definedName>
    <definedName name="wyniki_COI_I" localSheetId="2">'IKE OBLIGACJE'!$CD$20:$CD$165</definedName>
    <definedName name="wyniki_COI_obl" localSheetId="1">OBLIGACJE!$CL$42:$CL$187</definedName>
    <definedName name="wyniki_DOR_obl" localSheetId="1">OBLIGACJE!$BG$42:$BG$187</definedName>
    <definedName name="wyniki_EDO_I" localSheetId="2">'IKE OBLIGACJE'!$CR$20:$CR$165</definedName>
    <definedName name="wyniki_EDO_obl" localSheetId="1">OBLIGACJE!$CZ$42:$CZ$187</definedName>
    <definedName name="wyniki_mc" localSheetId="2">'IKE OBLIGACJE'!$BO$20:$BO$165</definedName>
    <definedName name="wyniki_mc" localSheetId="1">OBLIGACJE!$AA$42:$AA$187</definedName>
    <definedName name="wyniki_ROD_I" localSheetId="2">'IKE OBLIGACJE'!$DT$20:$DT$165</definedName>
    <definedName name="wyniki_ROD_obl" localSheetId="1">OBLIGACJE!$EB$42:$EB$187</definedName>
    <definedName name="wyniki_ROR_obl" localSheetId="1">OBLIGACJE!$AQ$42:$AQ$187</definedName>
    <definedName name="wyniki_ROS_I" localSheetId="2">'IKE OBLIGACJE'!$DF$20:$DF$165</definedName>
    <definedName name="wyniki_ROS_obl" localSheetId="1">OBLIGACJE!$DN$42:$DN$187</definedName>
    <definedName name="wyniki_skumulowana_inflacja" localSheetId="2">'IKE OBLIGACJE'!$BQ$20:$BQ$165</definedName>
    <definedName name="wyniki_skumulowana_inflacja" localSheetId="1">OBLIGACJE!$AB$42:$AB$187</definedName>
    <definedName name="wyniki_TOS_obl" localSheetId="1">OBLIGACJE!$BW$42:$BW$187</definedName>
    <definedName name="wyplata_odsetek_COI">'WPISZ ZAŁOŻENIA'!$G$33</definedName>
    <definedName name="wyplata_odsetek_DOR">'WPISZ ZAŁOŻENIA'!$G$31</definedName>
    <definedName name="wyplata_odsetek_ROR">'WPISZ ZAŁOŻENIA'!$G$30</definedName>
    <definedName name="wyplata_odsetek_TOS">'WPISZ ZAŁOŻENIA'!$G$32</definedName>
    <definedName name="zakup_domyslny_ilosc">'WPISZ ZAŁOŻENIA'!$B$6</definedName>
    <definedName name="zakup_domyslny_mc">OBLIGACJE!$B$4</definedName>
    <definedName name="zakup_domyslny_wartosc">'WPISZ ZAŁOŻENIA'!$B$7</definedName>
    <definedName name="zamiana_COI">'WPISZ ZAŁOŻENIA'!$I$33</definedName>
    <definedName name="zamiana_DOR">'WPISZ ZAŁOŻENIA'!$I$31</definedName>
    <definedName name="zamiana_EDO">'WPISZ ZAŁOŻENIA'!$I$34</definedName>
    <definedName name="zamiana_ROR">'WPISZ ZAŁOŻENIA'!$I$30</definedName>
    <definedName name="zamiana_TOS">'WPISZ ZAŁOŻENIA'!$I$32</definedName>
    <definedName name="zapadalnosc_COI">'WPISZ ZAŁOŻENIA'!$B$33</definedName>
    <definedName name="zapadalnosc_DOR">'WPISZ ZAŁOŻENIA'!$B$31</definedName>
    <definedName name="zapadalnosc_EDO">'WPISZ ZAŁOŻENIA'!$B$34</definedName>
    <definedName name="zapadalnosc_ROD">'WPISZ ZAŁOŻENIA'!$B$36</definedName>
    <definedName name="zapadalnosc_ROR">'WPISZ ZAŁOŻENIA'!$B$30</definedName>
    <definedName name="zapadalnosc_ROS">'WPISZ ZAŁOŻENIA'!$B$35</definedName>
    <definedName name="zapadalnosc_TOS">'WPISZ ZAŁOŻENIA'!$B$32</definedName>
    <definedName name="zmiana_oprocentowania_co_ile_mc_COI">'WPISZ ZAŁOŻENIA'!$D$33</definedName>
    <definedName name="zmiana_oprocentowania_co_ile_mc_DOR">'WPISZ ZAŁOŻENIA'!$D$31</definedName>
    <definedName name="zmiana_oprocentowania_co_ile_mc_EDO">'WPISZ ZAŁOŻENIA'!$D$34</definedName>
    <definedName name="zmiana_oprocentowania_co_ile_mc_ROD">'WPISZ ZAŁOŻENIA'!$D$36</definedName>
    <definedName name="zmiana_oprocentowania_co_ile_mc_ROR">'WPISZ ZAŁOŻENIA'!$D$30</definedName>
    <definedName name="zmiana_oprocentowania_co_ile_mc_ROS">'WPISZ ZAŁOŻENIA'!$D$35</definedName>
    <definedName name="zmiana_oprocentowania_co_ile_mc_TOS">'WPISZ ZAŁOŻENIA'!$D$32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F91" i="5" l="1"/>
  <c r="CF44" i="5" l="1"/>
  <c r="CI44" i="5" s="1"/>
  <c r="CD44" i="5"/>
  <c r="BZ44" i="5"/>
  <c r="BA44" i="5"/>
  <c r="AY44" i="5"/>
  <c r="AU44" i="5"/>
  <c r="AS45" i="5"/>
  <c r="BI45" i="5"/>
  <c r="BI46" i="5"/>
  <c r="BI47" i="5" s="1"/>
  <c r="BI48" i="5" s="1"/>
  <c r="BI49" i="5"/>
  <c r="BI50" i="5" s="1"/>
  <c r="BI51" i="5" s="1"/>
  <c r="BI52" i="5" s="1"/>
  <c r="BI53" i="5" s="1"/>
  <c r="BI54" i="5" s="1"/>
  <c r="BI55" i="5" s="1"/>
  <c r="BI56" i="5" s="1"/>
  <c r="BI57" i="5" s="1"/>
  <c r="BI58" i="5" s="1"/>
  <c r="BI59" i="5" s="1"/>
  <c r="BI60" i="5" s="1"/>
  <c r="BI61" i="5" s="1"/>
  <c r="BI62" i="5" s="1"/>
  <c r="BI63" i="5" s="1"/>
  <c r="BI64" i="5" s="1"/>
  <c r="BI65" i="5" s="1"/>
  <c r="BI66" i="5" s="1"/>
  <c r="BI67" i="5" s="1"/>
  <c r="BI68" i="5" s="1"/>
  <c r="BI69" i="5" s="1"/>
  <c r="BI70" i="5" s="1"/>
  <c r="BI71" i="5" s="1"/>
  <c r="BI72" i="5" s="1"/>
  <c r="BI73" i="5" s="1"/>
  <c r="BI74" i="5" s="1"/>
  <c r="BI75" i="5" s="1"/>
  <c r="BI76" i="5" s="1"/>
  <c r="BI77" i="5" s="1"/>
  <c r="BI78" i="5" s="1"/>
  <c r="BI79" i="5" s="1"/>
  <c r="BI80" i="5" s="1"/>
  <c r="BI81" i="5" s="1"/>
  <c r="BI82" i="5" s="1"/>
  <c r="BI83" i="5" s="1"/>
  <c r="BI84" i="5" s="1"/>
  <c r="BI85" i="5" s="1"/>
  <c r="BI86" i="5" s="1"/>
  <c r="BI87" i="5" s="1"/>
  <c r="BI88" i="5" s="1"/>
  <c r="BI89" i="5" s="1"/>
  <c r="BI90" i="5" s="1"/>
  <c r="BI91" i="5" s="1"/>
  <c r="BI92" i="5" s="1"/>
  <c r="BI93" i="5" s="1"/>
  <c r="BI94" i="5" s="1"/>
  <c r="BI95" i="5" s="1"/>
  <c r="BI96" i="5" s="1"/>
  <c r="BI97" i="5" s="1"/>
  <c r="BI98" i="5" s="1"/>
  <c r="BI99" i="5" s="1"/>
  <c r="BI100" i="5" s="1"/>
  <c r="BI101" i="5" s="1"/>
  <c r="BI102" i="5" s="1"/>
  <c r="BI103" i="5" s="1"/>
  <c r="BI104" i="5" s="1"/>
  <c r="BI105" i="5" s="1"/>
  <c r="BI106" i="5" s="1"/>
  <c r="BI107" i="5" s="1"/>
  <c r="BI108" i="5" s="1"/>
  <c r="BI109" i="5" s="1"/>
  <c r="BI110" i="5" s="1"/>
  <c r="BI111" i="5" s="1"/>
  <c r="BI112" i="5" s="1"/>
  <c r="BI113" i="5" s="1"/>
  <c r="BI114" i="5" s="1"/>
  <c r="BI115" i="5" s="1"/>
  <c r="BI116" i="5" s="1"/>
  <c r="BI117" i="5" s="1"/>
  <c r="BI118" i="5" s="1"/>
  <c r="BI119" i="5" s="1"/>
  <c r="BI120" i="5" s="1"/>
  <c r="BI121" i="5" s="1"/>
  <c r="BI122" i="5" s="1"/>
  <c r="BI123" i="5" s="1"/>
  <c r="BI124" i="5" s="1"/>
  <c r="BI125" i="5" s="1"/>
  <c r="BI126" i="5" s="1"/>
  <c r="BI127" i="5" s="1"/>
  <c r="BI128" i="5" s="1"/>
  <c r="BI129" i="5" s="1"/>
  <c r="BI130" i="5" s="1"/>
  <c r="BI131" i="5" s="1"/>
  <c r="BI132" i="5" s="1"/>
  <c r="BI133" i="5" s="1"/>
  <c r="BI134" i="5" s="1"/>
  <c r="BI135" i="5" s="1"/>
  <c r="BI136" i="5" s="1"/>
  <c r="BI137" i="5" s="1"/>
  <c r="BI138" i="5" s="1"/>
  <c r="BI139" i="5" s="1"/>
  <c r="BI140" i="5" s="1"/>
  <c r="BI141" i="5" s="1"/>
  <c r="BI142" i="5" s="1"/>
  <c r="BI143" i="5" s="1"/>
  <c r="BI144" i="5" s="1"/>
  <c r="BI145" i="5" s="1"/>
  <c r="BI146" i="5" s="1"/>
  <c r="BI147" i="5" s="1"/>
  <c r="BI148" i="5" s="1"/>
  <c r="BI149" i="5" s="1"/>
  <c r="BI150" i="5" s="1"/>
  <c r="BI151" i="5" s="1"/>
  <c r="BI152" i="5" s="1"/>
  <c r="BI153" i="5" s="1"/>
  <c r="BI154" i="5" s="1"/>
  <c r="BI155" i="5" s="1"/>
  <c r="BI156" i="5" s="1"/>
  <c r="BI157" i="5" s="1"/>
  <c r="BI158" i="5" s="1"/>
  <c r="BI159" i="5" s="1"/>
  <c r="BI160" i="5" s="1"/>
  <c r="BI161" i="5" s="1"/>
  <c r="BI162" i="5" s="1"/>
  <c r="BI163" i="5" s="1"/>
  <c r="BI164" i="5" s="1"/>
  <c r="BI165" i="5" s="1"/>
  <c r="BI166" i="5" s="1"/>
  <c r="BI167" i="5" s="1"/>
  <c r="BI168" i="5" s="1"/>
  <c r="BI169" i="5" s="1"/>
  <c r="BI170" i="5" s="1"/>
  <c r="BI171" i="5" s="1"/>
  <c r="BI172" i="5" s="1"/>
  <c r="BI173" i="5" s="1"/>
  <c r="BI174" i="5" s="1"/>
  <c r="BI175" i="5" s="1"/>
  <c r="BI176" i="5" s="1"/>
  <c r="BI177" i="5" s="1"/>
  <c r="BI178" i="5" s="1"/>
  <c r="BI179" i="5" s="1"/>
  <c r="BI180" i="5" s="1"/>
  <c r="BI181" i="5" s="1"/>
  <c r="BI182" i="5" s="1"/>
  <c r="BI183" i="5" s="1"/>
  <c r="BI184" i="5" s="1"/>
  <c r="BI185" i="5" s="1"/>
  <c r="BI186" i="5" s="1"/>
  <c r="BI187" i="5" s="1"/>
  <c r="BZ45" i="5" l="1"/>
  <c r="AU45" i="5"/>
  <c r="AS46" i="5"/>
  <c r="AS47" i="5" l="1"/>
  <c r="AS48" i="5" l="1"/>
  <c r="AS49" i="5" l="1"/>
  <c r="AS50" i="5" l="1"/>
  <c r="AS51" i="5" l="1"/>
  <c r="AS52" i="5" l="1"/>
  <c r="AS53" i="5" l="1"/>
  <c r="AS54" i="5" l="1"/>
  <c r="AS55" i="5" l="1"/>
  <c r="AS56" i="5" l="1"/>
  <c r="AS57" i="5" l="1"/>
  <c r="AS58" i="5" l="1"/>
  <c r="AS59" i="5" l="1"/>
  <c r="AS60" i="5" l="1"/>
  <c r="AS61" i="5" l="1"/>
  <c r="AS62" i="5" l="1"/>
  <c r="AS63" i="5" l="1"/>
  <c r="AS64" i="5" l="1"/>
  <c r="AS65" i="5" l="1"/>
  <c r="AS66" i="5" l="1"/>
  <c r="AS67" i="5" l="1"/>
  <c r="AS68" i="5" l="1"/>
  <c r="AS69" i="5" l="1"/>
  <c r="AS70" i="5" l="1"/>
  <c r="AS71" i="5" l="1"/>
  <c r="AS72" i="5" l="1"/>
  <c r="AS73" i="5" l="1"/>
  <c r="AS74" i="5" l="1"/>
  <c r="AS75" i="5" l="1"/>
  <c r="AS76" i="5" l="1"/>
  <c r="AS77" i="5" l="1"/>
  <c r="AS78" i="5" l="1"/>
  <c r="AS79" i="5" l="1"/>
  <c r="AS80" i="5" l="1"/>
  <c r="AS81" i="5" l="1"/>
  <c r="AS82" i="5" l="1"/>
  <c r="AS83" i="5" l="1"/>
  <c r="AS84" i="5" l="1"/>
  <c r="AS85" i="5" l="1"/>
  <c r="AS86" i="5" l="1"/>
  <c r="AS87" i="5" l="1"/>
  <c r="AS88" i="5" l="1"/>
  <c r="AS89" i="5" l="1"/>
  <c r="AS90" i="5" l="1"/>
  <c r="AS91" i="5" l="1"/>
  <c r="AS92" i="5" l="1"/>
  <c r="AS93" i="5" l="1"/>
  <c r="AS94" i="5" l="1"/>
  <c r="AS95" i="5" l="1"/>
  <c r="AS96" i="5" l="1"/>
  <c r="AS97" i="5" l="1"/>
  <c r="AS98" i="5" l="1"/>
  <c r="AS99" i="5" l="1"/>
  <c r="AS100" i="5" l="1"/>
  <c r="AS101" i="5" l="1"/>
  <c r="AS102" i="5" l="1"/>
  <c r="AS103" i="5" l="1"/>
  <c r="AS104" i="5" l="1"/>
  <c r="AS105" i="5" l="1"/>
  <c r="AS106" i="5" l="1"/>
  <c r="AS107" i="5" l="1"/>
  <c r="AS108" i="5" l="1"/>
  <c r="AS109" i="5" l="1"/>
  <c r="AS110" i="5" l="1"/>
  <c r="AS111" i="5" l="1"/>
  <c r="AS112" i="5" l="1"/>
  <c r="AS113" i="5" l="1"/>
  <c r="AS114" i="5" l="1"/>
  <c r="AS115" i="5" l="1"/>
  <c r="AS116" i="5" l="1"/>
  <c r="AS117" i="5" l="1"/>
  <c r="AS118" i="5" l="1"/>
  <c r="AS119" i="5" l="1"/>
  <c r="AS120" i="5" l="1"/>
  <c r="AS121" i="5" l="1"/>
  <c r="AS122" i="5" l="1"/>
  <c r="AS123" i="5" l="1"/>
  <c r="AS124" i="5" l="1"/>
  <c r="AS125" i="5" l="1"/>
  <c r="AS126" i="5" l="1"/>
  <c r="AS127" i="5" l="1"/>
  <c r="AS128" i="5" l="1"/>
  <c r="AS129" i="5" l="1"/>
  <c r="AS130" i="5" l="1"/>
  <c r="AS131" i="5" l="1"/>
  <c r="AS132" i="5" l="1"/>
  <c r="AS133" i="5" l="1"/>
  <c r="AS134" i="5" l="1"/>
  <c r="AS135" i="5" l="1"/>
  <c r="AS136" i="5" l="1"/>
  <c r="AS137" i="5" l="1"/>
  <c r="AS138" i="5" l="1"/>
  <c r="AS139" i="5" l="1"/>
  <c r="AS140" i="5" l="1"/>
  <c r="AS141" i="5" l="1"/>
  <c r="AS142" i="5" l="1"/>
  <c r="AS143" i="5" l="1"/>
  <c r="AS144" i="5" l="1"/>
  <c r="AS145" i="5" l="1"/>
  <c r="AS146" i="5" l="1"/>
  <c r="AS147" i="5" l="1"/>
  <c r="AS148" i="5" l="1"/>
  <c r="AS149" i="5" l="1"/>
  <c r="AS150" i="5" l="1"/>
  <c r="AS151" i="5" l="1"/>
  <c r="AS152" i="5" l="1"/>
  <c r="AS153" i="5" l="1"/>
  <c r="AS154" i="5" l="1"/>
  <c r="AS155" i="5" l="1"/>
  <c r="AS156" i="5" l="1"/>
  <c r="AS157" i="5" l="1"/>
  <c r="AS158" i="5" l="1"/>
  <c r="AS159" i="5" l="1"/>
  <c r="AS160" i="5" l="1"/>
  <c r="AS161" i="5" l="1"/>
  <c r="AS162" i="5" l="1"/>
  <c r="AS163" i="5" l="1"/>
  <c r="AS164" i="5" l="1"/>
  <c r="AS165" i="5" l="1"/>
  <c r="AS166" i="5" l="1"/>
  <c r="AS167" i="5" l="1"/>
  <c r="AS168" i="5" l="1"/>
  <c r="AS169" i="5" l="1"/>
  <c r="AS170" i="5" l="1"/>
  <c r="AS171" i="5" l="1"/>
  <c r="AS172" i="5" l="1"/>
  <c r="AS173" i="5" l="1"/>
  <c r="AS174" i="5" l="1"/>
  <c r="AS175" i="5" l="1"/>
  <c r="AS176" i="5" l="1"/>
  <c r="AS177" i="5" l="1"/>
  <c r="AS178" i="5" l="1"/>
  <c r="AS179" i="5" l="1"/>
  <c r="AS180" i="5" l="1"/>
  <c r="AS181" i="5" l="1"/>
  <c r="AS182" i="5" l="1"/>
  <c r="AS183" i="5" l="1"/>
  <c r="AS184" i="5" l="1"/>
  <c r="AS185" i="5" l="1"/>
  <c r="AS186" i="5" l="1"/>
  <c r="AS187" i="5" l="1"/>
  <c r="AE44" i="5" l="1"/>
  <c r="EJ39" i="5"/>
  <c r="EI39" i="5"/>
  <c r="EH39" i="5"/>
  <c r="EF39" i="5"/>
  <c r="EJ38" i="5"/>
  <c r="EI38" i="5"/>
  <c r="EH38" i="5"/>
  <c r="EF38" i="5"/>
  <c r="EJ37" i="5"/>
  <c r="EI37" i="5"/>
  <c r="EH37" i="5"/>
  <c r="EF37" i="5"/>
  <c r="EJ36" i="5"/>
  <c r="EI36" i="5"/>
  <c r="EH36" i="5"/>
  <c r="EF36" i="5"/>
  <c r="EJ35" i="5"/>
  <c r="EI35" i="5"/>
  <c r="EH35" i="5"/>
  <c r="EF35" i="5"/>
  <c r="EJ34" i="5"/>
  <c r="EI34" i="5"/>
  <c r="EH34" i="5"/>
  <c r="EF34" i="5"/>
  <c r="EJ33" i="5"/>
  <c r="EI33" i="5"/>
  <c r="EH33" i="5"/>
  <c r="EF33" i="5"/>
  <c r="EJ32" i="5"/>
  <c r="EI32" i="5"/>
  <c r="EH32" i="5"/>
  <c r="EF32" i="5"/>
  <c r="EJ31" i="5"/>
  <c r="EI31" i="5"/>
  <c r="EH31" i="5"/>
  <c r="EF31" i="5"/>
  <c r="EJ30" i="5"/>
  <c r="EI30" i="5"/>
  <c r="EH30" i="5"/>
  <c r="EF30" i="5"/>
  <c r="EJ29" i="5"/>
  <c r="EI29" i="5"/>
  <c r="EH29" i="5"/>
  <c r="EF29" i="5"/>
  <c r="EJ28" i="5"/>
  <c r="EI28" i="5"/>
  <c r="EH28" i="5"/>
  <c r="EF28" i="5"/>
  <c r="EG28" i="5" s="1"/>
  <c r="AT68" i="5" l="1"/>
  <c r="AT69" i="5"/>
  <c r="AT70" i="5"/>
  <c r="AT71" i="5"/>
  <c r="AT72" i="5"/>
  <c r="AT73" i="5"/>
  <c r="AT74" i="5"/>
  <c r="AT75" i="5"/>
  <c r="AT76" i="5"/>
  <c r="AT77" i="5"/>
  <c r="AT78" i="5"/>
  <c r="AT79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45" i="5"/>
  <c r="AT46" i="5"/>
  <c r="AT47" i="5"/>
  <c r="AT48" i="5"/>
  <c r="AT49" i="5"/>
  <c r="AT50" i="5"/>
  <c r="AT51" i="5"/>
  <c r="AT52" i="5"/>
  <c r="AT53" i="5"/>
  <c r="AT54" i="5"/>
  <c r="AT55" i="5"/>
  <c r="CJ44" i="5"/>
  <c r="CK44" i="5" s="1"/>
  <c r="BE44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EG29" i="5"/>
  <c r="EG30" i="5" s="1"/>
  <c r="EG31" i="5" s="1"/>
  <c r="EG32" i="5" s="1"/>
  <c r="EG33" i="5" s="1"/>
  <c r="EG34" i="5" s="1"/>
  <c r="EG35" i="5" s="1"/>
  <c r="EG36" i="5" s="1"/>
  <c r="EG37" i="5" s="1"/>
  <c r="EG38" i="5" s="1"/>
  <c r="EG39" i="5" s="1"/>
  <c r="BO44" i="5" l="1"/>
  <c r="BQ44" i="5"/>
  <c r="AD19" i="4"/>
  <c r="AI44" i="5"/>
  <c r="AW162" i="4"/>
  <c r="AX162" i="4" s="1"/>
  <c r="AM162" i="4"/>
  <c r="AM161" i="4"/>
  <c r="AM160" i="4"/>
  <c r="AM159" i="4"/>
  <c r="AM158" i="4"/>
  <c r="AM157" i="4"/>
  <c r="AM156" i="4"/>
  <c r="AM155" i="4"/>
  <c r="AM154" i="4"/>
  <c r="AM153" i="4"/>
  <c r="AM152" i="4"/>
  <c r="AM151" i="4"/>
  <c r="AM150" i="4"/>
  <c r="AM149" i="4"/>
  <c r="AM148" i="4"/>
  <c r="AM147" i="4"/>
  <c r="AM146" i="4"/>
  <c r="AM145" i="4"/>
  <c r="AM144" i="4"/>
  <c r="AM143" i="4"/>
  <c r="AM142" i="4"/>
  <c r="AM141" i="4"/>
  <c r="AM140" i="4"/>
  <c r="AM139" i="4"/>
  <c r="AM138" i="4"/>
  <c r="AM137" i="4"/>
  <c r="AM136" i="4"/>
  <c r="AM135" i="4"/>
  <c r="AM134" i="4"/>
  <c r="AM133" i="4"/>
  <c r="AM132" i="4"/>
  <c r="AM131" i="4"/>
  <c r="AM130" i="4"/>
  <c r="AM129" i="4"/>
  <c r="AM128" i="4"/>
  <c r="AM127" i="4"/>
  <c r="AM126" i="4"/>
  <c r="AM125" i="4"/>
  <c r="AM124" i="4"/>
  <c r="AM123" i="4"/>
  <c r="AM122" i="4"/>
  <c r="AM121" i="4"/>
  <c r="AM120" i="4"/>
  <c r="AM119" i="4"/>
  <c r="AM118" i="4"/>
  <c r="AM117" i="4"/>
  <c r="AM116" i="4"/>
  <c r="AM115" i="4"/>
  <c r="AM114" i="4"/>
  <c r="AM113" i="4"/>
  <c r="AM112" i="4"/>
  <c r="AM111" i="4"/>
  <c r="AM110" i="4"/>
  <c r="AM109" i="4"/>
  <c r="AM108" i="4"/>
  <c r="AM107" i="4"/>
  <c r="AM106" i="4"/>
  <c r="AM105" i="4"/>
  <c r="AM104" i="4"/>
  <c r="AM103" i="4"/>
  <c r="AM102" i="4"/>
  <c r="AM101" i="4"/>
  <c r="AM100" i="4"/>
  <c r="AM99" i="4"/>
  <c r="AM98" i="4"/>
  <c r="AM97" i="4"/>
  <c r="AM96" i="4"/>
  <c r="AM95" i="4"/>
  <c r="AM94" i="4"/>
  <c r="AM93" i="4"/>
  <c r="AM92" i="4"/>
  <c r="AM91" i="4"/>
  <c r="AM90" i="4"/>
  <c r="AM89" i="4"/>
  <c r="AM88" i="4"/>
  <c r="AM87" i="4"/>
  <c r="AM86" i="4"/>
  <c r="AM85" i="4"/>
  <c r="AM84" i="4"/>
  <c r="AM83" i="4"/>
  <c r="AM82" i="4"/>
  <c r="AM81" i="4"/>
  <c r="AM80" i="4"/>
  <c r="AM79" i="4"/>
  <c r="AM78" i="4"/>
  <c r="AM77" i="4"/>
  <c r="AM76" i="4"/>
  <c r="AM75" i="4"/>
  <c r="AM74" i="4"/>
  <c r="AM73" i="4"/>
  <c r="AM72" i="4"/>
  <c r="AM71" i="4"/>
  <c r="AM70" i="4"/>
  <c r="AM69" i="4"/>
  <c r="AM68" i="4"/>
  <c r="AM67" i="4"/>
  <c r="AM66" i="4"/>
  <c r="AM65" i="4"/>
  <c r="AM64" i="4"/>
  <c r="AM63" i="4"/>
  <c r="AM62" i="4"/>
  <c r="AM61" i="4"/>
  <c r="AM60" i="4"/>
  <c r="AM59" i="4"/>
  <c r="AM58" i="4"/>
  <c r="AM57" i="4"/>
  <c r="AM56" i="4"/>
  <c r="AM55" i="4"/>
  <c r="AM54" i="4"/>
  <c r="AM53" i="4"/>
  <c r="AM52" i="4"/>
  <c r="AM51" i="4"/>
  <c r="AM50" i="4"/>
  <c r="AM49" i="4"/>
  <c r="AM48" i="4"/>
  <c r="AM47" i="4"/>
  <c r="AM46" i="4"/>
  <c r="AM45" i="4"/>
  <c r="AM44" i="4"/>
  <c r="AM43" i="4"/>
  <c r="AM42" i="4"/>
  <c r="AM41" i="4"/>
  <c r="AM40" i="4"/>
  <c r="AM39" i="4"/>
  <c r="AM38" i="4"/>
  <c r="AM37" i="4"/>
  <c r="AM36" i="4"/>
  <c r="AM35" i="4"/>
  <c r="AM34" i="4"/>
  <c r="AM33" i="4"/>
  <c r="AM32" i="4"/>
  <c r="AM31" i="4"/>
  <c r="AF19" i="4"/>
  <c r="Z19" i="4"/>
  <c r="Z20" i="4" l="1"/>
  <c r="AY162" i="4"/>
  <c r="AZ162" i="4" s="1"/>
  <c r="BN19" i="4" l="1"/>
  <c r="BU44" i="5" l="1"/>
  <c r="BK44" i="5"/>
  <c r="BK45" i="5" s="1"/>
  <c r="AK44" i="5"/>
  <c r="AO44" i="5"/>
  <c r="AC45" i="5"/>
  <c r="AE45" i="5" l="1"/>
  <c r="AC46" i="5"/>
  <c r="AD45" i="5" l="1"/>
  <c r="AC47" i="5"/>
  <c r="AD46" i="5"/>
  <c r="U20" i="4"/>
  <c r="M34" i="4"/>
  <c r="B45" i="5"/>
  <c r="N45" i="5" s="1"/>
  <c r="AC48" i="5" l="1"/>
  <c r="AD47" i="5"/>
  <c r="DZ44" i="5"/>
  <c r="DL44" i="5"/>
  <c r="CX44" i="5"/>
  <c r="B7" i="6"/>
  <c r="AC19" i="4" l="1"/>
  <c r="CB44" i="5"/>
  <c r="CA44" i="5"/>
  <c r="CA45" i="5" s="1"/>
  <c r="AW44" i="5"/>
  <c r="AV44" i="5"/>
  <c r="AV45" i="5" s="1"/>
  <c r="AF44" i="5"/>
  <c r="AF45" i="5" s="1"/>
  <c r="E37" i="4"/>
  <c r="D37" i="4"/>
  <c r="E21" i="4"/>
  <c r="O21" i="4" s="1"/>
  <c r="D21" i="4"/>
  <c r="N21" i="4" s="1"/>
  <c r="AA19" i="4"/>
  <c r="AA20" i="4" s="1"/>
  <c r="AB19" i="4"/>
  <c r="E8" i="5"/>
  <c r="E24" i="5" s="1"/>
  <c r="C8" i="5"/>
  <c r="C24" i="5" s="1"/>
  <c r="E44" i="5"/>
  <c r="Q44" i="5" s="1"/>
  <c r="C44" i="5"/>
  <c r="O44" i="5" s="1"/>
  <c r="D8" i="5"/>
  <c r="D24" i="5" s="1"/>
  <c r="D44" i="5"/>
  <c r="P44" i="5" s="1"/>
  <c r="BM44" i="5"/>
  <c r="BL44" i="5"/>
  <c r="AG44" i="5"/>
  <c r="AD48" i="5"/>
  <c r="AC49" i="5"/>
  <c r="H37" i="4"/>
  <c r="I8" i="5"/>
  <c r="I24" i="5" s="1"/>
  <c r="K44" i="5"/>
  <c r="W44" i="5" s="1"/>
  <c r="G37" i="4"/>
  <c r="F21" i="4"/>
  <c r="P21" i="4" s="1"/>
  <c r="F37" i="4"/>
  <c r="G8" i="5"/>
  <c r="G24" i="5" s="1"/>
  <c r="J37" i="4"/>
  <c r="I21" i="4"/>
  <c r="S21" i="4" s="1"/>
  <c r="H44" i="5"/>
  <c r="T44" i="5" s="1"/>
  <c r="K8" i="5"/>
  <c r="K24" i="5" s="1"/>
  <c r="K37" i="4"/>
  <c r="K21" i="4"/>
  <c r="U21" i="4" s="1"/>
  <c r="I44" i="5"/>
  <c r="U44" i="5" s="1"/>
  <c r="I37" i="4"/>
  <c r="H21" i="4"/>
  <c r="R21" i="4" s="1"/>
  <c r="G44" i="5"/>
  <c r="S44" i="5" s="1"/>
  <c r="J8" i="5"/>
  <c r="G21" i="4"/>
  <c r="Q21" i="4" s="1"/>
  <c r="F44" i="5"/>
  <c r="R44" i="5" s="1"/>
  <c r="H8" i="5"/>
  <c r="H24" i="5" s="1"/>
  <c r="F8" i="5"/>
  <c r="F24" i="5" s="1"/>
  <c r="J21" i="4"/>
  <c r="J44" i="5"/>
  <c r="CY19" i="4"/>
  <c r="CW19" i="4"/>
  <c r="BP19" i="4"/>
  <c r="CG162" i="4"/>
  <c r="CH162" i="4" s="1"/>
  <c r="BW162" i="4"/>
  <c r="BW161" i="4"/>
  <c r="BW160" i="4"/>
  <c r="BW159" i="4"/>
  <c r="BW158" i="4"/>
  <c r="BW157" i="4"/>
  <c r="BW156" i="4"/>
  <c r="BW155" i="4"/>
  <c r="BW154" i="4"/>
  <c r="BW153" i="4"/>
  <c r="BW152" i="4"/>
  <c r="BW151" i="4"/>
  <c r="BW150" i="4"/>
  <c r="BW149" i="4"/>
  <c r="BW148" i="4"/>
  <c r="BW147" i="4"/>
  <c r="BW146" i="4"/>
  <c r="BW145" i="4"/>
  <c r="BW144" i="4"/>
  <c r="BW143" i="4"/>
  <c r="BW142" i="4"/>
  <c r="BW141" i="4"/>
  <c r="BW140" i="4"/>
  <c r="BW139" i="4"/>
  <c r="BW138" i="4"/>
  <c r="BW137" i="4"/>
  <c r="BW136" i="4"/>
  <c r="BW135" i="4"/>
  <c r="BW134" i="4"/>
  <c r="BW133" i="4"/>
  <c r="BW132" i="4"/>
  <c r="BW131" i="4"/>
  <c r="BW130" i="4"/>
  <c r="BW129" i="4"/>
  <c r="BW128" i="4"/>
  <c r="BW127" i="4"/>
  <c r="BW126" i="4"/>
  <c r="BW125" i="4"/>
  <c r="BW124" i="4"/>
  <c r="BW123" i="4"/>
  <c r="BW122" i="4"/>
  <c r="BW121" i="4"/>
  <c r="BW120" i="4"/>
  <c r="BW119" i="4"/>
  <c r="BW118" i="4"/>
  <c r="BW117" i="4"/>
  <c r="BW116" i="4"/>
  <c r="BW115" i="4"/>
  <c r="BW114" i="4"/>
  <c r="BW113" i="4"/>
  <c r="BW112" i="4"/>
  <c r="BW111" i="4"/>
  <c r="BW110" i="4"/>
  <c r="BW109" i="4"/>
  <c r="BW108" i="4"/>
  <c r="BW107" i="4"/>
  <c r="BW106" i="4"/>
  <c r="BW105" i="4"/>
  <c r="BW104" i="4"/>
  <c r="BW103" i="4"/>
  <c r="BW102" i="4"/>
  <c r="BW101" i="4"/>
  <c r="BW100" i="4"/>
  <c r="BW99" i="4"/>
  <c r="BW98" i="4"/>
  <c r="BW97" i="4"/>
  <c r="BW96" i="4"/>
  <c r="BW95" i="4"/>
  <c r="BW94" i="4"/>
  <c r="BW93" i="4"/>
  <c r="BW92" i="4"/>
  <c r="BW91" i="4"/>
  <c r="BW90" i="4"/>
  <c r="BW89" i="4"/>
  <c r="BW88" i="4"/>
  <c r="BW87" i="4"/>
  <c r="BW86" i="4"/>
  <c r="BW85" i="4"/>
  <c r="BW84" i="4"/>
  <c r="BW83" i="4"/>
  <c r="BW82" i="4"/>
  <c r="BW81" i="4"/>
  <c r="BW80" i="4"/>
  <c r="BW79" i="4"/>
  <c r="BW78" i="4"/>
  <c r="BW77" i="4"/>
  <c r="BW76" i="4"/>
  <c r="BW75" i="4"/>
  <c r="BW74" i="4"/>
  <c r="BW73" i="4"/>
  <c r="BW72" i="4"/>
  <c r="BW71" i="4"/>
  <c r="BW70" i="4"/>
  <c r="BW69" i="4"/>
  <c r="BW68" i="4"/>
  <c r="BW67" i="4"/>
  <c r="BW66" i="4"/>
  <c r="BW65" i="4"/>
  <c r="BW64" i="4"/>
  <c r="BW63" i="4"/>
  <c r="BW62" i="4"/>
  <c r="BW61" i="4"/>
  <c r="BW60" i="4"/>
  <c r="BW59" i="4"/>
  <c r="BW58" i="4"/>
  <c r="BW57" i="4"/>
  <c r="BW56" i="4"/>
  <c r="BW55" i="4"/>
  <c r="BW54" i="4"/>
  <c r="BW53" i="4"/>
  <c r="BW52" i="4"/>
  <c r="BW51" i="4"/>
  <c r="BW50" i="4"/>
  <c r="BW49" i="4"/>
  <c r="BW48" i="4"/>
  <c r="BW47" i="4"/>
  <c r="BW46" i="4"/>
  <c r="BW45" i="4"/>
  <c r="BW44" i="4"/>
  <c r="BW43" i="4"/>
  <c r="BW42" i="4"/>
  <c r="BW41" i="4"/>
  <c r="BW40" i="4"/>
  <c r="BW39" i="4"/>
  <c r="BW38" i="4"/>
  <c r="BW37" i="4"/>
  <c r="BW36" i="4"/>
  <c r="BW35" i="4"/>
  <c r="BW34" i="4"/>
  <c r="BW33" i="4"/>
  <c r="BW32" i="4"/>
  <c r="BW31" i="4"/>
  <c r="CS19" i="4"/>
  <c r="BJ19" i="4"/>
  <c r="CV19" i="4"/>
  <c r="CU19" i="4"/>
  <c r="CT19" i="4"/>
  <c r="BL19" i="4"/>
  <c r="BK19" i="4"/>
  <c r="AA45" i="5"/>
  <c r="DV44" i="5"/>
  <c r="DT44" i="5"/>
  <c r="DP44" i="5"/>
  <c r="DH44" i="5"/>
  <c r="DF44" i="5"/>
  <c r="DB44" i="5"/>
  <c r="CT44" i="5"/>
  <c r="CR44" i="5"/>
  <c r="CN44" i="5"/>
  <c r="W20" i="4"/>
  <c r="C38" i="4"/>
  <c r="AX44" i="5" l="1"/>
  <c r="AZ44" i="5" s="1"/>
  <c r="AW45" i="5"/>
  <c r="AX45" i="5" s="1"/>
  <c r="CF45" i="5"/>
  <c r="CI45" i="5" s="1"/>
  <c r="CD45" i="5"/>
  <c r="CJ45" i="5"/>
  <c r="BE45" i="5"/>
  <c r="BA45" i="5"/>
  <c r="AV46" i="5" s="1"/>
  <c r="AY45" i="5"/>
  <c r="BB45" i="5"/>
  <c r="CC44" i="5"/>
  <c r="CE44" i="5" s="1"/>
  <c r="CB45" i="5"/>
  <c r="CC45" i="5" s="1"/>
  <c r="AC20" i="4"/>
  <c r="BO45" i="5"/>
  <c r="AT19" i="4"/>
  <c r="AV19" i="4" s="1"/>
  <c r="AX19" i="4" s="1"/>
  <c r="AY19" i="4" s="1"/>
  <c r="AZ19" i="4" s="1"/>
  <c r="BL45" i="5"/>
  <c r="BQ45" i="5"/>
  <c r="AD20" i="4"/>
  <c r="AI45" i="5"/>
  <c r="AE19" i="4"/>
  <c r="AG19" i="4" s="1"/>
  <c r="AB20" i="4"/>
  <c r="BN44" i="5"/>
  <c r="BM45" i="5"/>
  <c r="AH44" i="5"/>
  <c r="AJ44" i="5" s="1"/>
  <c r="AN44" i="5" s="1"/>
  <c r="AP44" i="5" s="1"/>
  <c r="AG45" i="5"/>
  <c r="AH45" i="5" s="1"/>
  <c r="AF20" i="4"/>
  <c r="BN20" i="4"/>
  <c r="BP20" i="4"/>
  <c r="BU45" i="5"/>
  <c r="AK45" i="5"/>
  <c r="AE46" i="5" s="1"/>
  <c r="AO45" i="5"/>
  <c r="AD49" i="5"/>
  <c r="AC50" i="5"/>
  <c r="BJ50" i="5"/>
  <c r="DZ45" i="5"/>
  <c r="J38" i="4"/>
  <c r="BJ20" i="4"/>
  <c r="V44" i="5"/>
  <c r="J45" i="5"/>
  <c r="V45" i="5" s="1"/>
  <c r="J22" i="4"/>
  <c r="T21" i="4"/>
  <c r="J24" i="5"/>
  <c r="J9" i="5"/>
  <c r="CW20" i="4"/>
  <c r="CY20" i="4"/>
  <c r="CX45" i="5"/>
  <c r="DL45" i="5"/>
  <c r="B46" i="5"/>
  <c r="CT20" i="4"/>
  <c r="CZ19" i="4" s="1"/>
  <c r="DA19" i="4" s="1"/>
  <c r="CV20" i="4"/>
  <c r="CS20" i="4"/>
  <c r="BK20" i="4"/>
  <c r="CD19" i="4" s="1"/>
  <c r="X19" i="4"/>
  <c r="K38" i="4" s="1"/>
  <c r="X20" i="4"/>
  <c r="K39" i="4" s="1"/>
  <c r="B37" i="4"/>
  <c r="CR45" i="5"/>
  <c r="CQ44" i="5"/>
  <c r="CS44" i="5" s="1"/>
  <c r="DD44" i="5"/>
  <c r="DD45" i="5" s="1"/>
  <c r="DE44" i="5"/>
  <c r="CP44" i="5"/>
  <c r="CP45" i="5" s="1"/>
  <c r="DQ44" i="5"/>
  <c r="DQ45" i="5" s="1"/>
  <c r="DY44" i="5" s="1"/>
  <c r="EA44" i="5" s="1"/>
  <c r="DR44" i="5"/>
  <c r="DR45" i="5" s="1"/>
  <c r="DC44" i="5"/>
  <c r="DC45" i="5" s="1"/>
  <c r="DK44" i="5" s="1"/>
  <c r="DM44" i="5" s="1"/>
  <c r="DS44" i="5"/>
  <c r="DU44" i="5" s="1"/>
  <c r="CO44" i="5"/>
  <c r="CO45" i="5" s="1"/>
  <c r="CT45" i="5"/>
  <c r="DB45" i="5"/>
  <c r="DT45" i="5"/>
  <c r="DV45" i="5"/>
  <c r="AA46" i="5"/>
  <c r="DP45" i="5"/>
  <c r="CN45" i="5"/>
  <c r="AB44" i="5"/>
  <c r="K45" i="5" s="1"/>
  <c r="W45" i="5" s="1"/>
  <c r="DF45" i="5"/>
  <c r="DH45" i="5"/>
  <c r="AB45" i="5"/>
  <c r="K46" i="5" s="1"/>
  <c r="W46" i="5" s="1"/>
  <c r="BM19" i="4"/>
  <c r="BO19" i="4" s="1"/>
  <c r="BQ19" i="4" s="1"/>
  <c r="C39" i="4"/>
  <c r="W21" i="4"/>
  <c r="CU20" i="4"/>
  <c r="CA46" i="5" l="1"/>
  <c r="CE45" i="5"/>
  <c r="CG45" i="5" s="1"/>
  <c r="CH45" i="5" s="1"/>
  <c r="CL45" i="5" s="1"/>
  <c r="CG44" i="5"/>
  <c r="CH44" i="5" s="1"/>
  <c r="CL44" i="5" s="1"/>
  <c r="CF46" i="5"/>
  <c r="CI46" i="5" s="1"/>
  <c r="CD46" i="5"/>
  <c r="BE46" i="5"/>
  <c r="BA46" i="5"/>
  <c r="CJ46" i="5"/>
  <c r="AY46" i="5"/>
  <c r="CB46" i="5"/>
  <c r="CC46" i="5" s="1"/>
  <c r="BZ46" i="5"/>
  <c r="AZ45" i="5"/>
  <c r="BD45" i="5" s="1"/>
  <c r="CK45" i="5"/>
  <c r="BD44" i="5"/>
  <c r="BF44" i="5" s="1"/>
  <c r="BB44" i="5"/>
  <c r="BC44" i="5" s="1"/>
  <c r="BG44" i="5" s="1"/>
  <c r="D45" i="5" s="1"/>
  <c r="P45" i="5" s="1"/>
  <c r="AC21" i="4"/>
  <c r="AW46" i="5"/>
  <c r="AX46" i="5" s="1"/>
  <c r="AU46" i="5"/>
  <c r="BB46" i="5" s="1"/>
  <c r="AF46" i="5"/>
  <c r="AL44" i="5"/>
  <c r="AM44" i="5" s="1"/>
  <c r="AQ44" i="5" s="1"/>
  <c r="C45" i="5" s="1"/>
  <c r="O45" i="5" s="1"/>
  <c r="BO46" i="5"/>
  <c r="BN45" i="5"/>
  <c r="BP45" i="5" s="1"/>
  <c r="BR45" i="5" s="1"/>
  <c r="BP44" i="5"/>
  <c r="BT44" i="5"/>
  <c r="BV44" i="5" s="1"/>
  <c r="BL46" i="5"/>
  <c r="BT45" i="5" s="1"/>
  <c r="BK46" i="5"/>
  <c r="BQ46" i="5"/>
  <c r="AI46" i="5"/>
  <c r="AD21" i="4"/>
  <c r="AE20" i="4"/>
  <c r="BE19" i="4"/>
  <c r="BA19" i="4"/>
  <c r="AF21" i="4"/>
  <c r="BN21" i="4"/>
  <c r="AB21" i="4"/>
  <c r="Z21" i="4"/>
  <c r="AA21" i="4"/>
  <c r="X21" i="4"/>
  <c r="K40" i="4" s="1"/>
  <c r="BJ21" i="4"/>
  <c r="AJ45" i="5"/>
  <c r="AN45" i="5" s="1"/>
  <c r="AP45" i="5" s="1"/>
  <c r="BU46" i="5"/>
  <c r="AK46" i="5"/>
  <c r="AE47" i="5" s="1"/>
  <c r="AO46" i="5"/>
  <c r="AG46" i="5"/>
  <c r="AH46" i="5" s="1"/>
  <c r="BM46" i="5"/>
  <c r="CF19" i="4"/>
  <c r="CH19" i="4" s="1"/>
  <c r="CI19" i="4" s="1"/>
  <c r="CJ19" i="4" s="1"/>
  <c r="DG44" i="5"/>
  <c r="DI44" i="5" s="1"/>
  <c r="DJ44" i="5" s="1"/>
  <c r="AD50" i="5"/>
  <c r="AC51" i="5"/>
  <c r="BJ51" i="5"/>
  <c r="DZ46" i="5"/>
  <c r="J39" i="4"/>
  <c r="J46" i="5"/>
  <c r="J10" i="5"/>
  <c r="J25" i="5"/>
  <c r="J23" i="4"/>
  <c r="T22" i="4"/>
  <c r="CV21" i="4"/>
  <c r="CS21" i="4"/>
  <c r="CT21" i="4"/>
  <c r="CZ20" i="4" s="1"/>
  <c r="DA20" i="4" s="1"/>
  <c r="BP21" i="4"/>
  <c r="CY21" i="4"/>
  <c r="CW21" i="4"/>
  <c r="CX46" i="5"/>
  <c r="DL46" i="5"/>
  <c r="N46" i="5"/>
  <c r="B47" i="5"/>
  <c r="N47" i="5" s="1"/>
  <c r="BK21" i="4"/>
  <c r="CD20" i="4" s="1"/>
  <c r="CK19" i="4"/>
  <c r="CL19" i="4" s="1"/>
  <c r="DH46" i="5"/>
  <c r="AB46" i="5"/>
  <c r="K47" i="5" s="1"/>
  <c r="W47" i="5" s="1"/>
  <c r="AA47" i="5"/>
  <c r="DT46" i="5"/>
  <c r="CT46" i="5"/>
  <c r="CN46" i="5"/>
  <c r="CQ45" i="5"/>
  <c r="CS45" i="5" s="1"/>
  <c r="CU45" i="5" s="1"/>
  <c r="CV45" i="5" s="1"/>
  <c r="CO46" i="5"/>
  <c r="CW45" i="5" s="1"/>
  <c r="DE45" i="5"/>
  <c r="DW44" i="5"/>
  <c r="DX44" i="5" s="1"/>
  <c r="DS45" i="5"/>
  <c r="DU45" i="5" s="1"/>
  <c r="CP46" i="5"/>
  <c r="DR46" i="5"/>
  <c r="CU44" i="5"/>
  <c r="CV44" i="5" s="1"/>
  <c r="CW44" i="5"/>
  <c r="CY44" i="5" s="1"/>
  <c r="DP46" i="5"/>
  <c r="DF46" i="5"/>
  <c r="DV46" i="5"/>
  <c r="CR46" i="5"/>
  <c r="DQ46" i="5"/>
  <c r="DY45" i="5" s="1"/>
  <c r="EA45" i="5" s="1"/>
  <c r="DD46" i="5"/>
  <c r="DC46" i="5"/>
  <c r="DK45" i="5" s="1"/>
  <c r="DM45" i="5" s="1"/>
  <c r="DB46" i="5"/>
  <c r="CX19" i="4"/>
  <c r="DF19" i="4" s="1"/>
  <c r="BL20" i="4"/>
  <c r="BM20" i="4" s="1"/>
  <c r="BO20" i="4" s="1"/>
  <c r="BQ20" i="4" s="1"/>
  <c r="W22" i="4"/>
  <c r="C40" i="4"/>
  <c r="CU21" i="4"/>
  <c r="CX20" i="4"/>
  <c r="DF20" i="4" s="1"/>
  <c r="CE46" i="5" l="1"/>
  <c r="CG46" i="5" s="1"/>
  <c r="CH46" i="5" s="1"/>
  <c r="CL46" i="5" s="1"/>
  <c r="CB47" i="5"/>
  <c r="CC47" i="5" s="1"/>
  <c r="CK46" i="5"/>
  <c r="CA47" i="5"/>
  <c r="AC22" i="4"/>
  <c r="BF45" i="5"/>
  <c r="CD47" i="5"/>
  <c r="CJ47" i="5"/>
  <c r="CF47" i="5"/>
  <c r="CI47" i="5" s="1"/>
  <c r="BA47" i="5"/>
  <c r="AY47" i="5"/>
  <c r="BE47" i="5"/>
  <c r="AF47" i="5"/>
  <c r="BZ47" i="5"/>
  <c r="AW47" i="5"/>
  <c r="AX47" i="5" s="1"/>
  <c r="AU47" i="5"/>
  <c r="BB47" i="5" s="1"/>
  <c r="AZ46" i="5"/>
  <c r="BC45" i="5"/>
  <c r="BG45" i="5" s="1"/>
  <c r="D46" i="5" s="1"/>
  <c r="P46" i="5" s="1"/>
  <c r="AV47" i="5"/>
  <c r="BO47" i="5"/>
  <c r="BN46" i="5"/>
  <c r="BN47" i="5" s="1"/>
  <c r="AT20" i="4"/>
  <c r="AV20" i="4" s="1"/>
  <c r="AX20" i="4" s="1"/>
  <c r="AY20" i="4" s="1"/>
  <c r="AZ20" i="4" s="1"/>
  <c r="BR44" i="5"/>
  <c r="BS44" i="5" s="1"/>
  <c r="BQ47" i="5"/>
  <c r="BK47" i="5"/>
  <c r="BL47" i="5"/>
  <c r="BT46" i="5" s="1"/>
  <c r="BV45" i="5"/>
  <c r="AD22" i="4"/>
  <c r="BA20" i="4"/>
  <c r="BB20" i="4" s="1"/>
  <c r="AG20" i="4"/>
  <c r="BE20" i="4" s="1"/>
  <c r="BS45" i="5"/>
  <c r="BB19" i="4"/>
  <c r="BC19" i="4" s="1"/>
  <c r="BD19" i="4" s="1"/>
  <c r="D38" i="4" s="1"/>
  <c r="BF19" i="4"/>
  <c r="AE21" i="4"/>
  <c r="Z22" i="4"/>
  <c r="AF22" i="4"/>
  <c r="BN22" i="4"/>
  <c r="AB22" i="4"/>
  <c r="AA22" i="4"/>
  <c r="BJ22" i="4"/>
  <c r="AJ46" i="5"/>
  <c r="AN46" i="5" s="1"/>
  <c r="AP46" i="5" s="1"/>
  <c r="AG47" i="5"/>
  <c r="BU47" i="5"/>
  <c r="AO47" i="5"/>
  <c r="AK47" i="5"/>
  <c r="AE48" i="5" s="1"/>
  <c r="AI47" i="5"/>
  <c r="BM47" i="5"/>
  <c r="F45" i="5"/>
  <c r="R45" i="5" s="1"/>
  <c r="AD51" i="5"/>
  <c r="AC52" i="5"/>
  <c r="BJ52" i="5"/>
  <c r="DZ47" i="5"/>
  <c r="J40" i="4"/>
  <c r="DE46" i="5"/>
  <c r="DG45" i="5"/>
  <c r="DI45" i="5" s="1"/>
  <c r="DJ45" i="5" s="1"/>
  <c r="DN45" i="5" s="1"/>
  <c r="J24" i="4"/>
  <c r="T23" i="4"/>
  <c r="J11" i="5"/>
  <c r="J26" i="5"/>
  <c r="J47" i="5"/>
  <c r="V47" i="5" s="1"/>
  <c r="V46" i="5"/>
  <c r="CV22" i="4"/>
  <c r="BP22" i="4"/>
  <c r="CY22" i="4"/>
  <c r="CW22" i="4"/>
  <c r="X22" i="4"/>
  <c r="K41" i="4" s="1"/>
  <c r="CT22" i="4"/>
  <c r="CS22" i="4"/>
  <c r="EB44" i="5"/>
  <c r="I45" i="5" s="1"/>
  <c r="U45" i="5" s="1"/>
  <c r="DN44" i="5"/>
  <c r="H45" i="5" s="1"/>
  <c r="T45" i="5" s="1"/>
  <c r="CX47" i="5"/>
  <c r="DL47" i="5"/>
  <c r="CZ44" i="5"/>
  <c r="G45" i="5" s="1"/>
  <c r="S45" i="5" s="1"/>
  <c r="DD47" i="5"/>
  <c r="CZ45" i="5"/>
  <c r="G46" i="5" s="1"/>
  <c r="S46" i="5" s="1"/>
  <c r="CY45" i="5"/>
  <c r="DB47" i="5"/>
  <c r="CT47" i="5"/>
  <c r="AA48" i="5"/>
  <c r="AB47" i="5"/>
  <c r="K48" i="5" s="1"/>
  <c r="W48" i="5" s="1"/>
  <c r="B48" i="5"/>
  <c r="DV47" i="5"/>
  <c r="DF47" i="5"/>
  <c r="BK22" i="4"/>
  <c r="CD21" i="4" s="1"/>
  <c r="CF20" i="4"/>
  <c r="CH20" i="4" s="1"/>
  <c r="CR47" i="5"/>
  <c r="DH47" i="5"/>
  <c r="DT47" i="5"/>
  <c r="CK20" i="4"/>
  <c r="CL20" i="4" s="1"/>
  <c r="DG19" i="4"/>
  <c r="DB19" i="4"/>
  <c r="DC19" i="4" s="1"/>
  <c r="CP47" i="5"/>
  <c r="CN47" i="5"/>
  <c r="CQ46" i="5"/>
  <c r="CS46" i="5" s="1"/>
  <c r="CU46" i="5" s="1"/>
  <c r="CV46" i="5" s="1"/>
  <c r="CO47" i="5"/>
  <c r="CW46" i="5" s="1"/>
  <c r="DS46" i="5"/>
  <c r="DU46" i="5" s="1"/>
  <c r="DW46" i="5" s="1"/>
  <c r="DX46" i="5" s="1"/>
  <c r="DW45" i="5"/>
  <c r="DX45" i="5" s="1"/>
  <c r="DP47" i="5"/>
  <c r="DQ47" i="5"/>
  <c r="DY46" i="5" s="1"/>
  <c r="EA46" i="5" s="1"/>
  <c r="DR47" i="5"/>
  <c r="DC47" i="5"/>
  <c r="DK46" i="5" s="1"/>
  <c r="DM46" i="5" s="1"/>
  <c r="DG20" i="4"/>
  <c r="DB20" i="4"/>
  <c r="DC20" i="4" s="1"/>
  <c r="CM19" i="4"/>
  <c r="CN19" i="4" s="1"/>
  <c r="F38" i="4" s="1"/>
  <c r="CO19" i="4"/>
  <c r="CP19" i="4" s="1"/>
  <c r="BL21" i="4"/>
  <c r="BM21" i="4" s="1"/>
  <c r="BO21" i="4" s="1"/>
  <c r="BQ21" i="4" s="1"/>
  <c r="CU22" i="4"/>
  <c r="CX21" i="4"/>
  <c r="DF21" i="4" s="1"/>
  <c r="C41" i="4"/>
  <c r="W23" i="4"/>
  <c r="CE47" i="5" l="1"/>
  <c r="CG47" i="5" s="1"/>
  <c r="CH47" i="5" s="1"/>
  <c r="CL47" i="5" s="1"/>
  <c r="CB48" i="5"/>
  <c r="CC48" i="5" s="1"/>
  <c r="AF48" i="5"/>
  <c r="AC23" i="4"/>
  <c r="BD46" i="5"/>
  <c r="BF46" i="5" s="1"/>
  <c r="BC46" i="5"/>
  <c r="BG46" i="5" s="1"/>
  <c r="D47" i="5" s="1"/>
  <c r="P47" i="5" s="1"/>
  <c r="AV48" i="5"/>
  <c r="AW48" i="5"/>
  <c r="AX48" i="5" s="1"/>
  <c r="AU48" i="5"/>
  <c r="BB48" i="5" s="1"/>
  <c r="CA48" i="5"/>
  <c r="AZ47" i="5"/>
  <c r="CK47" i="5"/>
  <c r="CF48" i="5"/>
  <c r="CI48" i="5" s="1"/>
  <c r="CJ48" i="5"/>
  <c r="CD48" i="5"/>
  <c r="CE48" i="5" s="1"/>
  <c r="BE48" i="5"/>
  <c r="BA48" i="5"/>
  <c r="AY48" i="5"/>
  <c r="BP47" i="5"/>
  <c r="BR47" i="5" s="1"/>
  <c r="BZ48" i="5"/>
  <c r="BO48" i="5"/>
  <c r="BK48" i="5"/>
  <c r="BN48" i="5"/>
  <c r="BP46" i="5"/>
  <c r="BR46" i="5" s="1"/>
  <c r="BS46" i="5" s="1"/>
  <c r="AT21" i="4"/>
  <c r="AV21" i="4" s="1"/>
  <c r="AX21" i="4" s="1"/>
  <c r="AY21" i="4" s="1"/>
  <c r="AZ21" i="4" s="1"/>
  <c r="BW44" i="5"/>
  <c r="E45" i="5" s="1"/>
  <c r="Q45" i="5" s="1"/>
  <c r="BW45" i="5"/>
  <c r="E46" i="5" s="1"/>
  <c r="Q46" i="5" s="1"/>
  <c r="BV46" i="5"/>
  <c r="BL48" i="5"/>
  <c r="BT47" i="5" s="1"/>
  <c r="BQ48" i="5"/>
  <c r="AD23" i="4"/>
  <c r="BF20" i="4"/>
  <c r="AG21" i="4"/>
  <c r="BE21" i="4" s="1"/>
  <c r="BC20" i="4"/>
  <c r="BD20" i="4" s="1"/>
  <c r="D39" i="4" s="1"/>
  <c r="BG19" i="4"/>
  <c r="E38" i="4" s="1"/>
  <c r="BA21" i="4"/>
  <c r="AA23" i="4"/>
  <c r="AB23" i="4"/>
  <c r="AE22" i="4"/>
  <c r="AG22" i="4" s="1"/>
  <c r="Z23" i="4"/>
  <c r="AF23" i="4"/>
  <c r="BN23" i="4"/>
  <c r="BJ23" i="4"/>
  <c r="AK48" i="5"/>
  <c r="AE49" i="5" s="1"/>
  <c r="AO48" i="5"/>
  <c r="BU48" i="5"/>
  <c r="AI48" i="5"/>
  <c r="BM48" i="5"/>
  <c r="AG48" i="5"/>
  <c r="AH48" i="5" s="1"/>
  <c r="AH47" i="5"/>
  <c r="AJ47" i="5" s="1"/>
  <c r="AN47" i="5" s="1"/>
  <c r="AP47" i="5" s="1"/>
  <c r="F46" i="5"/>
  <c r="R46" i="5" s="1"/>
  <c r="DG46" i="5"/>
  <c r="DI46" i="5" s="1"/>
  <c r="DJ46" i="5" s="1"/>
  <c r="DN46" i="5" s="1"/>
  <c r="H47" i="5" s="1"/>
  <c r="T47" i="5" s="1"/>
  <c r="AD52" i="5"/>
  <c r="AC53" i="5"/>
  <c r="BJ53" i="5"/>
  <c r="DH48" i="5"/>
  <c r="J41" i="4"/>
  <c r="DE47" i="5"/>
  <c r="J48" i="5"/>
  <c r="V48" i="5" s="1"/>
  <c r="J12" i="5"/>
  <c r="J27" i="5"/>
  <c r="J25" i="4"/>
  <c r="T24" i="4"/>
  <c r="CT23" i="4"/>
  <c r="CZ22" i="4" s="1"/>
  <c r="CV23" i="4"/>
  <c r="CZ21" i="4"/>
  <c r="DA21" i="4" s="1"/>
  <c r="CW23" i="4"/>
  <c r="BP23" i="4"/>
  <c r="CY23" i="4"/>
  <c r="X23" i="4"/>
  <c r="K42" i="4" s="1"/>
  <c r="CS23" i="4"/>
  <c r="CP48" i="5"/>
  <c r="CN48" i="5"/>
  <c r="AA49" i="5"/>
  <c r="AB48" i="5"/>
  <c r="K49" i="5" s="1"/>
  <c r="W49" i="5" s="1"/>
  <c r="DL48" i="5"/>
  <c r="DZ48" i="5"/>
  <c r="DD48" i="5"/>
  <c r="EB45" i="5"/>
  <c r="I46" i="5" s="1"/>
  <c r="U46" i="5" s="1"/>
  <c r="EB46" i="5"/>
  <c r="I47" i="5" s="1"/>
  <c r="U47" i="5" s="1"/>
  <c r="H46" i="5"/>
  <c r="T46" i="5" s="1"/>
  <c r="CX48" i="5"/>
  <c r="CZ46" i="5"/>
  <c r="G47" i="5" s="1"/>
  <c r="S47" i="5" s="1"/>
  <c r="CY46" i="5"/>
  <c r="DT48" i="5"/>
  <c r="DF48" i="5"/>
  <c r="CR48" i="5"/>
  <c r="B49" i="5"/>
  <c r="CT48" i="5"/>
  <c r="DV48" i="5"/>
  <c r="DR48" i="5"/>
  <c r="DP48" i="5"/>
  <c r="N48" i="5"/>
  <c r="DB48" i="5"/>
  <c r="BK23" i="4"/>
  <c r="CD22" i="4" s="1"/>
  <c r="DD19" i="4"/>
  <c r="DG21" i="4"/>
  <c r="CQ47" i="5"/>
  <c r="CS47" i="5" s="1"/>
  <c r="CU47" i="5" s="1"/>
  <c r="CV47" i="5" s="1"/>
  <c r="CO48" i="5"/>
  <c r="CW47" i="5" s="1"/>
  <c r="DS47" i="5"/>
  <c r="DQ48" i="5"/>
  <c r="DY47" i="5" s="1"/>
  <c r="EA47" i="5" s="1"/>
  <c r="DC48" i="5"/>
  <c r="DK47" i="5" s="1"/>
  <c r="DM47" i="5" s="1"/>
  <c r="DB21" i="4"/>
  <c r="DC21" i="4" s="1"/>
  <c r="CQ19" i="4"/>
  <c r="G38" i="4" s="1"/>
  <c r="CO20" i="4"/>
  <c r="CP20" i="4" s="1"/>
  <c r="CI20" i="4"/>
  <c r="CJ20" i="4" s="1"/>
  <c r="BL22" i="4"/>
  <c r="BM22" i="4" s="1"/>
  <c r="BO22" i="4" s="1"/>
  <c r="BQ22" i="4" s="1"/>
  <c r="C42" i="4"/>
  <c r="W24" i="4"/>
  <c r="CU23" i="4"/>
  <c r="CX22" i="4"/>
  <c r="DF22" i="4" s="1"/>
  <c r="BZ49" i="5" l="1"/>
  <c r="BZ50" i="5" s="1"/>
  <c r="BD47" i="5"/>
  <c r="BF47" i="5" s="1"/>
  <c r="BC47" i="5"/>
  <c r="BG47" i="5" s="1"/>
  <c r="D48" i="5" s="1"/>
  <c r="P48" i="5" s="1"/>
  <c r="CG48" i="5"/>
  <c r="CH48" i="5" s="1"/>
  <c r="CL48" i="5" s="1"/>
  <c r="AW49" i="5"/>
  <c r="AX49" i="5" s="1"/>
  <c r="AU49" i="5"/>
  <c r="BB49" i="5" s="1"/>
  <c r="CA49" i="5"/>
  <c r="AF49" i="5"/>
  <c r="CF49" i="5"/>
  <c r="CI49" i="5" s="1"/>
  <c r="CD49" i="5"/>
  <c r="CJ49" i="5"/>
  <c r="AY49" i="5"/>
  <c r="BE49" i="5"/>
  <c r="BA49" i="5"/>
  <c r="AC24" i="4"/>
  <c r="AZ48" i="5"/>
  <c r="AV49" i="5"/>
  <c r="CK48" i="5"/>
  <c r="CB49" i="5"/>
  <c r="CC49" i="5" s="1"/>
  <c r="BP48" i="5"/>
  <c r="BR48" i="5" s="1"/>
  <c r="BQ49" i="5"/>
  <c r="BO49" i="5"/>
  <c r="BN49" i="5"/>
  <c r="AT22" i="4"/>
  <c r="AV22" i="4" s="1"/>
  <c r="AX22" i="4" s="1"/>
  <c r="AY22" i="4" s="1"/>
  <c r="AZ22" i="4" s="1"/>
  <c r="BW46" i="5"/>
  <c r="E47" i="5" s="1"/>
  <c r="Q47" i="5" s="1"/>
  <c r="BV47" i="5"/>
  <c r="BL49" i="5"/>
  <c r="BT48" i="5" s="1"/>
  <c r="BK49" i="5"/>
  <c r="AD24" i="4"/>
  <c r="BF21" i="4"/>
  <c r="BG20" i="4"/>
  <c r="E39" i="4" s="1"/>
  <c r="BB21" i="4"/>
  <c r="BC21" i="4" s="1"/>
  <c r="BD21" i="4" s="1"/>
  <c r="D40" i="4" s="1"/>
  <c r="Z24" i="4"/>
  <c r="BE22" i="4"/>
  <c r="BA22" i="4"/>
  <c r="AF24" i="4"/>
  <c r="BN24" i="4"/>
  <c r="AE23" i="4"/>
  <c r="AG23" i="4" s="1"/>
  <c r="AA24" i="4"/>
  <c r="AB24" i="4"/>
  <c r="BJ24" i="4"/>
  <c r="J42" i="4"/>
  <c r="AG49" i="5"/>
  <c r="AH49" i="5" s="1"/>
  <c r="BU49" i="5"/>
  <c r="AK49" i="5"/>
  <c r="AE50" i="5" s="1"/>
  <c r="AO49" i="5"/>
  <c r="AI49" i="5"/>
  <c r="BM49" i="5"/>
  <c r="AJ48" i="5"/>
  <c r="AN48" i="5" s="1"/>
  <c r="AP48" i="5" s="1"/>
  <c r="BS47" i="5"/>
  <c r="F47" i="5"/>
  <c r="R47" i="5" s="1"/>
  <c r="DB49" i="5"/>
  <c r="DE48" i="5"/>
  <c r="DE49" i="5" s="1"/>
  <c r="DD49" i="5"/>
  <c r="AD53" i="5"/>
  <c r="AC54" i="5"/>
  <c r="BJ54" i="5"/>
  <c r="DH49" i="5"/>
  <c r="DG47" i="5"/>
  <c r="DI47" i="5" s="1"/>
  <c r="DJ47" i="5" s="1"/>
  <c r="DN47" i="5" s="1"/>
  <c r="H48" i="5" s="1"/>
  <c r="T48" i="5" s="1"/>
  <c r="J26" i="4"/>
  <c r="T25" i="4"/>
  <c r="N49" i="5"/>
  <c r="J49" i="5"/>
  <c r="V49" i="5" s="1"/>
  <c r="J13" i="5"/>
  <c r="J28" i="5"/>
  <c r="CV24" i="4"/>
  <c r="CP49" i="5"/>
  <c r="DF49" i="5"/>
  <c r="CR49" i="5"/>
  <c r="CT49" i="5"/>
  <c r="AA50" i="5"/>
  <c r="CT24" i="4"/>
  <c r="DA22" i="4"/>
  <c r="CS24" i="4"/>
  <c r="BP24" i="4"/>
  <c r="CY24" i="4"/>
  <c r="CW24" i="4"/>
  <c r="X24" i="4"/>
  <c r="K43" i="4" s="1"/>
  <c r="CN49" i="5"/>
  <c r="DV49" i="5"/>
  <c r="B50" i="5"/>
  <c r="DZ49" i="5"/>
  <c r="AB49" i="5"/>
  <c r="K50" i="5" s="1"/>
  <c r="W50" i="5" s="1"/>
  <c r="CX49" i="5"/>
  <c r="DL49" i="5"/>
  <c r="DT49" i="5"/>
  <c r="DP49" i="5"/>
  <c r="CZ47" i="5"/>
  <c r="G48" i="5" s="1"/>
  <c r="S48" i="5" s="1"/>
  <c r="CY47" i="5"/>
  <c r="DR49" i="5"/>
  <c r="CF21" i="4"/>
  <c r="CH21" i="4" s="1"/>
  <c r="CI21" i="4" s="1"/>
  <c r="CJ21" i="4" s="1"/>
  <c r="BK24" i="4"/>
  <c r="CD23" i="4" s="1"/>
  <c r="DE19" i="4"/>
  <c r="H38" i="4" s="1"/>
  <c r="DH19" i="4"/>
  <c r="I38" i="4" s="1"/>
  <c r="DD20" i="4"/>
  <c r="DB22" i="4"/>
  <c r="DC22" i="4" s="1"/>
  <c r="CQ48" i="5"/>
  <c r="CS48" i="5" s="1"/>
  <c r="CU48" i="5" s="1"/>
  <c r="CV48" i="5" s="1"/>
  <c r="CO49" i="5"/>
  <c r="CW48" i="5" s="1"/>
  <c r="DC49" i="5"/>
  <c r="DK48" i="5" s="1"/>
  <c r="DM48" i="5" s="1"/>
  <c r="DQ49" i="5"/>
  <c r="DY48" i="5" s="1"/>
  <c r="EA48" i="5" s="1"/>
  <c r="DU47" i="5"/>
  <c r="DW47" i="5" s="1"/>
  <c r="DX47" i="5" s="1"/>
  <c r="DS48" i="5"/>
  <c r="DG22" i="4"/>
  <c r="CM20" i="4"/>
  <c r="CK21" i="4"/>
  <c r="CL21" i="4" s="1"/>
  <c r="CO21" i="4"/>
  <c r="BL23" i="4"/>
  <c r="BM23" i="4" s="1"/>
  <c r="BO23" i="4" s="1"/>
  <c r="BQ23" i="4" s="1"/>
  <c r="CX23" i="4"/>
  <c r="DF23" i="4" s="1"/>
  <c r="W25" i="4"/>
  <c r="C43" i="4"/>
  <c r="CU24" i="4"/>
  <c r="CB50" i="5" l="1"/>
  <c r="CC50" i="5" s="1"/>
  <c r="CD50" i="5"/>
  <c r="CJ50" i="5"/>
  <c r="CF50" i="5"/>
  <c r="CI50" i="5" s="1"/>
  <c r="BE50" i="5"/>
  <c r="BA50" i="5"/>
  <c r="AY50" i="5"/>
  <c r="AZ49" i="5"/>
  <c r="AC25" i="4"/>
  <c r="BD48" i="5"/>
  <c r="BF48" i="5" s="1"/>
  <c r="BC48" i="5"/>
  <c r="BG48" i="5" s="1"/>
  <c r="D49" i="5" s="1"/>
  <c r="P49" i="5" s="1"/>
  <c r="CK49" i="5"/>
  <c r="AF50" i="5"/>
  <c r="AV50" i="5"/>
  <c r="AW50" i="5"/>
  <c r="AX50" i="5" s="1"/>
  <c r="AU50" i="5"/>
  <c r="BB50" i="5" s="1"/>
  <c r="CA50" i="5"/>
  <c r="CE49" i="5"/>
  <c r="BO50" i="5"/>
  <c r="BK50" i="5"/>
  <c r="BN50" i="5"/>
  <c r="BP49" i="5"/>
  <c r="AT23" i="4"/>
  <c r="AV23" i="4" s="1"/>
  <c r="AX23" i="4" s="1"/>
  <c r="AY23" i="4" s="1"/>
  <c r="AZ23" i="4" s="1"/>
  <c r="BW47" i="5"/>
  <c r="E48" i="5" s="1"/>
  <c r="Q48" i="5" s="1"/>
  <c r="BV48" i="5"/>
  <c r="BL50" i="5"/>
  <c r="BT49" i="5" s="1"/>
  <c r="BQ50" i="5"/>
  <c r="BG21" i="4"/>
  <c r="E40" i="4" s="1"/>
  <c r="AE24" i="4"/>
  <c r="AF25" i="4"/>
  <c r="BN25" i="4"/>
  <c r="Y25" i="4"/>
  <c r="AD25" i="4" s="1"/>
  <c r="AA25" i="4"/>
  <c r="AT24" i="4" s="1"/>
  <c r="AB25" i="4"/>
  <c r="BF22" i="4"/>
  <c r="BB22" i="4"/>
  <c r="BC22" i="4" s="1"/>
  <c r="BD22" i="4" s="1"/>
  <c r="D41" i="4" s="1"/>
  <c r="BE23" i="4"/>
  <c r="BA23" i="4"/>
  <c r="Z25" i="4"/>
  <c r="BJ25" i="4"/>
  <c r="J43" i="4"/>
  <c r="F48" i="5"/>
  <c r="R48" i="5" s="1"/>
  <c r="BM50" i="5"/>
  <c r="AG50" i="5"/>
  <c r="AH50" i="5" s="1"/>
  <c r="AK50" i="5"/>
  <c r="AE51" i="5" s="1"/>
  <c r="AO50" i="5"/>
  <c r="BU50" i="5"/>
  <c r="AI50" i="5"/>
  <c r="AJ49" i="5"/>
  <c r="AN49" i="5" s="1"/>
  <c r="AP49" i="5" s="1"/>
  <c r="BS48" i="5"/>
  <c r="BW48" i="5" s="1"/>
  <c r="DD50" i="5"/>
  <c r="DB50" i="5"/>
  <c r="DG48" i="5"/>
  <c r="DI48" i="5" s="1"/>
  <c r="DJ48" i="5" s="1"/>
  <c r="DN48" i="5" s="1"/>
  <c r="H49" i="5" s="1"/>
  <c r="T49" i="5" s="1"/>
  <c r="AD54" i="5"/>
  <c r="AC55" i="5"/>
  <c r="BJ55" i="5"/>
  <c r="DZ50" i="5"/>
  <c r="J50" i="5"/>
  <c r="V50" i="5" s="1"/>
  <c r="J14" i="5"/>
  <c r="J29" i="5"/>
  <c r="J27" i="4"/>
  <c r="T26" i="4"/>
  <c r="CV25" i="4"/>
  <c r="CF22" i="4"/>
  <c r="CH22" i="4" s="1"/>
  <c r="CI22" i="4" s="1"/>
  <c r="CJ22" i="4" s="1"/>
  <c r="CK23" i="4" s="1"/>
  <c r="CL23" i="4" s="1"/>
  <c r="DE50" i="5"/>
  <c r="DV50" i="5"/>
  <c r="CN50" i="5"/>
  <c r="AA51" i="5"/>
  <c r="DF50" i="5"/>
  <c r="AB50" i="5"/>
  <c r="K51" i="5" s="1"/>
  <c r="W51" i="5" s="1"/>
  <c r="B51" i="5"/>
  <c r="CP50" i="5"/>
  <c r="DR50" i="5"/>
  <c r="DL50" i="5"/>
  <c r="CR50" i="5"/>
  <c r="DH50" i="5"/>
  <c r="DT50" i="5"/>
  <c r="CT50" i="5"/>
  <c r="CX50" i="5"/>
  <c r="CT25" i="4"/>
  <c r="CZ24" i="4" s="1"/>
  <c r="CZ23" i="4"/>
  <c r="DA23" i="4" s="1"/>
  <c r="BP25" i="4"/>
  <c r="CY25" i="4"/>
  <c r="CW25" i="4"/>
  <c r="X25" i="4"/>
  <c r="K44" i="4" s="1"/>
  <c r="CS25" i="4"/>
  <c r="DP50" i="5"/>
  <c r="DG49" i="5"/>
  <c r="DI49" i="5" s="1"/>
  <c r="DJ49" i="5" s="1"/>
  <c r="DN49" i="5" s="1"/>
  <c r="N50" i="5"/>
  <c r="EB47" i="5"/>
  <c r="I48" i="5" s="1"/>
  <c r="U48" i="5" s="1"/>
  <c r="CY48" i="5"/>
  <c r="CZ48" i="5"/>
  <c r="G49" i="5" s="1"/>
  <c r="S49" i="5" s="1"/>
  <c r="BK25" i="4"/>
  <c r="CD24" i="4" s="1"/>
  <c r="DD21" i="4"/>
  <c r="DH21" i="4" s="1"/>
  <c r="I40" i="4" s="1"/>
  <c r="DE20" i="4"/>
  <c r="H39" i="4" s="1"/>
  <c r="DH20" i="4"/>
  <c r="I39" i="4" s="1"/>
  <c r="CP21" i="4"/>
  <c r="DG23" i="4"/>
  <c r="CM21" i="4"/>
  <c r="CN21" i="4" s="1"/>
  <c r="F40" i="4" s="1"/>
  <c r="CQ49" i="5"/>
  <c r="CS49" i="5" s="1"/>
  <c r="CU49" i="5" s="1"/>
  <c r="CV49" i="5" s="1"/>
  <c r="CO50" i="5"/>
  <c r="CW49" i="5" s="1"/>
  <c r="DC50" i="5"/>
  <c r="DK49" i="5" s="1"/>
  <c r="DM49" i="5" s="1"/>
  <c r="DQ50" i="5"/>
  <c r="DY49" i="5" s="1"/>
  <c r="EA49" i="5" s="1"/>
  <c r="DS49" i="5"/>
  <c r="DU48" i="5"/>
  <c r="DW48" i="5" s="1"/>
  <c r="DX48" i="5" s="1"/>
  <c r="DB23" i="4"/>
  <c r="DC23" i="4" s="1"/>
  <c r="CQ20" i="4"/>
  <c r="G39" i="4" s="1"/>
  <c r="CN20" i="4"/>
  <c r="F39" i="4" s="1"/>
  <c r="CK22" i="4"/>
  <c r="CL22" i="4" s="1"/>
  <c r="CO22" i="4"/>
  <c r="BL24" i="4"/>
  <c r="BM24" i="4" s="1"/>
  <c r="BO24" i="4" s="1"/>
  <c r="BQ24" i="4" s="1"/>
  <c r="CX24" i="4"/>
  <c r="DF24" i="4" s="1"/>
  <c r="W26" i="4"/>
  <c r="C44" i="4"/>
  <c r="CU25" i="4"/>
  <c r="CA51" i="5" l="1"/>
  <c r="BZ51" i="5"/>
  <c r="CB51" i="5"/>
  <c r="CC51" i="5" s="1"/>
  <c r="CE50" i="5"/>
  <c r="CG50" i="5" s="1"/>
  <c r="CH50" i="5" s="1"/>
  <c r="CL50" i="5" s="1"/>
  <c r="AZ50" i="5"/>
  <c r="BD50" i="5" s="1"/>
  <c r="CG49" i="5"/>
  <c r="CH49" i="5" s="1"/>
  <c r="CL49" i="5" s="1"/>
  <c r="AV51" i="5"/>
  <c r="AW51" i="5"/>
  <c r="AX51" i="5" s="1"/>
  <c r="AU51" i="5"/>
  <c r="BB51" i="5" s="1"/>
  <c r="AC26" i="4"/>
  <c r="BD49" i="5"/>
  <c r="BF49" i="5" s="1"/>
  <c r="BC49" i="5"/>
  <c r="BG49" i="5" s="1"/>
  <c r="D50" i="5" s="1"/>
  <c r="P50" i="5" s="1"/>
  <c r="CJ51" i="5"/>
  <c r="CF51" i="5"/>
  <c r="CI51" i="5" s="1"/>
  <c r="CD51" i="5"/>
  <c r="BA51" i="5"/>
  <c r="BE51" i="5"/>
  <c r="AY51" i="5"/>
  <c r="AF51" i="5"/>
  <c r="CK50" i="5"/>
  <c r="BO51" i="5"/>
  <c r="BK51" i="5"/>
  <c r="BP50" i="5"/>
  <c r="BR50" i="5" s="1"/>
  <c r="BN51" i="5"/>
  <c r="E49" i="5"/>
  <c r="Q49" i="5" s="1"/>
  <c r="BL51" i="5"/>
  <c r="BT50" i="5" s="1"/>
  <c r="BR49" i="5"/>
  <c r="BS49" i="5" s="1"/>
  <c r="BQ51" i="5"/>
  <c r="BA24" i="4"/>
  <c r="BB24" i="4" s="1"/>
  <c r="AG24" i="4"/>
  <c r="BE24" i="4" s="1"/>
  <c r="AV24" i="4"/>
  <c r="AX24" i="4" s="1"/>
  <c r="AY24" i="4" s="1"/>
  <c r="AZ24" i="4" s="1"/>
  <c r="Z26" i="4"/>
  <c r="AF26" i="4"/>
  <c r="BN26" i="4"/>
  <c r="Y26" i="4"/>
  <c r="AD26" i="4" s="1"/>
  <c r="BG22" i="4"/>
  <c r="E41" i="4" s="1"/>
  <c r="AB26" i="4"/>
  <c r="AA26" i="4"/>
  <c r="AT25" i="4" s="1"/>
  <c r="AE25" i="4"/>
  <c r="AG25" i="4" s="1"/>
  <c r="BF23" i="4"/>
  <c r="BB23" i="4"/>
  <c r="BC23" i="4" s="1"/>
  <c r="BJ26" i="4"/>
  <c r="BV49" i="5"/>
  <c r="F49" i="5"/>
  <c r="R49" i="5" s="1"/>
  <c r="J44" i="4"/>
  <c r="AJ50" i="5"/>
  <c r="AN50" i="5" s="1"/>
  <c r="AP50" i="5" s="1"/>
  <c r="AG51" i="5"/>
  <c r="AH51" i="5" s="1"/>
  <c r="BU51" i="5"/>
  <c r="AO51" i="5"/>
  <c r="AK51" i="5"/>
  <c r="AE52" i="5" s="1"/>
  <c r="AI51" i="5"/>
  <c r="BM51" i="5"/>
  <c r="DD51" i="5"/>
  <c r="CT51" i="5"/>
  <c r="DL51" i="5"/>
  <c r="AD55" i="5"/>
  <c r="AC56" i="5"/>
  <c r="BJ56" i="5"/>
  <c r="AB51" i="5"/>
  <c r="K52" i="5" s="1"/>
  <c r="W52" i="5" s="1"/>
  <c r="DV51" i="5"/>
  <c r="CX51" i="5"/>
  <c r="AA52" i="5"/>
  <c r="DF51" i="5"/>
  <c r="B52" i="5"/>
  <c r="N52" i="5" s="1"/>
  <c r="N51" i="5"/>
  <c r="J51" i="5"/>
  <c r="V51" i="5" s="1"/>
  <c r="J28" i="4"/>
  <c r="T27" i="4"/>
  <c r="DR51" i="5"/>
  <c r="J15" i="5"/>
  <c r="J30" i="5"/>
  <c r="DA24" i="4"/>
  <c r="CT26" i="4"/>
  <c r="CZ25" i="4" s="1"/>
  <c r="CV26" i="4"/>
  <c r="DP51" i="5"/>
  <c r="DG50" i="5"/>
  <c r="DI50" i="5" s="1"/>
  <c r="DJ50" i="5" s="1"/>
  <c r="DN50" i="5" s="1"/>
  <c r="H51" i="5" s="1"/>
  <c r="T51" i="5" s="1"/>
  <c r="DT51" i="5"/>
  <c r="CR51" i="5"/>
  <c r="DH51" i="5"/>
  <c r="DZ51" i="5"/>
  <c r="DE51" i="5"/>
  <c r="CN51" i="5"/>
  <c r="DB51" i="5"/>
  <c r="CP51" i="5"/>
  <c r="CS26" i="4"/>
  <c r="BP26" i="4"/>
  <c r="CY26" i="4"/>
  <c r="CW26" i="4"/>
  <c r="X26" i="4"/>
  <c r="K45" i="4" s="1"/>
  <c r="EB48" i="5"/>
  <c r="I49" i="5" s="1"/>
  <c r="U49" i="5" s="1"/>
  <c r="H50" i="5"/>
  <c r="T50" i="5" s="1"/>
  <c r="CZ49" i="5"/>
  <c r="G50" i="5" s="1"/>
  <c r="S50" i="5" s="1"/>
  <c r="CY49" i="5"/>
  <c r="BK26" i="4"/>
  <c r="CD25" i="4" s="1"/>
  <c r="DD22" i="4"/>
  <c r="DE22" i="4" s="1"/>
  <c r="H41" i="4" s="1"/>
  <c r="DE21" i="4"/>
  <c r="H40" i="4" s="1"/>
  <c r="CP22" i="4"/>
  <c r="CQ50" i="5"/>
  <c r="CQ51" i="5" s="1"/>
  <c r="CO51" i="5"/>
  <c r="CW50" i="5" s="1"/>
  <c r="DC51" i="5"/>
  <c r="DK50" i="5" s="1"/>
  <c r="DM50" i="5" s="1"/>
  <c r="DQ51" i="5"/>
  <c r="DY50" i="5" s="1"/>
  <c r="EA50" i="5" s="1"/>
  <c r="DS50" i="5"/>
  <c r="DU49" i="5"/>
  <c r="DW49" i="5" s="1"/>
  <c r="DX49" i="5" s="1"/>
  <c r="DG24" i="4"/>
  <c r="DB24" i="4"/>
  <c r="DC24" i="4" s="1"/>
  <c r="CQ21" i="4"/>
  <c r="G40" i="4" s="1"/>
  <c r="CM22" i="4"/>
  <c r="CO23" i="4"/>
  <c r="CP23" i="4" s="1"/>
  <c r="BL25" i="4"/>
  <c r="BM25" i="4" s="1"/>
  <c r="BO25" i="4" s="1"/>
  <c r="BQ25" i="4" s="1"/>
  <c r="CF23" i="4"/>
  <c r="CH23" i="4" s="1"/>
  <c r="CX25" i="4"/>
  <c r="DF25" i="4" s="1"/>
  <c r="CU26" i="4"/>
  <c r="W27" i="4"/>
  <c r="C45" i="4"/>
  <c r="BC50" i="5" l="1"/>
  <c r="BG50" i="5" s="1"/>
  <c r="D51" i="5" s="1"/>
  <c r="P51" i="5" s="1"/>
  <c r="CB52" i="5"/>
  <c r="CC52" i="5" s="1"/>
  <c r="CE51" i="5"/>
  <c r="CG51" i="5" s="1"/>
  <c r="CH51" i="5" s="1"/>
  <c r="CL51" i="5" s="1"/>
  <c r="BF50" i="5"/>
  <c r="BZ52" i="5"/>
  <c r="AV52" i="5"/>
  <c r="AV53" i="5" s="1"/>
  <c r="CF52" i="5"/>
  <c r="CI52" i="5" s="1"/>
  <c r="CD52" i="5"/>
  <c r="CJ52" i="5"/>
  <c r="BA52" i="5"/>
  <c r="AY52" i="5"/>
  <c r="BE52" i="5"/>
  <c r="AU52" i="5"/>
  <c r="BB52" i="5" s="1"/>
  <c r="AW52" i="5"/>
  <c r="AX52" i="5" s="1"/>
  <c r="AF52" i="5"/>
  <c r="CA52" i="5"/>
  <c r="AC27" i="4"/>
  <c r="CK51" i="5"/>
  <c r="AZ51" i="5"/>
  <c r="BO52" i="5"/>
  <c r="DF52" i="5"/>
  <c r="B53" i="5"/>
  <c r="N53" i="5" s="1"/>
  <c r="AA53" i="5"/>
  <c r="CX52" i="5"/>
  <c r="AB52" i="5"/>
  <c r="K53" i="5" s="1"/>
  <c r="W53" i="5" s="1"/>
  <c r="DH52" i="5"/>
  <c r="DL52" i="5"/>
  <c r="CR52" i="5"/>
  <c r="DT52" i="5"/>
  <c r="BN52" i="5"/>
  <c r="BW49" i="5"/>
  <c r="E50" i="5" s="1"/>
  <c r="Q50" i="5" s="1"/>
  <c r="BL52" i="5"/>
  <c r="BT51" i="5" s="1"/>
  <c r="BP51" i="5"/>
  <c r="BR51" i="5" s="1"/>
  <c r="BQ52" i="5"/>
  <c r="BK52" i="5"/>
  <c r="BF24" i="4"/>
  <c r="AV25" i="4"/>
  <c r="AX25" i="4" s="1"/>
  <c r="AY25" i="4" s="1"/>
  <c r="AZ25" i="4" s="1"/>
  <c r="Z27" i="4"/>
  <c r="BG23" i="4"/>
  <c r="E42" i="4" s="1"/>
  <c r="F50" i="5"/>
  <c r="R50" i="5" s="1"/>
  <c r="BV50" i="5"/>
  <c r="AE26" i="4"/>
  <c r="AG26" i="4" s="1"/>
  <c r="BE25" i="4"/>
  <c r="BA25" i="4"/>
  <c r="BC24" i="4"/>
  <c r="BD23" i="4"/>
  <c r="D42" i="4" s="1"/>
  <c r="AB27" i="4"/>
  <c r="AA27" i="4"/>
  <c r="AT26" i="4" s="1"/>
  <c r="AF27" i="4"/>
  <c r="Y27" i="4"/>
  <c r="AD27" i="4" s="1"/>
  <c r="BN27" i="4"/>
  <c r="BJ27" i="4"/>
  <c r="J45" i="4"/>
  <c r="CP52" i="5"/>
  <c r="BU52" i="5"/>
  <c r="AK52" i="5"/>
  <c r="AE53" i="5" s="1"/>
  <c r="AO52" i="5"/>
  <c r="AI52" i="5"/>
  <c r="BM52" i="5"/>
  <c r="AG52" i="5"/>
  <c r="AH52" i="5" s="1"/>
  <c r="BS50" i="5"/>
  <c r="AJ51" i="5"/>
  <c r="AN51" i="5" s="1"/>
  <c r="AP51" i="5" s="1"/>
  <c r="DD52" i="5"/>
  <c r="CN52" i="5"/>
  <c r="DV52" i="5"/>
  <c r="CQ52" i="5"/>
  <c r="DZ52" i="5"/>
  <c r="AD56" i="5"/>
  <c r="AC57" i="5"/>
  <c r="CT52" i="5"/>
  <c r="BJ57" i="5"/>
  <c r="DR52" i="5"/>
  <c r="DG51" i="5"/>
  <c r="DI51" i="5" s="1"/>
  <c r="DJ51" i="5" s="1"/>
  <c r="DN51" i="5" s="1"/>
  <c r="H52" i="5" s="1"/>
  <c r="T52" i="5" s="1"/>
  <c r="DP52" i="5"/>
  <c r="DB52" i="5"/>
  <c r="CT27" i="4"/>
  <c r="CZ26" i="4" s="1"/>
  <c r="DA25" i="4"/>
  <c r="J16" i="5"/>
  <c r="J31" i="5"/>
  <c r="J52" i="5"/>
  <c r="V52" i="5" s="1"/>
  <c r="J29" i="4"/>
  <c r="T28" i="4"/>
  <c r="CS27" i="4"/>
  <c r="CV27" i="4"/>
  <c r="DE52" i="5"/>
  <c r="CW27" i="4"/>
  <c r="CY27" i="4"/>
  <c r="BP27" i="4"/>
  <c r="X27" i="4"/>
  <c r="K46" i="4" s="1"/>
  <c r="EB49" i="5"/>
  <c r="I50" i="5" s="1"/>
  <c r="U50" i="5" s="1"/>
  <c r="CY50" i="5"/>
  <c r="CX53" i="5"/>
  <c r="BK27" i="4"/>
  <c r="CD26" i="4" s="1"/>
  <c r="DH22" i="4"/>
  <c r="I41" i="4" s="1"/>
  <c r="DD23" i="4"/>
  <c r="DE23" i="4" s="1"/>
  <c r="H42" i="4" s="1"/>
  <c r="DG25" i="4"/>
  <c r="CO52" i="5"/>
  <c r="CW51" i="5" s="1"/>
  <c r="CS50" i="5"/>
  <c r="CU50" i="5" s="1"/>
  <c r="CV50" i="5" s="1"/>
  <c r="CS51" i="5"/>
  <c r="CU51" i="5" s="1"/>
  <c r="CV51" i="5" s="1"/>
  <c r="DC52" i="5"/>
  <c r="DK51" i="5" s="1"/>
  <c r="DM51" i="5" s="1"/>
  <c r="DQ52" i="5"/>
  <c r="DY51" i="5" s="1"/>
  <c r="EA51" i="5" s="1"/>
  <c r="DS51" i="5"/>
  <c r="DU50" i="5"/>
  <c r="DH53" i="5"/>
  <c r="DF53" i="5"/>
  <c r="DB25" i="4"/>
  <c r="DC25" i="4" s="1"/>
  <c r="CQ22" i="4"/>
  <c r="G41" i="4" s="1"/>
  <c r="CN22" i="4"/>
  <c r="F41" i="4" s="1"/>
  <c r="CM23" i="4"/>
  <c r="CO24" i="4"/>
  <c r="BL26" i="4"/>
  <c r="BM26" i="4" s="1"/>
  <c r="BO26" i="4" s="1"/>
  <c r="BQ26" i="4" s="1"/>
  <c r="CI23" i="4"/>
  <c r="CJ23" i="4" s="1"/>
  <c r="CK24" i="4" s="1"/>
  <c r="CL24" i="4" s="1"/>
  <c r="CX26" i="4"/>
  <c r="DF26" i="4" s="1"/>
  <c r="W28" i="4"/>
  <c r="C46" i="4"/>
  <c r="CU27" i="4"/>
  <c r="CE52" i="5" l="1"/>
  <c r="CG52" i="5" s="1"/>
  <c r="CH52" i="5" s="1"/>
  <c r="CL52" i="5" s="1"/>
  <c r="AZ52" i="5"/>
  <c r="BD52" i="5" s="1"/>
  <c r="CK52" i="5"/>
  <c r="CB53" i="5"/>
  <c r="CC53" i="5" s="1"/>
  <c r="BD51" i="5"/>
  <c r="BF51" i="5" s="1"/>
  <c r="BC51" i="5"/>
  <c r="BG51" i="5" s="1"/>
  <c r="D52" i="5" s="1"/>
  <c r="P52" i="5" s="1"/>
  <c r="AC28" i="4"/>
  <c r="BZ53" i="5"/>
  <c r="CA53" i="5"/>
  <c r="AO53" i="5"/>
  <c r="CF53" i="5"/>
  <c r="CI53" i="5" s="1"/>
  <c r="CD53" i="5"/>
  <c r="CJ53" i="5"/>
  <c r="BA53" i="5"/>
  <c r="BE53" i="5"/>
  <c r="AY53" i="5"/>
  <c r="AF53" i="5"/>
  <c r="AU53" i="5"/>
  <c r="BB53" i="5" s="1"/>
  <c r="AW53" i="5"/>
  <c r="AX53" i="5" s="1"/>
  <c r="B54" i="5"/>
  <c r="BO53" i="5"/>
  <c r="BP52" i="5"/>
  <c r="BR52" i="5" s="1"/>
  <c r="CS52" i="5"/>
  <c r="CU52" i="5" s="1"/>
  <c r="CV52" i="5" s="1"/>
  <c r="AK53" i="5"/>
  <c r="AE54" i="5" s="1"/>
  <c r="BU53" i="5"/>
  <c r="DT53" i="5"/>
  <c r="DL53" i="5"/>
  <c r="AB53" i="5"/>
  <c r="K54" i="5" s="1"/>
  <c r="W54" i="5" s="1"/>
  <c r="DZ53" i="5"/>
  <c r="AA54" i="5"/>
  <c r="CT53" i="5"/>
  <c r="AI53" i="5"/>
  <c r="BN53" i="5"/>
  <c r="CR53" i="5"/>
  <c r="DV53" i="5"/>
  <c r="DD53" i="5"/>
  <c r="DD54" i="5" s="1"/>
  <c r="BQ53" i="5"/>
  <c r="DB53" i="5"/>
  <c r="DB54" i="5" s="1"/>
  <c r="BK53" i="5"/>
  <c r="BW50" i="5"/>
  <c r="E51" i="5" s="1"/>
  <c r="Q51" i="5" s="1"/>
  <c r="BL53" i="5"/>
  <c r="BT52" i="5" s="1"/>
  <c r="BE26" i="4"/>
  <c r="AV26" i="4"/>
  <c r="AX26" i="4" s="1"/>
  <c r="AY26" i="4" s="1"/>
  <c r="AZ26" i="4" s="1"/>
  <c r="BV51" i="5"/>
  <c r="F51" i="5"/>
  <c r="R51" i="5" s="1"/>
  <c r="BA26" i="4"/>
  <c r="BB26" i="4" s="1"/>
  <c r="CP53" i="5"/>
  <c r="BD24" i="4"/>
  <c r="D43" i="4" s="1"/>
  <c r="BG24" i="4"/>
  <c r="E43" i="4" s="1"/>
  <c r="AB28" i="4"/>
  <c r="AA28" i="4"/>
  <c r="AT27" i="4" s="1"/>
  <c r="Z28" i="4"/>
  <c r="J46" i="4"/>
  <c r="AF28" i="4"/>
  <c r="BN28" i="4"/>
  <c r="Y28" i="4"/>
  <c r="AD28" i="4" s="1"/>
  <c r="BF25" i="4"/>
  <c r="BB25" i="4"/>
  <c r="BC25" i="4" s="1"/>
  <c r="BD25" i="4" s="1"/>
  <c r="D44" i="4" s="1"/>
  <c r="AE27" i="4"/>
  <c r="AG27" i="4" s="1"/>
  <c r="BJ28" i="4"/>
  <c r="AJ52" i="5"/>
  <c r="AN52" i="5" s="1"/>
  <c r="AP52" i="5" s="1"/>
  <c r="BS51" i="5"/>
  <c r="BM53" i="5"/>
  <c r="DR53" i="5"/>
  <c r="AG53" i="5"/>
  <c r="AH53" i="5" s="1"/>
  <c r="BU54" i="5"/>
  <c r="AK54" i="5"/>
  <c r="AO54" i="5"/>
  <c r="AI54" i="5"/>
  <c r="CN53" i="5"/>
  <c r="DP53" i="5"/>
  <c r="CQ53" i="5"/>
  <c r="AD57" i="5"/>
  <c r="AC58" i="5"/>
  <c r="DG52" i="5"/>
  <c r="DI52" i="5" s="1"/>
  <c r="DJ52" i="5" s="1"/>
  <c r="DN52" i="5" s="1"/>
  <c r="H53" i="5" s="1"/>
  <c r="T53" i="5" s="1"/>
  <c r="BJ58" i="5"/>
  <c r="DE53" i="5"/>
  <c r="DA26" i="4"/>
  <c r="CS28" i="4"/>
  <c r="J53" i="5"/>
  <c r="V53" i="5" s="1"/>
  <c r="J30" i="4"/>
  <c r="T29" i="4"/>
  <c r="J17" i="5"/>
  <c r="J32" i="5"/>
  <c r="CT28" i="4"/>
  <c r="CZ27" i="4" s="1"/>
  <c r="BP28" i="4"/>
  <c r="CY28" i="4"/>
  <c r="CW28" i="4"/>
  <c r="X28" i="4"/>
  <c r="K47" i="4" s="1"/>
  <c r="CV28" i="4"/>
  <c r="DL54" i="5"/>
  <c r="DZ54" i="5"/>
  <c r="CX54" i="5"/>
  <c r="CY51" i="5"/>
  <c r="CZ51" i="5"/>
  <c r="G52" i="5" s="1"/>
  <c r="S52" i="5" s="1"/>
  <c r="CZ50" i="5"/>
  <c r="G51" i="5" s="1"/>
  <c r="S51" i="5" s="1"/>
  <c r="N54" i="5"/>
  <c r="BK28" i="4"/>
  <c r="CD27" i="4" s="1"/>
  <c r="DD24" i="4"/>
  <c r="DH24" i="4" s="1"/>
  <c r="I43" i="4" s="1"/>
  <c r="DH23" i="4"/>
  <c r="I42" i="4" s="1"/>
  <c r="CP24" i="4"/>
  <c r="DB26" i="4"/>
  <c r="DC26" i="4" s="1"/>
  <c r="CO53" i="5"/>
  <c r="CW52" i="5" s="1"/>
  <c r="DC53" i="5"/>
  <c r="DK52" i="5" s="1"/>
  <c r="DM52" i="5" s="1"/>
  <c r="DQ53" i="5"/>
  <c r="DY52" i="5" s="1"/>
  <c r="EA52" i="5" s="1"/>
  <c r="DW50" i="5"/>
  <c r="DX50" i="5" s="1"/>
  <c r="DU51" i="5"/>
  <c r="DW51" i="5" s="1"/>
  <c r="DX51" i="5" s="1"/>
  <c r="DS52" i="5"/>
  <c r="B55" i="5"/>
  <c r="AA55" i="5"/>
  <c r="DV54" i="5"/>
  <c r="CT54" i="5"/>
  <c r="DT54" i="5"/>
  <c r="CR54" i="5"/>
  <c r="DH54" i="5"/>
  <c r="DF54" i="5"/>
  <c r="AB54" i="5"/>
  <c r="K55" i="5" s="1"/>
  <c r="W55" i="5" s="1"/>
  <c r="DG26" i="4"/>
  <c r="CQ23" i="4"/>
  <c r="G42" i="4" s="1"/>
  <c r="CN23" i="4"/>
  <c r="F42" i="4" s="1"/>
  <c r="CO25" i="4"/>
  <c r="CF24" i="4"/>
  <c r="CH24" i="4" s="1"/>
  <c r="BL27" i="4"/>
  <c r="BM27" i="4" s="1"/>
  <c r="BO27" i="4" s="1"/>
  <c r="BQ27" i="4" s="1"/>
  <c r="CX27" i="4"/>
  <c r="DF27" i="4" s="1"/>
  <c r="W29" i="4"/>
  <c r="C47" i="4"/>
  <c r="CU28" i="4"/>
  <c r="AE55" i="5" l="1"/>
  <c r="CE53" i="5"/>
  <c r="CG53" i="5" s="1"/>
  <c r="CH53" i="5" s="1"/>
  <c r="CL53" i="5" s="1"/>
  <c r="CB54" i="5"/>
  <c r="CC54" i="5" s="1"/>
  <c r="BC52" i="5"/>
  <c r="BG52" i="5" s="1"/>
  <c r="D53" i="5" s="1"/>
  <c r="P53" i="5" s="1"/>
  <c r="BF52" i="5"/>
  <c r="CF55" i="5"/>
  <c r="CD55" i="5"/>
  <c r="CJ55" i="5"/>
  <c r="BA55" i="5"/>
  <c r="AY55" i="5"/>
  <c r="BE55" i="5"/>
  <c r="AC29" i="4"/>
  <c r="AF54" i="5"/>
  <c r="AF55" i="5" s="1"/>
  <c r="CK53" i="5"/>
  <c r="CF54" i="5"/>
  <c r="CI54" i="5" s="1"/>
  <c r="CD54" i="5"/>
  <c r="CJ54" i="5"/>
  <c r="BE54" i="5"/>
  <c r="BA54" i="5"/>
  <c r="AY54" i="5"/>
  <c r="CA54" i="5"/>
  <c r="BZ54" i="5"/>
  <c r="AW54" i="5"/>
  <c r="AX54" i="5" s="1"/>
  <c r="AU54" i="5"/>
  <c r="BB54" i="5" s="1"/>
  <c r="AV54" i="5"/>
  <c r="AZ53" i="5"/>
  <c r="BQ54" i="5"/>
  <c r="BO54" i="5"/>
  <c r="AJ53" i="5"/>
  <c r="AN53" i="5" s="1"/>
  <c r="AP53" i="5" s="1"/>
  <c r="CN54" i="5"/>
  <c r="CN55" i="5" s="1"/>
  <c r="CP54" i="5"/>
  <c r="CP55" i="5" s="1"/>
  <c r="BN54" i="5"/>
  <c r="BK54" i="5"/>
  <c r="DP54" i="5"/>
  <c r="DP55" i="5" s="1"/>
  <c r="DR54" i="5"/>
  <c r="DR55" i="5" s="1"/>
  <c r="CS53" i="5"/>
  <c r="CU53" i="5" s="1"/>
  <c r="CV53" i="5" s="1"/>
  <c r="BQ55" i="5"/>
  <c r="BO55" i="5"/>
  <c r="BW51" i="5"/>
  <c r="E52" i="5" s="1"/>
  <c r="Q52" i="5" s="1"/>
  <c r="BL54" i="5"/>
  <c r="BT53" i="5" s="1"/>
  <c r="BP53" i="5"/>
  <c r="BR53" i="5" s="1"/>
  <c r="BS53" i="5" s="1"/>
  <c r="CS29" i="4"/>
  <c r="AL55" i="5"/>
  <c r="AV27" i="4"/>
  <c r="AX27" i="4" s="1"/>
  <c r="AY27" i="4" s="1"/>
  <c r="AZ27" i="4" s="1"/>
  <c r="BV52" i="5"/>
  <c r="BF26" i="4"/>
  <c r="F52" i="5"/>
  <c r="R52" i="5" s="1"/>
  <c r="J47" i="4"/>
  <c r="AG54" i="5"/>
  <c r="AH54" i="5" s="1"/>
  <c r="AJ54" i="5" s="1"/>
  <c r="AN54" i="5" s="1"/>
  <c r="AF29" i="4"/>
  <c r="BN29" i="4"/>
  <c r="Y29" i="4"/>
  <c r="AD29" i="4" s="1"/>
  <c r="AE28" i="4"/>
  <c r="AG28" i="4" s="1"/>
  <c r="BC26" i="4"/>
  <c r="BE27" i="4"/>
  <c r="BA27" i="4"/>
  <c r="BG25" i="4"/>
  <c r="E44" i="4" s="1"/>
  <c r="AA29" i="4"/>
  <c r="AT28" i="4" s="1"/>
  <c r="AB29" i="4"/>
  <c r="Z29" i="4"/>
  <c r="BJ29" i="4"/>
  <c r="BS52" i="5"/>
  <c r="BU55" i="5"/>
  <c r="AK55" i="5"/>
  <c r="AO55" i="5"/>
  <c r="AI55" i="5"/>
  <c r="BM54" i="5"/>
  <c r="CQ54" i="5"/>
  <c r="CS54" i="5" s="1"/>
  <c r="F53" i="5"/>
  <c r="R53" i="5" s="1"/>
  <c r="DG53" i="5"/>
  <c r="DI53" i="5" s="1"/>
  <c r="DJ53" i="5" s="1"/>
  <c r="DN53" i="5" s="1"/>
  <c r="H54" i="5" s="1"/>
  <c r="T54" i="5" s="1"/>
  <c r="AD58" i="5"/>
  <c r="AC59" i="5"/>
  <c r="BJ59" i="5"/>
  <c r="DE54" i="5"/>
  <c r="DA27" i="4"/>
  <c r="J18" i="5"/>
  <c r="J33" i="5"/>
  <c r="J54" i="5"/>
  <c r="V54" i="5" s="1"/>
  <c r="J31" i="4"/>
  <c r="T30" i="4"/>
  <c r="BP29" i="4"/>
  <c r="CY29" i="4"/>
  <c r="CW29" i="4"/>
  <c r="X29" i="4"/>
  <c r="K48" i="4" s="1"/>
  <c r="CT29" i="4"/>
  <c r="CZ28" i="4" s="1"/>
  <c r="CV29" i="4"/>
  <c r="DL55" i="5"/>
  <c r="DZ55" i="5"/>
  <c r="EB50" i="5"/>
  <c r="I51" i="5" s="1"/>
  <c r="U51" i="5" s="1"/>
  <c r="EB51" i="5"/>
  <c r="I52" i="5" s="1"/>
  <c r="U52" i="5" s="1"/>
  <c r="CX55" i="5"/>
  <c r="CY52" i="5"/>
  <c r="CZ52" i="5"/>
  <c r="G53" i="5" s="1"/>
  <c r="S53" i="5" s="1"/>
  <c r="N55" i="5"/>
  <c r="BK29" i="4"/>
  <c r="CD28" i="4" s="1"/>
  <c r="DE24" i="4"/>
  <c r="H43" i="4" s="1"/>
  <c r="DD25" i="4"/>
  <c r="DE25" i="4" s="1"/>
  <c r="H44" i="4" s="1"/>
  <c r="DG27" i="4"/>
  <c r="CO54" i="5"/>
  <c r="CW53" i="5" s="1"/>
  <c r="DC54" i="5"/>
  <c r="DK53" i="5" s="1"/>
  <c r="DM53" i="5" s="1"/>
  <c r="DQ54" i="5"/>
  <c r="DY53" i="5" s="1"/>
  <c r="EA53" i="5" s="1"/>
  <c r="DU52" i="5"/>
  <c r="DW52" i="5" s="1"/>
  <c r="DX52" i="5" s="1"/>
  <c r="DS53" i="5"/>
  <c r="DD55" i="5"/>
  <c r="DB55" i="5"/>
  <c r="B56" i="5"/>
  <c r="A45" i="5" s="1"/>
  <c r="DH55" i="5"/>
  <c r="DF55" i="5"/>
  <c r="AA56" i="5"/>
  <c r="DV55" i="5"/>
  <c r="CT55" i="5"/>
  <c r="CR55" i="5"/>
  <c r="DT55" i="5"/>
  <c r="AB55" i="5"/>
  <c r="DB27" i="4"/>
  <c r="DC27" i="4" s="1"/>
  <c r="CM24" i="4"/>
  <c r="BL28" i="4"/>
  <c r="BM28" i="4" s="1"/>
  <c r="BO28" i="4" s="1"/>
  <c r="BQ28" i="4" s="1"/>
  <c r="CO26" i="4"/>
  <c r="CU29" i="4"/>
  <c r="W30" i="4"/>
  <c r="C48" i="4"/>
  <c r="CX28" i="4"/>
  <c r="DF28" i="4" s="1"/>
  <c r="CE54" i="5" l="1"/>
  <c r="CG54" i="5" s="1"/>
  <c r="CH54" i="5" s="1"/>
  <c r="CL54" i="5" s="1"/>
  <c r="BZ55" i="5"/>
  <c r="BZ56" i="5" s="1"/>
  <c r="AV55" i="5"/>
  <c r="AV56" i="5" s="1"/>
  <c r="AC30" i="4"/>
  <c r="BD53" i="5"/>
  <c r="BF53" i="5" s="1"/>
  <c r="BC53" i="5"/>
  <c r="BG53" i="5" s="1"/>
  <c r="D54" i="5" s="1"/>
  <c r="P54" i="5" s="1"/>
  <c r="BK55" i="5"/>
  <c r="BK56" i="5" s="1"/>
  <c r="AW55" i="5"/>
  <c r="AX55" i="5" s="1"/>
  <c r="AZ55" i="5" s="1"/>
  <c r="BD55" i="5" s="1"/>
  <c r="AU55" i="5"/>
  <c r="BB55" i="5" s="1"/>
  <c r="BN55" i="5"/>
  <c r="AZ54" i="5"/>
  <c r="CF56" i="5"/>
  <c r="CI56" i="5" s="1"/>
  <c r="CJ56" i="5"/>
  <c r="BE56" i="5"/>
  <c r="BA56" i="5"/>
  <c r="AY56" i="5"/>
  <c r="CG56" i="5"/>
  <c r="AP54" i="5"/>
  <c r="CK54" i="5"/>
  <c r="CB55" i="5"/>
  <c r="CC55" i="5" s="1"/>
  <c r="CE55" i="5" s="1"/>
  <c r="CI55" i="5" s="1"/>
  <c r="CA55" i="5"/>
  <c r="CA56" i="5" s="1"/>
  <c r="CU54" i="5"/>
  <c r="CV54" i="5" s="1"/>
  <c r="BO56" i="5"/>
  <c r="K56" i="5"/>
  <c r="W56" i="5" s="1"/>
  <c r="CS30" i="4"/>
  <c r="BW53" i="5"/>
  <c r="E54" i="5" s="1"/>
  <c r="Q54" i="5" s="1"/>
  <c r="BW52" i="5"/>
  <c r="E53" i="5" s="1"/>
  <c r="Q53" i="5" s="1"/>
  <c r="BL55" i="5"/>
  <c r="BT54" i="5" s="1"/>
  <c r="BP54" i="5"/>
  <c r="BR54" i="5" s="1"/>
  <c r="BS54" i="5" s="1"/>
  <c r="BQ56" i="5"/>
  <c r="BV53" i="5"/>
  <c r="AV28" i="4"/>
  <c r="AX28" i="4" s="1"/>
  <c r="AY28" i="4" s="1"/>
  <c r="AZ28" i="4" s="1"/>
  <c r="J48" i="4"/>
  <c r="AE29" i="4"/>
  <c r="Z30" i="4"/>
  <c r="AG55" i="5"/>
  <c r="AH55" i="5" s="1"/>
  <c r="AJ55" i="5" s="1"/>
  <c r="AN55" i="5" s="1"/>
  <c r="AF30" i="4"/>
  <c r="BN30" i="4"/>
  <c r="Y30" i="4"/>
  <c r="AD30" i="4" s="1"/>
  <c r="BF27" i="4"/>
  <c r="BB27" i="4"/>
  <c r="BC27" i="4" s="1"/>
  <c r="BD27" i="4" s="1"/>
  <c r="D46" i="4" s="1"/>
  <c r="AB30" i="4"/>
  <c r="AA30" i="4"/>
  <c r="AT29" i="4" s="1"/>
  <c r="BD26" i="4"/>
  <c r="D45" i="4" s="1"/>
  <c r="BG26" i="4"/>
  <c r="E45" i="4" s="1"/>
  <c r="BE28" i="4"/>
  <c r="BA28" i="4"/>
  <c r="BJ30" i="4"/>
  <c r="BM55" i="5"/>
  <c r="AI56" i="5"/>
  <c r="BU56" i="5"/>
  <c r="AK56" i="5"/>
  <c r="AO56" i="5"/>
  <c r="CQ55" i="5"/>
  <c r="CS55" i="5" s="1"/>
  <c r="CQ56" i="5" s="1"/>
  <c r="DG54" i="5"/>
  <c r="DI54" i="5" s="1"/>
  <c r="DJ54" i="5" s="1"/>
  <c r="DN54" i="5" s="1"/>
  <c r="H55" i="5" s="1"/>
  <c r="T55" i="5" s="1"/>
  <c r="AD59" i="5"/>
  <c r="AC60" i="5"/>
  <c r="BJ60" i="5"/>
  <c r="DE55" i="5"/>
  <c r="DA28" i="4"/>
  <c r="J32" i="4"/>
  <c r="T31" i="4"/>
  <c r="J55" i="5"/>
  <c r="V55" i="5" s="1"/>
  <c r="J19" i="5"/>
  <c r="J34" i="5"/>
  <c r="CT30" i="4"/>
  <c r="CZ29" i="4" s="1"/>
  <c r="BP30" i="4"/>
  <c r="CY30" i="4"/>
  <c r="CW30" i="4"/>
  <c r="X30" i="4"/>
  <c r="K49" i="4" s="1"/>
  <c r="CV30" i="4"/>
  <c r="DL56" i="5"/>
  <c r="DZ56" i="5"/>
  <c r="EB52" i="5"/>
  <c r="I53" i="5" s="1"/>
  <c r="U53" i="5" s="1"/>
  <c r="CX56" i="5"/>
  <c r="CY53" i="5"/>
  <c r="CZ53" i="5"/>
  <c r="G54" i="5" s="1"/>
  <c r="S54" i="5" s="1"/>
  <c r="F54" i="5"/>
  <c r="R54" i="5" s="1"/>
  <c r="BK30" i="4"/>
  <c r="CD29" i="4" s="1"/>
  <c r="N56" i="5"/>
  <c r="DH25" i="4"/>
  <c r="I44" i="4" s="1"/>
  <c r="DD26" i="4"/>
  <c r="DH26" i="4" s="1"/>
  <c r="I45" i="4" s="1"/>
  <c r="CO55" i="5"/>
  <c r="CW54" i="5" s="1"/>
  <c r="DG28" i="4"/>
  <c r="DC55" i="5"/>
  <c r="DK54" i="5" s="1"/>
  <c r="DM54" i="5" s="1"/>
  <c r="DQ55" i="5"/>
  <c r="DY54" i="5" s="1"/>
  <c r="EA54" i="5" s="1"/>
  <c r="DS54" i="5"/>
  <c r="DU53" i="5"/>
  <c r="CN56" i="5"/>
  <c r="CP56" i="5"/>
  <c r="AA57" i="5"/>
  <c r="DV56" i="5"/>
  <c r="CT56" i="5"/>
  <c r="B57" i="5"/>
  <c r="DH56" i="5"/>
  <c r="BY56" i="5"/>
  <c r="CD56" i="5" s="1"/>
  <c r="AB56" i="5"/>
  <c r="K57" i="5" s="1"/>
  <c r="W57" i="5" s="1"/>
  <c r="DD56" i="5"/>
  <c r="DB56" i="5"/>
  <c r="DP56" i="5"/>
  <c r="DR56" i="5"/>
  <c r="DB28" i="4"/>
  <c r="DC28" i="4" s="1"/>
  <c r="CQ24" i="4"/>
  <c r="G43" i="4" s="1"/>
  <c r="CN24" i="4"/>
  <c r="F43" i="4" s="1"/>
  <c r="BL29" i="4"/>
  <c r="BM29" i="4" s="1"/>
  <c r="BO29" i="4" s="1"/>
  <c r="BQ29" i="4" s="1"/>
  <c r="CO27" i="4"/>
  <c r="CI24" i="4"/>
  <c r="CJ24" i="4" s="1"/>
  <c r="CK25" i="4" s="1"/>
  <c r="CL25" i="4" s="1"/>
  <c r="CX29" i="4"/>
  <c r="DF29" i="4" s="1"/>
  <c r="C49" i="4"/>
  <c r="W31" i="4"/>
  <c r="CU30" i="4"/>
  <c r="CA57" i="5" l="1"/>
  <c r="CS31" i="4"/>
  <c r="AP55" i="5"/>
  <c r="BC55" i="5"/>
  <c r="AW56" i="5"/>
  <c r="AX56" i="5" s="1"/>
  <c r="AZ56" i="5" s="1"/>
  <c r="AU56" i="5"/>
  <c r="BB56" i="5" s="1"/>
  <c r="BZ57" i="5"/>
  <c r="CG57" i="5" s="1"/>
  <c r="CB56" i="5"/>
  <c r="CC56" i="5" s="1"/>
  <c r="CE56" i="5" s="1"/>
  <c r="CH56" i="5" s="1"/>
  <c r="BD54" i="5"/>
  <c r="BF54" i="5" s="1"/>
  <c r="BC54" i="5"/>
  <c r="BG54" i="5" s="1"/>
  <c r="D55" i="5" s="1"/>
  <c r="P55" i="5" s="1"/>
  <c r="CJ57" i="5"/>
  <c r="CF57" i="5"/>
  <c r="CI57" i="5" s="1"/>
  <c r="AY57" i="5"/>
  <c r="BE57" i="5"/>
  <c r="BA57" i="5"/>
  <c r="CG55" i="5"/>
  <c r="CH55" i="5" s="1"/>
  <c r="CL55" i="5" s="1"/>
  <c r="CK55" i="5"/>
  <c r="AV57" i="5"/>
  <c r="BO57" i="5"/>
  <c r="BK57" i="5"/>
  <c r="AM55" i="5"/>
  <c r="AQ55" i="5" s="1"/>
  <c r="C56" i="5" s="1"/>
  <c r="O56" i="5" s="1"/>
  <c r="BL56" i="5"/>
  <c r="BT55" i="5" s="1"/>
  <c r="BW54" i="5"/>
  <c r="E55" i="5" s="1"/>
  <c r="Q55" i="5" s="1"/>
  <c r="BP55" i="5"/>
  <c r="AG29" i="4"/>
  <c r="BE29" i="4" s="1"/>
  <c r="BQ57" i="5"/>
  <c r="BV54" i="5"/>
  <c r="AV29" i="4"/>
  <c r="AX29" i="4" s="1"/>
  <c r="AY29" i="4" s="1"/>
  <c r="AZ29" i="4" s="1"/>
  <c r="BA29" i="4"/>
  <c r="J49" i="4"/>
  <c r="AE30" i="4"/>
  <c r="AC31" i="4" s="1"/>
  <c r="BG27" i="4"/>
  <c r="E46" i="4" s="1"/>
  <c r="BI31" i="4"/>
  <c r="AU31" i="4"/>
  <c r="CE31" i="4"/>
  <c r="AF31" i="4"/>
  <c r="Y31" i="4"/>
  <c r="AD31" i="4" s="1"/>
  <c r="AA31" i="4"/>
  <c r="AT30" i="4" s="1"/>
  <c r="AB31" i="4"/>
  <c r="BF28" i="4"/>
  <c r="BB28" i="4"/>
  <c r="BC28" i="4" s="1"/>
  <c r="BD28" i="4" s="1"/>
  <c r="D47" i="4" s="1"/>
  <c r="Z31" i="4"/>
  <c r="BM56" i="5"/>
  <c r="BU57" i="5"/>
  <c r="AK57" i="5"/>
  <c r="AO57" i="5"/>
  <c r="AI57" i="5"/>
  <c r="AD60" i="5"/>
  <c r="AC61" i="5"/>
  <c r="DG55" i="5"/>
  <c r="DE56" i="5" s="1"/>
  <c r="BJ61" i="5"/>
  <c r="DF56" i="5"/>
  <c r="DA29" i="4"/>
  <c r="N57" i="5"/>
  <c r="J20" i="5"/>
  <c r="J36" i="5" s="1"/>
  <c r="J35" i="5"/>
  <c r="J33" i="4"/>
  <c r="T33" i="4" s="1"/>
  <c r="T32" i="4"/>
  <c r="J56" i="5"/>
  <c r="V56" i="5" s="1"/>
  <c r="CY31" i="4"/>
  <c r="CS32" i="4" s="1"/>
  <c r="BP31" i="4"/>
  <c r="X31" i="4"/>
  <c r="K50" i="4" s="1"/>
  <c r="CT31" i="4"/>
  <c r="DL57" i="5"/>
  <c r="DZ57" i="5"/>
  <c r="CZ54" i="5"/>
  <c r="G55" i="5" s="1"/>
  <c r="S55" i="5" s="1"/>
  <c r="CY54" i="5"/>
  <c r="CX57" i="5"/>
  <c r="F55" i="5"/>
  <c r="R55" i="5" s="1"/>
  <c r="DD27" i="4"/>
  <c r="DH27" i="4" s="1"/>
  <c r="I46" i="4" s="1"/>
  <c r="DE26" i="4"/>
  <c r="H45" i="4" s="1"/>
  <c r="CO56" i="5"/>
  <c r="CW55" i="5" s="1"/>
  <c r="CP25" i="4"/>
  <c r="CM25" i="4"/>
  <c r="DG29" i="4"/>
  <c r="DC56" i="5"/>
  <c r="DK55" i="5" s="1"/>
  <c r="DM55" i="5" s="1"/>
  <c r="DQ56" i="5"/>
  <c r="DY55" i="5" s="1"/>
  <c r="EA55" i="5" s="1"/>
  <c r="CU55" i="5"/>
  <c r="CV55" i="5" s="1"/>
  <c r="DW53" i="5"/>
  <c r="DX53" i="5" s="1"/>
  <c r="DU54" i="5"/>
  <c r="DW54" i="5" s="1"/>
  <c r="DX54" i="5" s="1"/>
  <c r="DS55" i="5"/>
  <c r="DU55" i="5" s="1"/>
  <c r="DS56" i="5" s="1"/>
  <c r="DS57" i="5" s="1"/>
  <c r="CR56" i="5"/>
  <c r="CS56" i="5" s="1"/>
  <c r="DT56" i="5"/>
  <c r="DD57" i="5"/>
  <c r="DB57" i="5"/>
  <c r="CQ57" i="5"/>
  <c r="CN57" i="5"/>
  <c r="CP57" i="5"/>
  <c r="DP57" i="5"/>
  <c r="DR57" i="5"/>
  <c r="DV57" i="5"/>
  <c r="CT57" i="5"/>
  <c r="AB57" i="5"/>
  <c r="K58" i="5" s="1"/>
  <c r="W58" i="5" s="1"/>
  <c r="AA58" i="5"/>
  <c r="DH57" i="5"/>
  <c r="B58" i="5"/>
  <c r="BY57" i="5"/>
  <c r="CD57" i="5" s="1"/>
  <c r="DB29" i="4"/>
  <c r="DC29" i="4" s="1"/>
  <c r="CO29" i="4"/>
  <c r="BL30" i="4"/>
  <c r="BM30" i="4" s="1"/>
  <c r="BO30" i="4" s="1"/>
  <c r="CO28" i="4"/>
  <c r="CF25" i="4"/>
  <c r="CH25" i="4" s="1"/>
  <c r="CX30" i="4"/>
  <c r="DF30" i="4" s="1"/>
  <c r="W32" i="4"/>
  <c r="C50" i="4"/>
  <c r="B49" i="4" s="1"/>
  <c r="CU31" i="4"/>
  <c r="AV58" i="5" l="1"/>
  <c r="CK56" i="5"/>
  <c r="CK57" i="5" s="1"/>
  <c r="CL56" i="5"/>
  <c r="AW57" i="5"/>
  <c r="AX57" i="5" s="1"/>
  <c r="AZ57" i="5" s="1"/>
  <c r="AU57" i="5"/>
  <c r="BB57" i="5" s="1"/>
  <c r="BG55" i="5"/>
  <c r="D56" i="5" s="1"/>
  <c r="P56" i="5" s="1"/>
  <c r="BF55" i="5"/>
  <c r="BZ58" i="5"/>
  <c r="CG58" i="5" s="1"/>
  <c r="CJ58" i="5"/>
  <c r="CF58" i="5"/>
  <c r="CI58" i="5" s="1"/>
  <c r="BE58" i="5"/>
  <c r="BA58" i="5"/>
  <c r="AY58" i="5"/>
  <c r="CA58" i="5"/>
  <c r="CA59" i="5" s="1"/>
  <c r="BD56" i="5"/>
  <c r="BC56" i="5"/>
  <c r="CB57" i="5"/>
  <c r="CC57" i="5" s="1"/>
  <c r="CE57" i="5" s="1"/>
  <c r="CH57" i="5" s="1"/>
  <c r="BO58" i="5"/>
  <c r="AC32" i="4"/>
  <c r="BL57" i="5"/>
  <c r="BT56" i="5" s="1"/>
  <c r="BR55" i="5"/>
  <c r="BS55" i="5" s="1"/>
  <c r="BW55" i="5" s="1"/>
  <c r="E56" i="5" s="1"/>
  <c r="Q56" i="5" s="1"/>
  <c r="BN56" i="5"/>
  <c r="BN57" i="5" s="1"/>
  <c r="BN58" i="5" s="1"/>
  <c r="BF29" i="4"/>
  <c r="AG30" i="4"/>
  <c r="BE30" i="4" s="1"/>
  <c r="BQ58" i="5"/>
  <c r="BK58" i="5"/>
  <c r="BJ31" i="4"/>
  <c r="BJ32" i="4" s="1"/>
  <c r="BQ32" i="4" s="1"/>
  <c r="BQ30" i="4"/>
  <c r="BB29" i="4"/>
  <c r="BC29" i="4" s="1"/>
  <c r="BD29" i="4" s="1"/>
  <c r="D48" i="4" s="1"/>
  <c r="BA30" i="4"/>
  <c r="BV55" i="5"/>
  <c r="CW31" i="4"/>
  <c r="BN31" i="4"/>
  <c r="BI32" i="4"/>
  <c r="CE32" i="4"/>
  <c r="AF32" i="4"/>
  <c r="AU32" i="4"/>
  <c r="Y32" i="4"/>
  <c r="AD32" i="4" s="1"/>
  <c r="AE31" i="4"/>
  <c r="AG31" i="4" s="1"/>
  <c r="BG28" i="4"/>
  <c r="E47" i="4" s="1"/>
  <c r="Z32" i="4"/>
  <c r="AB32" i="4"/>
  <c r="AA32" i="4"/>
  <c r="AT31" i="4" s="1"/>
  <c r="BM57" i="5"/>
  <c r="AK58" i="5"/>
  <c r="AO58" i="5"/>
  <c r="BU58" i="5"/>
  <c r="AI58" i="5"/>
  <c r="DI55" i="5"/>
  <c r="DJ55" i="5" s="1"/>
  <c r="DN55" i="5" s="1"/>
  <c r="H56" i="5" s="1"/>
  <c r="T56" i="5" s="1"/>
  <c r="AD61" i="5"/>
  <c r="AC62" i="5"/>
  <c r="DG56" i="5"/>
  <c r="DI56" i="5" s="1"/>
  <c r="DJ56" i="5" s="1"/>
  <c r="DE57" i="5"/>
  <c r="DE58" i="5" s="1"/>
  <c r="BJ62" i="5"/>
  <c r="DF57" i="5"/>
  <c r="J57" i="5"/>
  <c r="V57" i="5" s="1"/>
  <c r="J50" i="4"/>
  <c r="CT32" i="4"/>
  <c r="CZ31" i="4" s="1"/>
  <c r="CY32" i="4"/>
  <c r="CS33" i="4" s="1"/>
  <c r="BP32" i="4"/>
  <c r="X32" i="4"/>
  <c r="K51" i="4" s="1"/>
  <c r="CZ30" i="4"/>
  <c r="DA30" i="4" s="1"/>
  <c r="DL58" i="5"/>
  <c r="DZ58" i="5"/>
  <c r="EB53" i="5"/>
  <c r="I54" i="5" s="1"/>
  <c r="U54" i="5" s="1"/>
  <c r="EB54" i="5"/>
  <c r="I55" i="5" s="1"/>
  <c r="U55" i="5" s="1"/>
  <c r="CX58" i="5"/>
  <c r="CZ55" i="5"/>
  <c r="G56" i="5" s="1"/>
  <c r="S56" i="5" s="1"/>
  <c r="CY55" i="5"/>
  <c r="F56" i="5"/>
  <c r="R56" i="5" s="1"/>
  <c r="N58" i="5"/>
  <c r="DD28" i="4"/>
  <c r="DH28" i="4" s="1"/>
  <c r="I47" i="4" s="1"/>
  <c r="DE27" i="4"/>
  <c r="H46" i="4" s="1"/>
  <c r="CO57" i="5"/>
  <c r="CW56" i="5" s="1"/>
  <c r="CV31" i="4"/>
  <c r="CV32" i="4" s="1"/>
  <c r="DG30" i="4"/>
  <c r="DC57" i="5"/>
  <c r="DK56" i="5" s="1"/>
  <c r="DM56" i="5" s="1"/>
  <c r="DQ57" i="5"/>
  <c r="DY56" i="5" s="1"/>
  <c r="EA56" i="5" s="1"/>
  <c r="DW55" i="5"/>
  <c r="DX55" i="5" s="1"/>
  <c r="DU56" i="5"/>
  <c r="DW56" i="5" s="1"/>
  <c r="DX56" i="5" s="1"/>
  <c r="CR57" i="5"/>
  <c r="CS57" i="5" s="1"/>
  <c r="DP58" i="5"/>
  <c r="DS58" i="5"/>
  <c r="DR58" i="5"/>
  <c r="DD58" i="5"/>
  <c r="DB58" i="5"/>
  <c r="DT57" i="5"/>
  <c r="DU57" i="5" s="1"/>
  <c r="CN58" i="5"/>
  <c r="CQ58" i="5"/>
  <c r="CP58" i="5"/>
  <c r="B59" i="5"/>
  <c r="DV58" i="5"/>
  <c r="CT58" i="5"/>
  <c r="AA59" i="5"/>
  <c r="DH58" i="5"/>
  <c r="BY58" i="5"/>
  <c r="CD58" i="5" s="1"/>
  <c r="AB58" i="5"/>
  <c r="K59" i="5" s="1"/>
  <c r="W59" i="5" s="1"/>
  <c r="CU56" i="5"/>
  <c r="CV56" i="5" s="1"/>
  <c r="DB30" i="4"/>
  <c r="DC30" i="4" s="1"/>
  <c r="CQ25" i="4"/>
  <c r="G44" i="4" s="1"/>
  <c r="CN25" i="4"/>
  <c r="F44" i="4" s="1"/>
  <c r="BL31" i="4"/>
  <c r="BM31" i="4" s="1"/>
  <c r="W33" i="4"/>
  <c r="C51" i="4"/>
  <c r="CU32" i="4"/>
  <c r="AW58" i="5" l="1"/>
  <c r="AX58" i="5" s="1"/>
  <c r="AZ58" i="5" s="1"/>
  <c r="BD58" i="5" s="1"/>
  <c r="BL58" i="5"/>
  <c r="BT57" i="5" s="1"/>
  <c r="BG56" i="5"/>
  <c r="CL57" i="5"/>
  <c r="AU58" i="5"/>
  <c r="BB58" i="5" s="1"/>
  <c r="BD57" i="5"/>
  <c r="BC57" i="5"/>
  <c r="CB58" i="5"/>
  <c r="CC58" i="5" s="1"/>
  <c r="CE58" i="5" s="1"/>
  <c r="CH58" i="5" s="1"/>
  <c r="CL58" i="5" s="1"/>
  <c r="AV59" i="5"/>
  <c r="BF56" i="5"/>
  <c r="CJ59" i="5"/>
  <c r="CF59" i="5"/>
  <c r="CI59" i="5" s="1"/>
  <c r="BA59" i="5"/>
  <c r="BE59" i="5"/>
  <c r="AY59" i="5"/>
  <c r="CK58" i="5"/>
  <c r="BZ59" i="5"/>
  <c r="CG59" i="5" s="1"/>
  <c r="BO59" i="5"/>
  <c r="AC33" i="4"/>
  <c r="BK59" i="5"/>
  <c r="BN59" i="5"/>
  <c r="BP56" i="5"/>
  <c r="BV56" i="5"/>
  <c r="BP57" i="5"/>
  <c r="BR57" i="5" s="1"/>
  <c r="BS57" i="5" s="1"/>
  <c r="BF30" i="4"/>
  <c r="BQ59" i="5"/>
  <c r="BK31" i="4"/>
  <c r="BQ31" i="4"/>
  <c r="E9" i="5"/>
  <c r="E25" i="5" s="1"/>
  <c r="BB30" i="4"/>
  <c r="BC30" i="4" s="1"/>
  <c r="BD30" i="4" s="1"/>
  <c r="BG29" i="4"/>
  <c r="E48" i="4" s="1"/>
  <c r="CW32" i="4"/>
  <c r="CX32" i="4" s="1"/>
  <c r="DF32" i="4" s="1"/>
  <c r="BN32" i="4"/>
  <c r="Z33" i="4"/>
  <c r="AA33" i="4"/>
  <c r="AT32" i="4" s="1"/>
  <c r="AB33" i="4"/>
  <c r="AE32" i="4"/>
  <c r="AG32" i="4" s="1"/>
  <c r="AU33" i="4"/>
  <c r="AF33" i="4"/>
  <c r="CE33" i="4"/>
  <c r="Y33" i="4"/>
  <c r="AD33" i="4" s="1"/>
  <c r="BM58" i="5"/>
  <c r="D57" i="5"/>
  <c r="P57" i="5" s="1"/>
  <c r="BU59" i="5"/>
  <c r="AK59" i="5"/>
  <c r="AO59" i="5"/>
  <c r="AI59" i="5"/>
  <c r="DG57" i="5"/>
  <c r="DI57" i="5" s="1"/>
  <c r="DJ57" i="5" s="1"/>
  <c r="DN57" i="5" s="1"/>
  <c r="BJ33" i="4"/>
  <c r="BQ33" i="4" s="1"/>
  <c r="AD62" i="5"/>
  <c r="AC63" i="5"/>
  <c r="BJ63" i="5"/>
  <c r="DT58" i="5"/>
  <c r="DU58" i="5" s="1"/>
  <c r="J51" i="4"/>
  <c r="DA31" i="4"/>
  <c r="J58" i="5"/>
  <c r="V58" i="5" s="1"/>
  <c r="CV33" i="4"/>
  <c r="BP33" i="4"/>
  <c r="CY33" i="4"/>
  <c r="CS34" i="4" s="1"/>
  <c r="BI33" i="4"/>
  <c r="CW33" i="4" s="1"/>
  <c r="X33" i="4"/>
  <c r="K52" i="4" s="1"/>
  <c r="CT33" i="4"/>
  <c r="CZ32" i="4" s="1"/>
  <c r="DL59" i="5"/>
  <c r="DZ59" i="5"/>
  <c r="EB55" i="5"/>
  <c r="I56" i="5" s="1"/>
  <c r="U56" i="5" s="1"/>
  <c r="EB56" i="5"/>
  <c r="I57" i="5" s="1"/>
  <c r="U57" i="5" s="1"/>
  <c r="DN56" i="5"/>
  <c r="H57" i="5" s="1"/>
  <c r="T57" i="5" s="1"/>
  <c r="CX59" i="5"/>
  <c r="CZ56" i="5"/>
  <c r="G57" i="5" s="1"/>
  <c r="S57" i="5" s="1"/>
  <c r="CY56" i="5"/>
  <c r="N59" i="5"/>
  <c r="DE28" i="4"/>
  <c r="H47" i="4" s="1"/>
  <c r="DD29" i="4"/>
  <c r="DH29" i="4" s="1"/>
  <c r="I48" i="4" s="1"/>
  <c r="CO58" i="5"/>
  <c r="CW57" i="5" s="1"/>
  <c r="DC58" i="5"/>
  <c r="DK57" i="5" s="1"/>
  <c r="DM57" i="5" s="1"/>
  <c r="DQ58" i="5"/>
  <c r="DY57" i="5" s="1"/>
  <c r="EA57" i="5" s="1"/>
  <c r="DF58" i="5"/>
  <c r="DG58" i="5" s="1"/>
  <c r="CR58" i="5"/>
  <c r="CS58" i="5" s="1"/>
  <c r="DW57" i="5"/>
  <c r="DX57" i="5" s="1"/>
  <c r="DE59" i="5"/>
  <c r="DD59" i="5"/>
  <c r="DB59" i="5"/>
  <c r="CQ59" i="5"/>
  <c r="CP59" i="5"/>
  <c r="CN59" i="5"/>
  <c r="CU57" i="5"/>
  <c r="CV57" i="5" s="1"/>
  <c r="DS59" i="5"/>
  <c r="DR59" i="5"/>
  <c r="DP59" i="5"/>
  <c r="B60" i="5"/>
  <c r="DH59" i="5"/>
  <c r="BY59" i="5"/>
  <c r="CD59" i="5" s="1"/>
  <c r="AA60" i="5"/>
  <c r="DV59" i="5"/>
  <c r="CT59" i="5"/>
  <c r="AB59" i="5"/>
  <c r="K60" i="5" s="1"/>
  <c r="W60" i="5" s="1"/>
  <c r="CX31" i="4"/>
  <c r="DF31" i="4" s="1"/>
  <c r="BL32" i="4"/>
  <c r="BM32" i="4" s="1"/>
  <c r="BO31" i="4"/>
  <c r="CO30" i="4"/>
  <c r="CI25" i="4"/>
  <c r="CJ25" i="4" s="1"/>
  <c r="CK26" i="4" s="1"/>
  <c r="CL26" i="4" s="1"/>
  <c r="CU33" i="4"/>
  <c r="W34" i="4"/>
  <c r="C52" i="4"/>
  <c r="BL59" i="5" l="1"/>
  <c r="BT58" i="5" s="1"/>
  <c r="AW59" i="5"/>
  <c r="AX59" i="5" s="1"/>
  <c r="BV57" i="5"/>
  <c r="CA60" i="5"/>
  <c r="BC58" i="5"/>
  <c r="AU59" i="5"/>
  <c r="BB59" i="5" s="1"/>
  <c r="CB59" i="5"/>
  <c r="CC59" i="5" s="1"/>
  <c r="CE59" i="5" s="1"/>
  <c r="CH59" i="5" s="1"/>
  <c r="CL59" i="5" s="1"/>
  <c r="AZ59" i="5"/>
  <c r="CF60" i="5"/>
  <c r="CI60" i="5" s="1"/>
  <c r="CJ60" i="5"/>
  <c r="BA60" i="5"/>
  <c r="BE60" i="5"/>
  <c r="AY60" i="5"/>
  <c r="BZ60" i="5"/>
  <c r="CG60" i="5" s="1"/>
  <c r="BG57" i="5"/>
  <c r="D58" i="5" s="1"/>
  <c r="P58" i="5" s="1"/>
  <c r="BF57" i="5"/>
  <c r="BF58" i="5" s="1"/>
  <c r="CK59" i="5"/>
  <c r="AV60" i="5"/>
  <c r="BO60" i="5"/>
  <c r="AC34" i="4"/>
  <c r="BN60" i="5"/>
  <c r="BR56" i="5"/>
  <c r="BS56" i="5" s="1"/>
  <c r="BW56" i="5" s="1"/>
  <c r="E57" i="5" s="1"/>
  <c r="Q57" i="5" s="1"/>
  <c r="BW57" i="5"/>
  <c r="E58" i="5" s="1"/>
  <c r="Q58" i="5" s="1"/>
  <c r="BP58" i="5"/>
  <c r="BR58" i="5" s="1"/>
  <c r="BS58" i="5" s="1"/>
  <c r="F57" i="5"/>
  <c r="R57" i="5" s="1"/>
  <c r="BQ60" i="5"/>
  <c r="BK60" i="5"/>
  <c r="CD30" i="4"/>
  <c r="BK32" i="4"/>
  <c r="D49" i="4"/>
  <c r="D22" i="4"/>
  <c r="N22" i="4" s="1"/>
  <c r="BG30" i="4"/>
  <c r="E49" i="4" s="1"/>
  <c r="BM59" i="5"/>
  <c r="Z34" i="4"/>
  <c r="AA34" i="4"/>
  <c r="AT33" i="4" s="1"/>
  <c r="AB34" i="4"/>
  <c r="BN33" i="4"/>
  <c r="AU34" i="4"/>
  <c r="AF34" i="4"/>
  <c r="CE34" i="4"/>
  <c r="Y34" i="4"/>
  <c r="AD34" i="4" s="1"/>
  <c r="AE33" i="4"/>
  <c r="AG33" i="4" s="1"/>
  <c r="BU60" i="5"/>
  <c r="AO60" i="5"/>
  <c r="AK60" i="5"/>
  <c r="AI60" i="5"/>
  <c r="BJ34" i="4"/>
  <c r="BQ34" i="4" s="1"/>
  <c r="AD63" i="5"/>
  <c r="AC64" i="5"/>
  <c r="BJ64" i="5"/>
  <c r="DF59" i="5"/>
  <c r="DG59" i="5" s="1"/>
  <c r="J52" i="4"/>
  <c r="DA32" i="4"/>
  <c r="J59" i="5"/>
  <c r="V59" i="5" s="1"/>
  <c r="BP34" i="4"/>
  <c r="CY34" i="4"/>
  <c r="CS35" i="4" s="1"/>
  <c r="X34" i="4"/>
  <c r="K53" i="4" s="1"/>
  <c r="BI34" i="4"/>
  <c r="CW34" i="4" s="1"/>
  <c r="CV34" i="4"/>
  <c r="CT34" i="4"/>
  <c r="CZ33" i="4" s="1"/>
  <c r="DL60" i="5"/>
  <c r="DZ60" i="5"/>
  <c r="EB57" i="5"/>
  <c r="I58" i="5" s="1"/>
  <c r="U58" i="5" s="1"/>
  <c r="H58" i="5"/>
  <c r="T58" i="5" s="1"/>
  <c r="CX60" i="5"/>
  <c r="CZ57" i="5"/>
  <c r="G58" i="5" s="1"/>
  <c r="S58" i="5" s="1"/>
  <c r="CY57" i="5"/>
  <c r="N60" i="5"/>
  <c r="DD30" i="4"/>
  <c r="DE30" i="4" s="1"/>
  <c r="H49" i="4" s="1"/>
  <c r="DE29" i="4"/>
  <c r="H48" i="4" s="1"/>
  <c r="CO59" i="5"/>
  <c r="CW58" i="5" s="1"/>
  <c r="CP26" i="4"/>
  <c r="CM26" i="4"/>
  <c r="DC59" i="5"/>
  <c r="DK58" i="5" s="1"/>
  <c r="DM58" i="5" s="1"/>
  <c r="DQ59" i="5"/>
  <c r="DY58" i="5" s="1"/>
  <c r="EA58" i="5" s="1"/>
  <c r="CR59" i="5"/>
  <c r="CS59" i="5" s="1"/>
  <c r="CU59" i="5" s="1"/>
  <c r="CV59" i="5" s="1"/>
  <c r="DV60" i="5"/>
  <c r="CT60" i="5"/>
  <c r="B61" i="5"/>
  <c r="AA61" i="5"/>
  <c r="DH60" i="5"/>
  <c r="BY60" i="5"/>
  <c r="CD60" i="5" s="1"/>
  <c r="AB60" i="5"/>
  <c r="K61" i="5" s="1"/>
  <c r="W61" i="5" s="1"/>
  <c r="DW58" i="5"/>
  <c r="DX58" i="5" s="1"/>
  <c r="EB58" i="5" s="1"/>
  <c r="CU58" i="5"/>
  <c r="CV58" i="5" s="1"/>
  <c r="DT59" i="5"/>
  <c r="DU59" i="5" s="1"/>
  <c r="DD60" i="5"/>
  <c r="DB60" i="5"/>
  <c r="DE60" i="5"/>
  <c r="CQ60" i="5"/>
  <c r="CN60" i="5"/>
  <c r="CP60" i="5"/>
  <c r="DP60" i="5"/>
  <c r="DS60" i="5"/>
  <c r="DR60" i="5"/>
  <c r="DI58" i="5"/>
  <c r="DJ58" i="5" s="1"/>
  <c r="DG31" i="4"/>
  <c r="DB31" i="4"/>
  <c r="DC31" i="4" s="1"/>
  <c r="DG32" i="4"/>
  <c r="DB32" i="4"/>
  <c r="DC32" i="4" s="1"/>
  <c r="BL33" i="4"/>
  <c r="BM33" i="4" s="1"/>
  <c r="BO32" i="4"/>
  <c r="CF26" i="4"/>
  <c r="CH26" i="4" s="1"/>
  <c r="CX33" i="4"/>
  <c r="DF33" i="4" s="1"/>
  <c r="W35" i="4"/>
  <c r="C53" i="4"/>
  <c r="CU34" i="4"/>
  <c r="AW60" i="5" l="1"/>
  <c r="AX60" i="5" s="1"/>
  <c r="BL60" i="5"/>
  <c r="BT59" i="5" s="1"/>
  <c r="BV58" i="5"/>
  <c r="AU60" i="5"/>
  <c r="BB60" i="5" s="1"/>
  <c r="AV61" i="5"/>
  <c r="CB60" i="5"/>
  <c r="CC60" i="5" s="1"/>
  <c r="CE60" i="5" s="1"/>
  <c r="CH60" i="5" s="1"/>
  <c r="CL60" i="5" s="1"/>
  <c r="BZ61" i="5"/>
  <c r="CG61" i="5" s="1"/>
  <c r="CF61" i="5"/>
  <c r="CI61" i="5" s="1"/>
  <c r="CJ61" i="5"/>
  <c r="BA61" i="5"/>
  <c r="AY61" i="5"/>
  <c r="BE61" i="5"/>
  <c r="BG58" i="5"/>
  <c r="D59" i="5" s="1"/>
  <c r="P59" i="5" s="1"/>
  <c r="AZ60" i="5"/>
  <c r="AW61" i="5"/>
  <c r="AX61" i="5" s="1"/>
  <c r="CA61" i="5"/>
  <c r="CA62" i="5" s="1"/>
  <c r="CK60" i="5"/>
  <c r="BD59" i="5"/>
  <c r="BF59" i="5" s="1"/>
  <c r="BC59" i="5"/>
  <c r="BG59" i="5" s="1"/>
  <c r="BO61" i="5"/>
  <c r="AC35" i="4"/>
  <c r="BK61" i="5"/>
  <c r="BL61" i="5"/>
  <c r="BT60" i="5" s="1"/>
  <c r="BN61" i="5"/>
  <c r="F58" i="5"/>
  <c r="R58" i="5" s="1"/>
  <c r="BW58" i="5"/>
  <c r="E59" i="5" s="1"/>
  <c r="Q59" i="5" s="1"/>
  <c r="BP59" i="5"/>
  <c r="BR59" i="5" s="1"/>
  <c r="BS59" i="5" s="1"/>
  <c r="BQ61" i="5"/>
  <c r="CD31" i="4"/>
  <c r="BK33" i="4"/>
  <c r="E22" i="4"/>
  <c r="O22" i="4" s="1"/>
  <c r="BM60" i="5"/>
  <c r="BN34" i="4"/>
  <c r="Z35" i="4"/>
  <c r="AA35" i="4"/>
  <c r="AT34" i="4" s="1"/>
  <c r="AB35" i="4"/>
  <c r="AF35" i="4"/>
  <c r="CE35" i="4"/>
  <c r="AU35" i="4"/>
  <c r="Y35" i="4"/>
  <c r="AD35" i="4" s="1"/>
  <c r="AE34" i="4"/>
  <c r="AG34" i="4" s="1"/>
  <c r="BJ35" i="4"/>
  <c r="BQ35" i="4" s="1"/>
  <c r="BU61" i="5"/>
  <c r="AK61" i="5"/>
  <c r="AO61" i="5"/>
  <c r="AI61" i="5"/>
  <c r="AD64" i="5"/>
  <c r="AC65" i="5"/>
  <c r="BJ65" i="5"/>
  <c r="DA33" i="4"/>
  <c r="J53" i="4"/>
  <c r="J60" i="5"/>
  <c r="V60" i="5" s="1"/>
  <c r="CV35" i="4"/>
  <c r="BP35" i="4"/>
  <c r="CY35" i="4"/>
  <c r="CS36" i="4" s="1"/>
  <c r="BI35" i="4"/>
  <c r="CW35" i="4" s="1"/>
  <c r="X35" i="4"/>
  <c r="K54" i="4" s="1"/>
  <c r="CT35" i="4"/>
  <c r="CZ34" i="4" s="1"/>
  <c r="DL61" i="5"/>
  <c r="DZ61" i="5"/>
  <c r="I59" i="5"/>
  <c r="U59" i="5" s="1"/>
  <c r="DN58" i="5"/>
  <c r="H59" i="5" s="1"/>
  <c r="T59" i="5" s="1"/>
  <c r="CX61" i="5"/>
  <c r="CZ58" i="5"/>
  <c r="G59" i="5" s="1"/>
  <c r="S59" i="5" s="1"/>
  <c r="CY58" i="5"/>
  <c r="DH30" i="4"/>
  <c r="I49" i="4" s="1"/>
  <c r="N61" i="5"/>
  <c r="CO60" i="5"/>
  <c r="CW59" i="5" s="1"/>
  <c r="DD31" i="4"/>
  <c r="DG33" i="4"/>
  <c r="DC60" i="5"/>
  <c r="DK59" i="5" s="1"/>
  <c r="DM59" i="5" s="1"/>
  <c r="DQ60" i="5"/>
  <c r="DY59" i="5" s="1"/>
  <c r="EA59" i="5" s="1"/>
  <c r="DF60" i="5"/>
  <c r="DG60" i="5" s="1"/>
  <c r="CR60" i="5"/>
  <c r="CS60" i="5" s="1"/>
  <c r="DI59" i="5"/>
  <c r="DJ59" i="5" s="1"/>
  <c r="DW59" i="5"/>
  <c r="DX59" i="5" s="1"/>
  <c r="EB59" i="5" s="1"/>
  <c r="DT60" i="5"/>
  <c r="DU60" i="5" s="1"/>
  <c r="DB61" i="5"/>
  <c r="DD61" i="5"/>
  <c r="DE61" i="5"/>
  <c r="CQ61" i="5"/>
  <c r="CP61" i="5"/>
  <c r="CN61" i="5"/>
  <c r="B62" i="5"/>
  <c r="AA62" i="5"/>
  <c r="DH61" i="5"/>
  <c r="BY61" i="5"/>
  <c r="CD61" i="5" s="1"/>
  <c r="DV61" i="5"/>
  <c r="CT61" i="5"/>
  <c r="AB61" i="5"/>
  <c r="K62" i="5" s="1"/>
  <c r="W62" i="5" s="1"/>
  <c r="DS61" i="5"/>
  <c r="DR61" i="5"/>
  <c r="DP61" i="5"/>
  <c r="DB33" i="4"/>
  <c r="DC33" i="4" s="1"/>
  <c r="CN26" i="4"/>
  <c r="F45" i="4" s="1"/>
  <c r="CQ26" i="4"/>
  <c r="G45" i="4" s="1"/>
  <c r="BL34" i="4"/>
  <c r="BM34" i="4" s="1"/>
  <c r="BO33" i="4"/>
  <c r="CX34" i="4"/>
  <c r="DF34" i="4" s="1"/>
  <c r="C54" i="4"/>
  <c r="W36" i="4"/>
  <c r="CU35" i="4"/>
  <c r="BV59" i="5" l="1"/>
  <c r="AU61" i="5"/>
  <c r="BB61" i="5" s="1"/>
  <c r="BL62" i="5"/>
  <c r="BT61" i="5" s="1"/>
  <c r="CB61" i="5"/>
  <c r="CC61" i="5" s="1"/>
  <c r="CE61" i="5" s="1"/>
  <c r="CH61" i="5" s="1"/>
  <c r="CL61" i="5" s="1"/>
  <c r="AW62" i="5"/>
  <c r="AX62" i="5" s="1"/>
  <c r="BD60" i="5"/>
  <c r="BF60" i="5" s="1"/>
  <c r="BC60" i="5"/>
  <c r="BG60" i="5" s="1"/>
  <c r="AV62" i="5"/>
  <c r="CK61" i="5"/>
  <c r="BZ62" i="5"/>
  <c r="CG62" i="5" s="1"/>
  <c r="CF62" i="5"/>
  <c r="CI62" i="5" s="1"/>
  <c r="BA62" i="5"/>
  <c r="BE62" i="5"/>
  <c r="AY62" i="5"/>
  <c r="CJ62" i="5"/>
  <c r="CA63" i="5"/>
  <c r="AC36" i="4"/>
  <c r="AZ61" i="5"/>
  <c r="BO62" i="5"/>
  <c r="BN62" i="5"/>
  <c r="F59" i="5"/>
  <c r="R59" i="5" s="1"/>
  <c r="BW59" i="5"/>
  <c r="E60" i="5" s="1"/>
  <c r="Q60" i="5" s="1"/>
  <c r="BP60" i="5"/>
  <c r="BR60" i="5" s="1"/>
  <c r="BS60" i="5" s="1"/>
  <c r="BQ62" i="5"/>
  <c r="BK62" i="5"/>
  <c r="CD32" i="4"/>
  <c r="BK34" i="4"/>
  <c r="BM61" i="5"/>
  <c r="BV60" i="5"/>
  <c r="AE35" i="4"/>
  <c r="AG35" i="4" s="1"/>
  <c r="BN35" i="4"/>
  <c r="Z36" i="4"/>
  <c r="AA36" i="4"/>
  <c r="AT35" i="4" s="1"/>
  <c r="AB36" i="4"/>
  <c r="AF36" i="4"/>
  <c r="AU36" i="4"/>
  <c r="CE36" i="4"/>
  <c r="Y36" i="4"/>
  <c r="AD36" i="4" s="1"/>
  <c r="BJ36" i="4"/>
  <c r="BQ36" i="4" s="1"/>
  <c r="D60" i="5"/>
  <c r="P60" i="5" s="1"/>
  <c r="BU62" i="5"/>
  <c r="AK62" i="5"/>
  <c r="AO62" i="5"/>
  <c r="AI62" i="5"/>
  <c r="AD65" i="5"/>
  <c r="AC66" i="5"/>
  <c r="BJ66" i="5"/>
  <c r="DT61" i="5"/>
  <c r="DU61" i="5" s="1"/>
  <c r="DA34" i="4"/>
  <c r="J54" i="4"/>
  <c r="J61" i="5"/>
  <c r="V61" i="5" s="1"/>
  <c r="BP36" i="4"/>
  <c r="CY36" i="4"/>
  <c r="CS37" i="4" s="1"/>
  <c r="BI36" i="4"/>
  <c r="CW36" i="4" s="1"/>
  <c r="X36" i="4"/>
  <c r="K55" i="4" s="1"/>
  <c r="CT36" i="4"/>
  <c r="CZ35" i="4" s="1"/>
  <c r="CV36" i="4"/>
  <c r="DL62" i="5"/>
  <c r="DZ62" i="5"/>
  <c r="I60" i="5"/>
  <c r="U60" i="5" s="1"/>
  <c r="DN59" i="5"/>
  <c r="H60" i="5" s="1"/>
  <c r="T60" i="5" s="1"/>
  <c r="CZ59" i="5"/>
  <c r="G60" i="5" s="1"/>
  <c r="S60" i="5" s="1"/>
  <c r="CY59" i="5"/>
  <c r="CX62" i="5"/>
  <c r="CO61" i="5"/>
  <c r="CW60" i="5" s="1"/>
  <c r="N62" i="5"/>
  <c r="DE31" i="4"/>
  <c r="H50" i="4" s="1"/>
  <c r="DD32" i="4"/>
  <c r="DH32" i="4" s="1"/>
  <c r="I51" i="4" s="1"/>
  <c r="DH31" i="4"/>
  <c r="I50" i="4" s="1"/>
  <c r="DC61" i="5"/>
  <c r="DK60" i="5" s="1"/>
  <c r="DM60" i="5" s="1"/>
  <c r="DQ61" i="5"/>
  <c r="DY60" i="5" s="1"/>
  <c r="EA60" i="5" s="1"/>
  <c r="CU60" i="5"/>
  <c r="CV60" i="5" s="1"/>
  <c r="DW60" i="5"/>
  <c r="DX60" i="5" s="1"/>
  <c r="DE62" i="5"/>
  <c r="DD62" i="5"/>
  <c r="DB62" i="5"/>
  <c r="B63" i="5"/>
  <c r="AA63" i="5"/>
  <c r="DH62" i="5"/>
  <c r="BY62" i="5"/>
  <c r="CD62" i="5" s="1"/>
  <c r="DV62" i="5"/>
  <c r="CT62" i="5"/>
  <c r="AB62" i="5"/>
  <c r="K63" i="5" s="1"/>
  <c r="W63" i="5" s="1"/>
  <c r="DF61" i="5"/>
  <c r="DG61" i="5" s="1"/>
  <c r="CQ62" i="5"/>
  <c r="CP62" i="5"/>
  <c r="CN62" i="5"/>
  <c r="CR61" i="5"/>
  <c r="CS61" i="5" s="1"/>
  <c r="DS62" i="5"/>
  <c r="DR62" i="5"/>
  <c r="DP62" i="5"/>
  <c r="DI60" i="5"/>
  <c r="DJ60" i="5" s="1"/>
  <c r="DG34" i="4"/>
  <c r="DB34" i="4"/>
  <c r="DC34" i="4" s="1"/>
  <c r="BO34" i="4"/>
  <c r="BL35" i="4"/>
  <c r="BM35" i="4" s="1"/>
  <c r="CI26" i="4"/>
  <c r="CJ26" i="4" s="1"/>
  <c r="CK27" i="4" s="1"/>
  <c r="CL27" i="4" s="1"/>
  <c r="CU36" i="4"/>
  <c r="CX35" i="4"/>
  <c r="DF35" i="4" s="1"/>
  <c r="W37" i="4"/>
  <c r="C55" i="4"/>
  <c r="BL63" i="5" l="1"/>
  <c r="BT62" i="5" s="1"/>
  <c r="CB62" i="5"/>
  <c r="CC62" i="5" s="1"/>
  <c r="CE62" i="5" s="1"/>
  <c r="CH62" i="5" s="1"/>
  <c r="CL62" i="5" s="1"/>
  <c r="AU62" i="5"/>
  <c r="BB62" i="5" s="1"/>
  <c r="AC37" i="4"/>
  <c r="AV63" i="5"/>
  <c r="BD61" i="5"/>
  <c r="BF61" i="5" s="1"/>
  <c r="BC61" i="5"/>
  <c r="BG61" i="5" s="1"/>
  <c r="AW63" i="5"/>
  <c r="AX63" i="5" s="1"/>
  <c r="CK62" i="5"/>
  <c r="BZ63" i="5"/>
  <c r="CG63" i="5" s="1"/>
  <c r="AZ62" i="5"/>
  <c r="CF63" i="5"/>
  <c r="CI63" i="5" s="1"/>
  <c r="CJ63" i="5"/>
  <c r="BA63" i="5"/>
  <c r="AY63" i="5"/>
  <c r="BE63" i="5"/>
  <c r="BO63" i="5"/>
  <c r="F60" i="5"/>
  <c r="R60" i="5" s="1"/>
  <c r="BK63" i="5"/>
  <c r="BN63" i="5"/>
  <c r="BW60" i="5"/>
  <c r="E61" i="5" s="1"/>
  <c r="Q61" i="5" s="1"/>
  <c r="BP61" i="5"/>
  <c r="BR61" i="5" s="1"/>
  <c r="BS61" i="5" s="1"/>
  <c r="BQ63" i="5"/>
  <c r="BL64" i="5" s="1"/>
  <c r="BT63" i="5" s="1"/>
  <c r="D61" i="5"/>
  <c r="P61" i="5" s="1"/>
  <c r="CD33" i="4"/>
  <c r="BK35" i="4"/>
  <c r="BM62" i="5"/>
  <c r="BV61" i="5"/>
  <c r="AF37" i="4"/>
  <c r="CE37" i="4"/>
  <c r="AU37" i="4"/>
  <c r="Y37" i="4"/>
  <c r="AD37" i="4" s="1"/>
  <c r="AE36" i="4"/>
  <c r="AG36" i="4" s="1"/>
  <c r="Z37" i="4"/>
  <c r="AB37" i="4"/>
  <c r="AA37" i="4"/>
  <c r="AT36" i="4" s="1"/>
  <c r="BN36" i="4"/>
  <c r="BJ37" i="4"/>
  <c r="BQ37" i="4" s="1"/>
  <c r="BU63" i="5"/>
  <c r="AO63" i="5"/>
  <c r="AK63" i="5"/>
  <c r="AI63" i="5"/>
  <c r="AD66" i="5"/>
  <c r="AC67" i="5"/>
  <c r="BJ67" i="5"/>
  <c r="DF62" i="5"/>
  <c r="DG62" i="5" s="1"/>
  <c r="DA35" i="4"/>
  <c r="J55" i="4"/>
  <c r="J62" i="5"/>
  <c r="V62" i="5" s="1"/>
  <c r="CT37" i="4"/>
  <c r="CZ36" i="4" s="1"/>
  <c r="BP37" i="4"/>
  <c r="CY37" i="4"/>
  <c r="CS38" i="4" s="1"/>
  <c r="BI37" i="4"/>
  <c r="CW37" i="4" s="1"/>
  <c r="X37" i="4"/>
  <c r="K56" i="4" s="1"/>
  <c r="CV37" i="4"/>
  <c r="DL63" i="5"/>
  <c r="DZ63" i="5"/>
  <c r="EB60" i="5"/>
  <c r="I61" i="5" s="1"/>
  <c r="U61" i="5" s="1"/>
  <c r="DN60" i="5"/>
  <c r="H61" i="5" s="1"/>
  <c r="T61" i="5" s="1"/>
  <c r="CX63" i="5"/>
  <c r="CZ60" i="5"/>
  <c r="G61" i="5" s="1"/>
  <c r="S61" i="5" s="1"/>
  <c r="CY60" i="5"/>
  <c r="CO62" i="5"/>
  <c r="CW61" i="5" s="1"/>
  <c r="N63" i="5"/>
  <c r="DE32" i="4"/>
  <c r="H51" i="4" s="1"/>
  <c r="DD33" i="4"/>
  <c r="DE33" i="4" s="1"/>
  <c r="H52" i="4" s="1"/>
  <c r="CP27" i="4"/>
  <c r="CM27" i="4"/>
  <c r="CN27" i="4" s="1"/>
  <c r="F46" i="4" s="1"/>
  <c r="DG35" i="4"/>
  <c r="DQ62" i="5"/>
  <c r="DY61" i="5" s="1"/>
  <c r="EA61" i="5" s="1"/>
  <c r="DC62" i="5"/>
  <c r="DK61" i="5" s="1"/>
  <c r="DM61" i="5" s="1"/>
  <c r="CR62" i="5"/>
  <c r="CS62" i="5" s="1"/>
  <c r="DT62" i="5"/>
  <c r="DU62" i="5" s="1"/>
  <c r="DW61" i="5"/>
  <c r="DX61" i="5" s="1"/>
  <c r="DI61" i="5"/>
  <c r="DJ61" i="5" s="1"/>
  <c r="CP63" i="5"/>
  <c r="CN63" i="5"/>
  <c r="CQ63" i="5"/>
  <c r="B64" i="5"/>
  <c r="DH63" i="5"/>
  <c r="BY63" i="5"/>
  <c r="CD63" i="5" s="1"/>
  <c r="CT63" i="5"/>
  <c r="AA64" i="5"/>
  <c r="DV63" i="5"/>
  <c r="AB63" i="5"/>
  <c r="K64" i="5" s="1"/>
  <c r="W64" i="5" s="1"/>
  <c r="CU61" i="5"/>
  <c r="CV61" i="5" s="1"/>
  <c r="DR63" i="5"/>
  <c r="DP63" i="5"/>
  <c r="DS63" i="5"/>
  <c r="DB63" i="5"/>
  <c r="DE63" i="5"/>
  <c r="DD63" i="5"/>
  <c r="BO35" i="4"/>
  <c r="DB35" i="4"/>
  <c r="DC35" i="4" s="1"/>
  <c r="BL36" i="4"/>
  <c r="BM36" i="4" s="1"/>
  <c r="CF27" i="4"/>
  <c r="CH27" i="4" s="1"/>
  <c r="CX36" i="4"/>
  <c r="DF36" i="4" s="1"/>
  <c r="W38" i="4"/>
  <c r="C56" i="4"/>
  <c r="CU37" i="4"/>
  <c r="CB63" i="5" l="1"/>
  <c r="CC63" i="5" s="1"/>
  <c r="AU63" i="5"/>
  <c r="BB63" i="5" s="1"/>
  <c r="AV64" i="5"/>
  <c r="AZ63" i="5"/>
  <c r="BD63" i="5" s="1"/>
  <c r="BZ64" i="5"/>
  <c r="CG64" i="5" s="1"/>
  <c r="CB64" i="5"/>
  <c r="CC64" i="5" s="1"/>
  <c r="BD62" i="5"/>
  <c r="BF62" i="5" s="1"/>
  <c r="BC62" i="5"/>
  <c r="BG62" i="5" s="1"/>
  <c r="AC38" i="4"/>
  <c r="CK63" i="5"/>
  <c r="CE63" i="5"/>
  <c r="CH63" i="5" s="1"/>
  <c r="CL63" i="5" s="1"/>
  <c r="CJ64" i="5"/>
  <c r="CF64" i="5"/>
  <c r="CI64" i="5" s="1"/>
  <c r="BE64" i="5"/>
  <c r="BA64" i="5"/>
  <c r="AY64" i="5"/>
  <c r="AW64" i="5"/>
  <c r="AX64" i="5" s="1"/>
  <c r="CA64" i="5"/>
  <c r="CA65" i="5" s="1"/>
  <c r="BO64" i="5"/>
  <c r="F61" i="5"/>
  <c r="R61" i="5" s="1"/>
  <c r="BN64" i="5"/>
  <c r="BW61" i="5"/>
  <c r="E62" i="5" s="1"/>
  <c r="Q62" i="5" s="1"/>
  <c r="BP62" i="5"/>
  <c r="BR62" i="5" s="1"/>
  <c r="BS62" i="5" s="1"/>
  <c r="BW62" i="5" s="1"/>
  <c r="BQ64" i="5"/>
  <c r="BL65" i="5" s="1"/>
  <c r="BT64" i="5" s="1"/>
  <c r="BK64" i="5"/>
  <c r="D62" i="5"/>
  <c r="P62" i="5" s="1"/>
  <c r="CD34" i="4"/>
  <c r="BK36" i="4"/>
  <c r="BV62" i="5"/>
  <c r="BM63" i="5"/>
  <c r="BN37" i="4"/>
  <c r="AF38" i="4"/>
  <c r="CE38" i="4"/>
  <c r="AU38" i="4"/>
  <c r="Y38" i="4"/>
  <c r="AD38" i="4" s="1"/>
  <c r="AE37" i="4"/>
  <c r="AG37" i="4" s="1"/>
  <c r="Z38" i="4"/>
  <c r="AA38" i="4"/>
  <c r="AT37" i="4" s="1"/>
  <c r="AB38" i="4"/>
  <c r="BJ38" i="4"/>
  <c r="BQ38" i="4" s="1"/>
  <c r="BU64" i="5"/>
  <c r="AK64" i="5"/>
  <c r="AO64" i="5"/>
  <c r="AI64" i="5"/>
  <c r="F62" i="5"/>
  <c r="R62" i="5" s="1"/>
  <c r="AD67" i="5"/>
  <c r="AC68" i="5"/>
  <c r="BJ68" i="5"/>
  <c r="CR63" i="5"/>
  <c r="CS63" i="5" s="1"/>
  <c r="J56" i="4"/>
  <c r="DA36" i="4"/>
  <c r="J63" i="5"/>
  <c r="V63" i="5" s="1"/>
  <c r="BP38" i="4"/>
  <c r="CY38" i="4"/>
  <c r="CS39" i="4" s="1"/>
  <c r="BI38" i="4"/>
  <c r="CW38" i="4" s="1"/>
  <c r="X38" i="4"/>
  <c r="K57" i="4" s="1"/>
  <c r="CT38" i="4"/>
  <c r="CZ37" i="4" s="1"/>
  <c r="CV38" i="4"/>
  <c r="DL64" i="5"/>
  <c r="DZ64" i="5"/>
  <c r="EB61" i="5"/>
  <c r="I62" i="5" s="1"/>
  <c r="U62" i="5" s="1"/>
  <c r="DN61" i="5"/>
  <c r="H62" i="5" s="1"/>
  <c r="T62" i="5" s="1"/>
  <c r="CZ61" i="5"/>
  <c r="G62" i="5" s="1"/>
  <c r="S62" i="5" s="1"/>
  <c r="CY61" i="5"/>
  <c r="CX64" i="5"/>
  <c r="CO63" i="5"/>
  <c r="CW62" i="5" s="1"/>
  <c r="N64" i="5"/>
  <c r="DH33" i="4"/>
  <c r="I52" i="4" s="1"/>
  <c r="DD34" i="4"/>
  <c r="DE34" i="4" s="1"/>
  <c r="H53" i="4" s="1"/>
  <c r="DB36" i="4"/>
  <c r="DC36" i="4" s="1"/>
  <c r="DC63" i="5"/>
  <c r="DK62" i="5" s="1"/>
  <c r="DM62" i="5" s="1"/>
  <c r="DQ63" i="5"/>
  <c r="DY62" i="5" s="1"/>
  <c r="EA62" i="5" s="1"/>
  <c r="DW62" i="5"/>
  <c r="DX62" i="5" s="1"/>
  <c r="CU62" i="5"/>
  <c r="CV62" i="5" s="1"/>
  <c r="B65" i="5"/>
  <c r="AA65" i="5"/>
  <c r="DV64" i="5"/>
  <c r="DH64" i="5"/>
  <c r="BY64" i="5"/>
  <c r="CD64" i="5" s="1"/>
  <c r="CT64" i="5"/>
  <c r="AB64" i="5"/>
  <c r="K65" i="5" s="1"/>
  <c r="W65" i="5" s="1"/>
  <c r="DT63" i="5"/>
  <c r="DU63" i="5" s="1"/>
  <c r="DI62" i="5"/>
  <c r="DJ62" i="5" s="1"/>
  <c r="DN62" i="5" s="1"/>
  <c r="CN64" i="5"/>
  <c r="CP64" i="5"/>
  <c r="CQ64" i="5"/>
  <c r="DF63" i="5"/>
  <c r="DG63" i="5" s="1"/>
  <c r="DB64" i="5"/>
  <c r="DE64" i="5"/>
  <c r="DD64" i="5"/>
  <c r="DP64" i="5"/>
  <c r="DR64" i="5"/>
  <c r="DS64" i="5"/>
  <c r="BO36" i="4"/>
  <c r="BL37" i="4"/>
  <c r="BM37" i="4" s="1"/>
  <c r="DG36" i="4"/>
  <c r="CQ27" i="4"/>
  <c r="G46" i="4" s="1"/>
  <c r="CX37" i="4"/>
  <c r="DF37" i="4" s="1"/>
  <c r="W39" i="4"/>
  <c r="C57" i="4"/>
  <c r="CU38" i="4"/>
  <c r="AU64" i="5" l="1"/>
  <c r="BB64" i="5" s="1"/>
  <c r="BC63" i="5"/>
  <c r="AV65" i="5"/>
  <c r="CK64" i="5"/>
  <c r="AZ64" i="5"/>
  <c r="BD64" i="5" s="1"/>
  <c r="BF63" i="5"/>
  <c r="BZ65" i="5"/>
  <c r="CG65" i="5" s="1"/>
  <c r="CB65" i="5"/>
  <c r="CC65" i="5" s="1"/>
  <c r="BG63" i="5"/>
  <c r="AC39" i="4"/>
  <c r="CE64" i="5"/>
  <c r="CH64" i="5" s="1"/>
  <c r="CL64" i="5" s="1"/>
  <c r="AU65" i="5"/>
  <c r="BB65" i="5" s="1"/>
  <c r="AW65" i="5"/>
  <c r="AX65" i="5" s="1"/>
  <c r="CJ65" i="5"/>
  <c r="CF65" i="5"/>
  <c r="CI65" i="5" s="1"/>
  <c r="BE65" i="5"/>
  <c r="BA65" i="5"/>
  <c r="AY65" i="5"/>
  <c r="BO65" i="5"/>
  <c r="BK65" i="5"/>
  <c r="BN65" i="5"/>
  <c r="E63" i="5"/>
  <c r="Q63" i="5" s="1"/>
  <c r="BP63" i="5"/>
  <c r="BR63" i="5" s="1"/>
  <c r="BS63" i="5" s="1"/>
  <c r="BQ65" i="5"/>
  <c r="BL66" i="5" s="1"/>
  <c r="BT65" i="5" s="1"/>
  <c r="CD35" i="4"/>
  <c r="BK37" i="4"/>
  <c r="BK38" i="4" s="1"/>
  <c r="CD37" i="4" s="1"/>
  <c r="BV63" i="5"/>
  <c r="BM64" i="5"/>
  <c r="D63" i="5"/>
  <c r="P63" i="5" s="1"/>
  <c r="J57" i="4"/>
  <c r="Z39" i="4"/>
  <c r="AB39" i="4"/>
  <c r="AA39" i="4"/>
  <c r="AT38" i="4" s="1"/>
  <c r="AE38" i="4"/>
  <c r="AG38" i="4" s="1"/>
  <c r="AU39" i="4"/>
  <c r="CE39" i="4"/>
  <c r="AF39" i="4"/>
  <c r="Y39" i="4"/>
  <c r="AD39" i="4" s="1"/>
  <c r="BN38" i="4"/>
  <c r="BJ39" i="4"/>
  <c r="BQ39" i="4" s="1"/>
  <c r="BU65" i="5"/>
  <c r="AK65" i="5"/>
  <c r="AO65" i="5"/>
  <c r="AI65" i="5"/>
  <c r="F63" i="5"/>
  <c r="R63" i="5" s="1"/>
  <c r="AD68" i="5"/>
  <c r="AC69" i="5"/>
  <c r="BJ69" i="5"/>
  <c r="DF64" i="5"/>
  <c r="DG64" i="5" s="1"/>
  <c r="DA37" i="4"/>
  <c r="J64" i="5"/>
  <c r="V64" i="5" s="1"/>
  <c r="CY39" i="4"/>
  <c r="CS40" i="4" s="1"/>
  <c r="BP39" i="4"/>
  <c r="X39" i="4"/>
  <c r="K58" i="4" s="1"/>
  <c r="BI39" i="4"/>
  <c r="CW39" i="4" s="1"/>
  <c r="CV39" i="4"/>
  <c r="CT39" i="4"/>
  <c r="CZ38" i="4" s="1"/>
  <c r="DL65" i="5"/>
  <c r="DZ65" i="5"/>
  <c r="EB62" i="5"/>
  <c r="I63" i="5" s="1"/>
  <c r="U63" i="5" s="1"/>
  <c r="H63" i="5"/>
  <c r="T63" i="5" s="1"/>
  <c r="CX65" i="5"/>
  <c r="CZ62" i="5"/>
  <c r="G63" i="5" s="1"/>
  <c r="S63" i="5" s="1"/>
  <c r="CY62" i="5"/>
  <c r="CO64" i="5"/>
  <c r="CW63" i="5" s="1"/>
  <c r="N65" i="5"/>
  <c r="DH34" i="4"/>
  <c r="I53" i="4" s="1"/>
  <c r="DD35" i="4"/>
  <c r="DE35" i="4" s="1"/>
  <c r="H54" i="4" s="1"/>
  <c r="DG37" i="4"/>
  <c r="DC64" i="5"/>
  <c r="DK63" i="5" s="1"/>
  <c r="DM63" i="5" s="1"/>
  <c r="DQ64" i="5"/>
  <c r="DY63" i="5" s="1"/>
  <c r="EA63" i="5" s="1"/>
  <c r="DI63" i="5"/>
  <c r="DJ63" i="5" s="1"/>
  <c r="B66" i="5"/>
  <c r="DV65" i="5"/>
  <c r="AA66" i="5"/>
  <c r="DH65" i="5"/>
  <c r="BY65" i="5"/>
  <c r="CD65" i="5" s="1"/>
  <c r="CT65" i="5"/>
  <c r="AB65" i="5"/>
  <c r="K66" i="5" s="1"/>
  <c r="W66" i="5" s="1"/>
  <c r="CR64" i="5"/>
  <c r="CS64" i="5" s="1"/>
  <c r="CQ65" i="5"/>
  <c r="CN65" i="5"/>
  <c r="CP65" i="5"/>
  <c r="DT64" i="5"/>
  <c r="DU64" i="5" s="1"/>
  <c r="CU63" i="5"/>
  <c r="CV63" i="5" s="1"/>
  <c r="DE65" i="5"/>
  <c r="DD65" i="5"/>
  <c r="DB65" i="5"/>
  <c r="DW63" i="5"/>
  <c r="DX63" i="5" s="1"/>
  <c r="EB63" i="5" s="1"/>
  <c r="DS65" i="5"/>
  <c r="DP65" i="5"/>
  <c r="DR65" i="5"/>
  <c r="BL38" i="4"/>
  <c r="BM38" i="4" s="1"/>
  <c r="BO37" i="4"/>
  <c r="DB37" i="4"/>
  <c r="DC37" i="4" s="1"/>
  <c r="CI27" i="4"/>
  <c r="CJ27" i="4" s="1"/>
  <c r="CK28" i="4" s="1"/>
  <c r="CL28" i="4" s="1"/>
  <c r="CX38" i="4"/>
  <c r="DF38" i="4" s="1"/>
  <c r="CU39" i="4"/>
  <c r="W40" i="4"/>
  <c r="C58" i="4"/>
  <c r="BF64" i="5" l="1"/>
  <c r="BC64" i="5"/>
  <c r="BG64" i="5" s="1"/>
  <c r="D65" i="5" s="1"/>
  <c r="P65" i="5" s="1"/>
  <c r="BZ66" i="5"/>
  <c r="CG66" i="5" s="1"/>
  <c r="CB66" i="5"/>
  <c r="CC66" i="5" s="1"/>
  <c r="CF66" i="5"/>
  <c r="CI66" i="5" s="1"/>
  <c r="CJ66" i="5"/>
  <c r="BE66" i="5"/>
  <c r="BA66" i="5"/>
  <c r="AY66" i="5"/>
  <c r="CE65" i="5"/>
  <c r="CH65" i="5" s="1"/>
  <c r="CL65" i="5" s="1"/>
  <c r="AZ65" i="5"/>
  <c r="CK65" i="5"/>
  <c r="CA66" i="5"/>
  <c r="CA67" i="5" s="1"/>
  <c r="AU66" i="5"/>
  <c r="BB66" i="5" s="1"/>
  <c r="AW66" i="5"/>
  <c r="AX66" i="5" s="1"/>
  <c r="AV66" i="5"/>
  <c r="AV67" i="5" s="1"/>
  <c r="AC40" i="4"/>
  <c r="BO66" i="5"/>
  <c r="BK66" i="5"/>
  <c r="BN66" i="5"/>
  <c r="BW63" i="5"/>
  <c r="E64" i="5" s="1"/>
  <c r="Q64" i="5" s="1"/>
  <c r="BP64" i="5"/>
  <c r="BR64" i="5" s="1"/>
  <c r="BS64" i="5" s="1"/>
  <c r="BW64" i="5" s="1"/>
  <c r="BQ66" i="5"/>
  <c r="BL67" i="5" s="1"/>
  <c r="BT66" i="5" s="1"/>
  <c r="CD36" i="4"/>
  <c r="BK39" i="4"/>
  <c r="CD38" i="4" s="1"/>
  <c r="BV64" i="5"/>
  <c r="BM65" i="5"/>
  <c r="BP65" i="5" s="1"/>
  <c r="D64" i="5"/>
  <c r="P64" i="5" s="1"/>
  <c r="J58" i="4"/>
  <c r="Z40" i="4"/>
  <c r="AA40" i="4"/>
  <c r="AT39" i="4" s="1"/>
  <c r="AB40" i="4"/>
  <c r="CE40" i="4"/>
  <c r="AU40" i="4"/>
  <c r="AF40" i="4"/>
  <c r="Y40" i="4"/>
  <c r="AD40" i="4" s="1"/>
  <c r="AE39" i="4"/>
  <c r="AG39" i="4" s="1"/>
  <c r="BN39" i="4"/>
  <c r="BJ40" i="4"/>
  <c r="BQ40" i="4" s="1"/>
  <c r="AK66" i="5"/>
  <c r="AO66" i="5"/>
  <c r="BU66" i="5"/>
  <c r="AI66" i="5"/>
  <c r="F64" i="5"/>
  <c r="R64" i="5" s="1"/>
  <c r="AD69" i="5"/>
  <c r="AC70" i="5"/>
  <c r="BJ70" i="5"/>
  <c r="DA38" i="4"/>
  <c r="J65" i="5"/>
  <c r="V65" i="5" s="1"/>
  <c r="CV40" i="4"/>
  <c r="BP40" i="4"/>
  <c r="CY40" i="4"/>
  <c r="CS41" i="4" s="1"/>
  <c r="BI40" i="4"/>
  <c r="CW40" i="4" s="1"/>
  <c r="X40" i="4"/>
  <c r="K59" i="4" s="1"/>
  <c r="CT40" i="4"/>
  <c r="CZ39" i="4" s="1"/>
  <c r="DL66" i="5"/>
  <c r="DZ66" i="5"/>
  <c r="I64" i="5"/>
  <c r="U64" i="5" s="1"/>
  <c r="DN63" i="5"/>
  <c r="H64" i="5" s="1"/>
  <c r="T64" i="5" s="1"/>
  <c r="CZ63" i="5"/>
  <c r="G64" i="5" s="1"/>
  <c r="S64" i="5" s="1"/>
  <c r="CY63" i="5"/>
  <c r="CX66" i="5"/>
  <c r="CO65" i="5"/>
  <c r="CW64" i="5" s="1"/>
  <c r="N66" i="5"/>
  <c r="DD36" i="4"/>
  <c r="DE36" i="4" s="1"/>
  <c r="H55" i="4" s="1"/>
  <c r="DH35" i="4"/>
  <c r="I54" i="4" s="1"/>
  <c r="CP28" i="4"/>
  <c r="CM28" i="4"/>
  <c r="DB38" i="4"/>
  <c r="DC38" i="4" s="1"/>
  <c r="DC65" i="5"/>
  <c r="DK64" i="5" s="1"/>
  <c r="DM64" i="5" s="1"/>
  <c r="DQ65" i="5"/>
  <c r="DY64" i="5" s="1"/>
  <c r="EA64" i="5" s="1"/>
  <c r="DF65" i="5"/>
  <c r="DG65" i="5" s="1"/>
  <c r="CU64" i="5"/>
  <c r="CV64" i="5" s="1"/>
  <c r="DW64" i="5"/>
  <c r="DX64" i="5" s="1"/>
  <c r="EB64" i="5" s="1"/>
  <c r="DI64" i="5"/>
  <c r="DJ64" i="5" s="1"/>
  <c r="DN64" i="5" s="1"/>
  <c r="CP66" i="5"/>
  <c r="CQ66" i="5"/>
  <c r="CN66" i="5"/>
  <c r="DT65" i="5"/>
  <c r="DU65" i="5" s="1"/>
  <c r="CR65" i="5"/>
  <c r="CS65" i="5" s="1"/>
  <c r="DD66" i="5"/>
  <c r="DB66" i="5"/>
  <c r="DE66" i="5"/>
  <c r="DR66" i="5"/>
  <c r="DS66" i="5"/>
  <c r="DP66" i="5"/>
  <c r="B67" i="5"/>
  <c r="DV66" i="5"/>
  <c r="CT66" i="5"/>
  <c r="AA67" i="5"/>
  <c r="DH66" i="5"/>
  <c r="BY66" i="5"/>
  <c r="CD66" i="5" s="1"/>
  <c r="AB66" i="5"/>
  <c r="K67" i="5" s="1"/>
  <c r="W67" i="5" s="1"/>
  <c r="BO38" i="4"/>
  <c r="BL39" i="4"/>
  <c r="BM39" i="4" s="1"/>
  <c r="DG38" i="4"/>
  <c r="CF28" i="4"/>
  <c r="CH28" i="4" s="1"/>
  <c r="CX39" i="4"/>
  <c r="DF39" i="4" s="1"/>
  <c r="CU40" i="4"/>
  <c r="W41" i="4"/>
  <c r="C59" i="4"/>
  <c r="AZ66" i="5" l="1"/>
  <c r="BC66" i="5" s="1"/>
  <c r="AC41" i="4"/>
  <c r="CF67" i="5"/>
  <c r="CJ67" i="5"/>
  <c r="BA67" i="5"/>
  <c r="BE67" i="5"/>
  <c r="AY67" i="5"/>
  <c r="BB67" i="5"/>
  <c r="BD65" i="5"/>
  <c r="BF65" i="5" s="1"/>
  <c r="BC65" i="5"/>
  <c r="BG65" i="5" s="1"/>
  <c r="D66" i="5" s="1"/>
  <c r="P66" i="5" s="1"/>
  <c r="CK66" i="5"/>
  <c r="BZ67" i="5"/>
  <c r="CG67" i="5" s="1"/>
  <c r="CB67" i="5"/>
  <c r="CC67" i="5" s="1"/>
  <c r="CE66" i="5"/>
  <c r="CH66" i="5" s="1"/>
  <c r="CL66" i="5" s="1"/>
  <c r="BD66" i="5"/>
  <c r="AU67" i="5"/>
  <c r="AW67" i="5"/>
  <c r="AX67" i="5" s="1"/>
  <c r="BQ67" i="5"/>
  <c r="BL68" i="5" s="1"/>
  <c r="BT67" i="5" s="1"/>
  <c r="BO67" i="5"/>
  <c r="BN67" i="5"/>
  <c r="E65" i="5"/>
  <c r="Q65" i="5" s="1"/>
  <c r="BK67" i="5"/>
  <c r="BK40" i="4"/>
  <c r="CD39" i="4" s="1"/>
  <c r="AL67" i="5"/>
  <c r="BV65" i="5"/>
  <c r="BM66" i="5"/>
  <c r="BP66" i="5" s="1"/>
  <c r="J59" i="4"/>
  <c r="AE40" i="4"/>
  <c r="AG40" i="4" s="1"/>
  <c r="BN40" i="4"/>
  <c r="AU41" i="4"/>
  <c r="AF41" i="4"/>
  <c r="CE41" i="4"/>
  <c r="Y41" i="4"/>
  <c r="AD41" i="4" s="1"/>
  <c r="Z41" i="4"/>
  <c r="AB41" i="4"/>
  <c r="AA41" i="4"/>
  <c r="AT40" i="4" s="1"/>
  <c r="BJ41" i="4"/>
  <c r="BQ41" i="4" s="1"/>
  <c r="BU67" i="5"/>
  <c r="AO67" i="5"/>
  <c r="AK67" i="5"/>
  <c r="AI67" i="5"/>
  <c r="F65" i="5"/>
  <c r="R65" i="5" s="1"/>
  <c r="AD70" i="5"/>
  <c r="AC71" i="5"/>
  <c r="BJ71" i="5"/>
  <c r="DT66" i="5"/>
  <c r="DU66" i="5" s="1"/>
  <c r="DA39" i="4"/>
  <c r="J66" i="5"/>
  <c r="V66" i="5" s="1"/>
  <c r="BP41" i="4"/>
  <c r="CY41" i="4"/>
  <c r="CS42" i="4" s="1"/>
  <c r="X41" i="4"/>
  <c r="K60" i="4" s="1"/>
  <c r="BI41" i="4"/>
  <c r="CW41" i="4" s="1"/>
  <c r="CT41" i="4"/>
  <c r="CV41" i="4"/>
  <c r="DL67" i="5"/>
  <c r="DZ67" i="5"/>
  <c r="I65" i="5"/>
  <c r="U65" i="5" s="1"/>
  <c r="H65" i="5"/>
  <c r="T65" i="5" s="1"/>
  <c r="CY64" i="5"/>
  <c r="CZ64" i="5"/>
  <c r="G65" i="5" s="1"/>
  <c r="S65" i="5" s="1"/>
  <c r="CX67" i="5"/>
  <c r="CO66" i="5"/>
  <c r="CW65" i="5" s="1"/>
  <c r="N67" i="5"/>
  <c r="DH36" i="4"/>
  <c r="I55" i="4" s="1"/>
  <c r="DD37" i="4"/>
  <c r="DH37" i="4" s="1"/>
  <c r="I56" i="4" s="1"/>
  <c r="DG39" i="4"/>
  <c r="DC66" i="5"/>
  <c r="DK65" i="5" s="1"/>
  <c r="DM65" i="5" s="1"/>
  <c r="DQ66" i="5"/>
  <c r="DY65" i="5" s="1"/>
  <c r="EA65" i="5" s="1"/>
  <c r="DI65" i="5"/>
  <c r="DJ65" i="5" s="1"/>
  <c r="CR66" i="5"/>
  <c r="CS66" i="5" s="1"/>
  <c r="DW65" i="5"/>
  <c r="DX65" i="5" s="1"/>
  <c r="DS67" i="5"/>
  <c r="DR67" i="5"/>
  <c r="DP67" i="5"/>
  <c r="DF66" i="5"/>
  <c r="DG66" i="5" s="1"/>
  <c r="DE67" i="5"/>
  <c r="DD67" i="5"/>
  <c r="DB67" i="5"/>
  <c r="DV67" i="5"/>
  <c r="AA68" i="5"/>
  <c r="DH67" i="5"/>
  <c r="BY67" i="5"/>
  <c r="CD67" i="5" s="1"/>
  <c r="CT67" i="5"/>
  <c r="B68" i="5"/>
  <c r="A57" i="5" s="1"/>
  <c r="AB67" i="5"/>
  <c r="K68" i="5" s="1"/>
  <c r="W68" i="5" s="1"/>
  <c r="CU65" i="5"/>
  <c r="CV65" i="5" s="1"/>
  <c r="CN67" i="5"/>
  <c r="CQ67" i="5"/>
  <c r="CP67" i="5"/>
  <c r="BL40" i="4"/>
  <c r="BM40" i="4" s="1"/>
  <c r="BO39" i="4"/>
  <c r="DB39" i="4"/>
  <c r="DC39" i="4" s="1"/>
  <c r="CN28" i="4"/>
  <c r="F47" i="4" s="1"/>
  <c r="CQ28" i="4"/>
  <c r="G47" i="4" s="1"/>
  <c r="CX40" i="4"/>
  <c r="DF40" i="4" s="1"/>
  <c r="W42" i="4"/>
  <c r="C60" i="4"/>
  <c r="CU41" i="4"/>
  <c r="BF66" i="5" l="1"/>
  <c r="BG66" i="5"/>
  <c r="AZ67" i="5"/>
  <c r="BC67" i="5" s="1"/>
  <c r="CE67" i="5"/>
  <c r="CI67" i="5" s="1"/>
  <c r="BO68" i="5"/>
  <c r="CF68" i="5"/>
  <c r="CI68" i="5" s="1"/>
  <c r="BA68" i="5"/>
  <c r="CJ68" i="5"/>
  <c r="AY68" i="5"/>
  <c r="BE68" i="5"/>
  <c r="AC42" i="4"/>
  <c r="BZ68" i="5"/>
  <c r="CG68" i="5" s="1"/>
  <c r="CB68" i="5"/>
  <c r="CC68" i="5" s="1"/>
  <c r="CA68" i="5"/>
  <c r="CA69" i="5" s="1"/>
  <c r="BK68" i="5"/>
  <c r="BR65" i="5"/>
  <c r="BS65" i="5" s="1"/>
  <c r="BQ68" i="5"/>
  <c r="BL69" i="5" s="1"/>
  <c r="BT68" i="5" s="1"/>
  <c r="BK41" i="4"/>
  <c r="CD40" i="4" s="1"/>
  <c r="J60" i="4"/>
  <c r="BM67" i="5"/>
  <c r="BP67" i="5" s="1"/>
  <c r="BN68" i="5" s="1"/>
  <c r="BV66" i="5"/>
  <c r="D67" i="5"/>
  <c r="P67" i="5" s="1"/>
  <c r="AE41" i="4"/>
  <c r="AG41" i="4" s="1"/>
  <c r="Z42" i="4"/>
  <c r="AB42" i="4"/>
  <c r="AA42" i="4"/>
  <c r="AT41" i="4" s="1"/>
  <c r="AF42" i="4"/>
  <c r="Y42" i="4"/>
  <c r="AD42" i="4" s="1"/>
  <c r="BN41" i="4"/>
  <c r="BJ42" i="4"/>
  <c r="BQ42" i="4" s="1"/>
  <c r="BU68" i="5"/>
  <c r="AI68" i="5"/>
  <c r="AO68" i="5"/>
  <c r="AK68" i="5"/>
  <c r="F66" i="5"/>
  <c r="R66" i="5" s="1"/>
  <c r="AD71" i="5"/>
  <c r="AC72" i="5"/>
  <c r="BJ72" i="5"/>
  <c r="CR67" i="5"/>
  <c r="CS67" i="5" s="1"/>
  <c r="J67" i="5"/>
  <c r="V67" i="5" s="1"/>
  <c r="CT42" i="4"/>
  <c r="CZ41" i="4" s="1"/>
  <c r="CZ40" i="4"/>
  <c r="DA40" i="4" s="1"/>
  <c r="BP42" i="4"/>
  <c r="CY42" i="4"/>
  <c r="CS43" i="4" s="1"/>
  <c r="BI42" i="4"/>
  <c r="CW42" i="4" s="1"/>
  <c r="X42" i="4"/>
  <c r="K61" i="4" s="1"/>
  <c r="CV42" i="4"/>
  <c r="DL68" i="5"/>
  <c r="DZ68" i="5"/>
  <c r="EB65" i="5"/>
  <c r="I66" i="5" s="1"/>
  <c r="U66" i="5" s="1"/>
  <c r="DN65" i="5"/>
  <c r="H66" i="5" s="1"/>
  <c r="T66" i="5" s="1"/>
  <c r="CY65" i="5"/>
  <c r="CZ65" i="5"/>
  <c r="G66" i="5" s="1"/>
  <c r="S66" i="5" s="1"/>
  <c r="CX68" i="5"/>
  <c r="CO67" i="5"/>
  <c r="CW66" i="5" s="1"/>
  <c r="N68" i="5"/>
  <c r="DD38" i="4"/>
  <c r="DE38" i="4" s="1"/>
  <c r="H57" i="4" s="1"/>
  <c r="DE37" i="4"/>
  <c r="H56" i="4" s="1"/>
  <c r="DG40" i="4"/>
  <c r="DC67" i="5"/>
  <c r="DK66" i="5" s="1"/>
  <c r="DM66" i="5" s="1"/>
  <c r="DQ67" i="5"/>
  <c r="DY66" i="5" s="1"/>
  <c r="EA66" i="5" s="1"/>
  <c r="DF67" i="5"/>
  <c r="DG67" i="5" s="1"/>
  <c r="DE68" i="5" s="1"/>
  <c r="DT67" i="5"/>
  <c r="DU67" i="5" s="1"/>
  <c r="DI66" i="5"/>
  <c r="DJ66" i="5" s="1"/>
  <c r="DN66" i="5" s="1"/>
  <c r="DB68" i="5"/>
  <c r="DD68" i="5"/>
  <c r="CU66" i="5"/>
  <c r="CV66" i="5" s="1"/>
  <c r="B69" i="5"/>
  <c r="DV68" i="5"/>
  <c r="DH68" i="5"/>
  <c r="BY68" i="5"/>
  <c r="CD68" i="5" s="1"/>
  <c r="CT68" i="5"/>
  <c r="AA69" i="5"/>
  <c r="AB68" i="5"/>
  <c r="K69" i="5" s="1"/>
  <c r="W69" i="5" s="1"/>
  <c r="CN68" i="5"/>
  <c r="CP68" i="5"/>
  <c r="DP68" i="5"/>
  <c r="DR68" i="5"/>
  <c r="DW66" i="5"/>
  <c r="DX66" i="5" s="1"/>
  <c r="EB66" i="5" s="1"/>
  <c r="BO40" i="4"/>
  <c r="BL41" i="4"/>
  <c r="BM41" i="4" s="1"/>
  <c r="DB40" i="4"/>
  <c r="DC40" i="4" s="1"/>
  <c r="CI28" i="4"/>
  <c r="CJ28" i="4" s="1"/>
  <c r="CK29" i="4" s="1"/>
  <c r="CL29" i="4" s="1"/>
  <c r="CX41" i="4"/>
  <c r="DF41" i="4" s="1"/>
  <c r="CU42" i="4"/>
  <c r="W43" i="4"/>
  <c r="C61" i="4"/>
  <c r="BD67" i="5" l="1"/>
  <c r="BF67" i="5" s="1"/>
  <c r="BG67" i="5"/>
  <c r="D68" i="5" s="1"/>
  <c r="P68" i="5" s="1"/>
  <c r="CE68" i="5"/>
  <c r="CH68" i="5" s="1"/>
  <c r="BZ69" i="5"/>
  <c r="CG69" i="5" s="1"/>
  <c r="CB69" i="5"/>
  <c r="CC69" i="5" s="1"/>
  <c r="BO69" i="5"/>
  <c r="CF69" i="5"/>
  <c r="CJ69" i="5"/>
  <c r="AY69" i="5"/>
  <c r="BE69" i="5"/>
  <c r="BA69" i="5"/>
  <c r="CK67" i="5"/>
  <c r="CH67" i="5"/>
  <c r="CL67" i="5" s="1"/>
  <c r="BN69" i="5"/>
  <c r="BK69" i="5"/>
  <c r="BW65" i="5"/>
  <c r="E66" i="5" s="1"/>
  <c r="Q66" i="5" s="1"/>
  <c r="BR66" i="5"/>
  <c r="BS66" i="5" s="1"/>
  <c r="BV67" i="5"/>
  <c r="BR67" i="5"/>
  <c r="BS67" i="5" s="1"/>
  <c r="BW67" i="5" s="1"/>
  <c r="BQ69" i="5"/>
  <c r="BL70" i="5" s="1"/>
  <c r="BT69" i="5" s="1"/>
  <c r="BK42" i="4"/>
  <c r="CD41" i="4" s="1"/>
  <c r="J61" i="4"/>
  <c r="BM68" i="5"/>
  <c r="BP68" i="5" s="1"/>
  <c r="AE42" i="4"/>
  <c r="Z43" i="4"/>
  <c r="AA43" i="4"/>
  <c r="AT42" i="4" s="1"/>
  <c r="AB43" i="4"/>
  <c r="AW41" i="4"/>
  <c r="BN42" i="4"/>
  <c r="AF43" i="4"/>
  <c r="AU43" i="4"/>
  <c r="CE43" i="4"/>
  <c r="Y43" i="4"/>
  <c r="BU69" i="5"/>
  <c r="AK69" i="5"/>
  <c r="AO69" i="5"/>
  <c r="AI69" i="5"/>
  <c r="F67" i="5"/>
  <c r="R67" i="5" s="1"/>
  <c r="AD72" i="5"/>
  <c r="AC73" i="5"/>
  <c r="BJ73" i="5"/>
  <c r="CR68" i="5"/>
  <c r="N69" i="5"/>
  <c r="J68" i="5"/>
  <c r="V68" i="5" s="1"/>
  <c r="DA41" i="4"/>
  <c r="BP43" i="4"/>
  <c r="CY43" i="4"/>
  <c r="CS44" i="4" s="1"/>
  <c r="BI43" i="4"/>
  <c r="BN43" i="4" s="1"/>
  <c r="X43" i="4"/>
  <c r="K62" i="4" s="1"/>
  <c r="CT43" i="4"/>
  <c r="DL69" i="5"/>
  <c r="DZ69" i="5"/>
  <c r="I67" i="5"/>
  <c r="U67" i="5" s="1"/>
  <c r="H67" i="5"/>
  <c r="T67" i="5" s="1"/>
  <c r="CZ66" i="5"/>
  <c r="G67" i="5" s="1"/>
  <c r="S67" i="5" s="1"/>
  <c r="CY66" i="5"/>
  <c r="CX69" i="5"/>
  <c r="CO68" i="5"/>
  <c r="CW67" i="5" s="1"/>
  <c r="DH38" i="4"/>
  <c r="I57" i="4" s="1"/>
  <c r="DD39" i="4"/>
  <c r="DH39" i="4" s="1"/>
  <c r="I58" i="4" s="1"/>
  <c r="CP29" i="4"/>
  <c r="CM29" i="4"/>
  <c r="CN29" i="4" s="1"/>
  <c r="F48" i="4" s="1"/>
  <c r="DG41" i="4"/>
  <c r="DC68" i="5"/>
  <c r="DK67" i="5" s="1"/>
  <c r="DM67" i="5" s="1"/>
  <c r="DQ68" i="5"/>
  <c r="DY67" i="5" s="1"/>
  <c r="EA67" i="5" s="1"/>
  <c r="DT68" i="5"/>
  <c r="DS68" i="5"/>
  <c r="DS69" i="5" s="1"/>
  <c r="DW67" i="5"/>
  <c r="DX67" i="5" s="1"/>
  <c r="CU67" i="5"/>
  <c r="CV67" i="5" s="1"/>
  <c r="DB69" i="5"/>
  <c r="DE69" i="5"/>
  <c r="DD69" i="5"/>
  <c r="B70" i="5"/>
  <c r="AA70" i="5"/>
  <c r="BY69" i="5"/>
  <c r="CD69" i="5" s="1"/>
  <c r="DV69" i="5"/>
  <c r="DH69" i="5"/>
  <c r="CT69" i="5"/>
  <c r="AB69" i="5"/>
  <c r="K70" i="5" s="1"/>
  <c r="W70" i="5" s="1"/>
  <c r="DI67" i="5"/>
  <c r="DJ67" i="5" s="1"/>
  <c r="DR69" i="5"/>
  <c r="DP69" i="5"/>
  <c r="CQ68" i="5"/>
  <c r="CN69" i="5"/>
  <c r="CP69" i="5"/>
  <c r="DF68" i="5"/>
  <c r="DG68" i="5" s="1"/>
  <c r="BO41" i="4"/>
  <c r="BL42" i="4"/>
  <c r="BM42" i="4" s="1"/>
  <c r="DB41" i="4"/>
  <c r="DC41" i="4" s="1"/>
  <c r="CF29" i="4"/>
  <c r="CH29" i="4" s="1"/>
  <c r="CX42" i="4"/>
  <c r="DF42" i="4" s="1"/>
  <c r="CU43" i="4"/>
  <c r="W44" i="4"/>
  <c r="C62" i="4"/>
  <c r="B61" i="4" s="1"/>
  <c r="AV68" i="5" l="1"/>
  <c r="AV69" i="5" s="1"/>
  <c r="AV70" i="5" s="1"/>
  <c r="AV71" i="5" s="1"/>
  <c r="AU68" i="5"/>
  <c r="AW68" i="5" s="1"/>
  <c r="CA70" i="5"/>
  <c r="CI69" i="5"/>
  <c r="CK68" i="5"/>
  <c r="CL68" i="5"/>
  <c r="CE69" i="5"/>
  <c r="CH69" i="5" s="1"/>
  <c r="BO70" i="5"/>
  <c r="CF70" i="5"/>
  <c r="CI70" i="5" s="1"/>
  <c r="BA70" i="5"/>
  <c r="BE70" i="5"/>
  <c r="AY70" i="5"/>
  <c r="CJ70" i="5"/>
  <c r="BZ70" i="5"/>
  <c r="CG70" i="5" s="1"/>
  <c r="CB70" i="5"/>
  <c r="CC70" i="5" s="1"/>
  <c r="BN70" i="5"/>
  <c r="BW66" i="5"/>
  <c r="E67" i="5" s="1"/>
  <c r="Q67" i="5" s="1"/>
  <c r="AG42" i="4"/>
  <c r="AC43" i="4"/>
  <c r="AC44" i="4" s="1"/>
  <c r="BQ70" i="5"/>
  <c r="BL71" i="5" s="1"/>
  <c r="BT70" i="5" s="1"/>
  <c r="BK70" i="5"/>
  <c r="AQ43" i="4"/>
  <c r="AD43" i="4"/>
  <c r="BM69" i="5"/>
  <c r="BP69" i="5" s="1"/>
  <c r="Z44" i="4"/>
  <c r="AA44" i="4"/>
  <c r="AT43" i="4" s="1"/>
  <c r="AB44" i="4"/>
  <c r="AU44" i="4"/>
  <c r="AF44" i="4"/>
  <c r="CE44" i="4"/>
  <c r="Y44" i="4"/>
  <c r="E68" i="5"/>
  <c r="Q68" i="5" s="1"/>
  <c r="E10" i="5"/>
  <c r="E26" i="5" s="1"/>
  <c r="BV68" i="5"/>
  <c r="BU70" i="5"/>
  <c r="AK70" i="5"/>
  <c r="AO70" i="5"/>
  <c r="AI70" i="5"/>
  <c r="AD73" i="5"/>
  <c r="AC74" i="5"/>
  <c r="BJ74" i="5"/>
  <c r="CS68" i="5"/>
  <c r="CU68" i="5" s="1"/>
  <c r="CV68" i="5" s="1"/>
  <c r="DF69" i="5"/>
  <c r="DG69" i="5" s="1"/>
  <c r="J69" i="5"/>
  <c r="V69" i="5" s="1"/>
  <c r="J62" i="4"/>
  <c r="CT44" i="4"/>
  <c r="CZ43" i="4" s="1"/>
  <c r="CZ42" i="4"/>
  <c r="DA42" i="4" s="1"/>
  <c r="CW43" i="4"/>
  <c r="CA43" i="4"/>
  <c r="BP44" i="4"/>
  <c r="CY44" i="4"/>
  <c r="CS45" i="4" s="1"/>
  <c r="BI44" i="4"/>
  <c r="CA44" i="4" s="1"/>
  <c r="X44" i="4"/>
  <c r="K63" i="4" s="1"/>
  <c r="CO69" i="5"/>
  <c r="CW68" i="5" s="1"/>
  <c r="DL70" i="5"/>
  <c r="DZ70" i="5"/>
  <c r="EB67" i="5"/>
  <c r="I68" i="5" s="1"/>
  <c r="U68" i="5" s="1"/>
  <c r="DN67" i="5"/>
  <c r="H68" i="5" s="1"/>
  <c r="T68" i="5" s="1"/>
  <c r="CZ67" i="5"/>
  <c r="G68" i="5" s="1"/>
  <c r="S68" i="5" s="1"/>
  <c r="CY67" i="5"/>
  <c r="CX70" i="5"/>
  <c r="N70" i="5"/>
  <c r="DD40" i="4"/>
  <c r="DH40" i="4" s="1"/>
  <c r="I59" i="4" s="1"/>
  <c r="DE39" i="4"/>
  <c r="H58" i="4" s="1"/>
  <c r="CV43" i="4"/>
  <c r="CV44" i="4" s="1"/>
  <c r="DG42" i="4"/>
  <c r="DC69" i="5"/>
  <c r="DK68" i="5" s="1"/>
  <c r="DM68" i="5" s="1"/>
  <c r="DQ69" i="5"/>
  <c r="DY68" i="5" s="1"/>
  <c r="EA68" i="5" s="1"/>
  <c r="DU68" i="5"/>
  <c r="DW68" i="5" s="1"/>
  <c r="DX68" i="5" s="1"/>
  <c r="EB68" i="5" s="1"/>
  <c r="DI68" i="5"/>
  <c r="DJ68" i="5" s="1"/>
  <c r="CP70" i="5"/>
  <c r="CN70" i="5"/>
  <c r="DS70" i="5"/>
  <c r="DR70" i="5"/>
  <c r="DP70" i="5"/>
  <c r="CR69" i="5"/>
  <c r="DD70" i="5"/>
  <c r="DB70" i="5"/>
  <c r="DE70" i="5"/>
  <c r="DT69" i="5"/>
  <c r="DU69" i="5" s="1"/>
  <c r="CQ69" i="5"/>
  <c r="B71" i="5"/>
  <c r="AA71" i="5"/>
  <c r="DH70" i="5"/>
  <c r="BY70" i="5"/>
  <c r="CD70" i="5" s="1"/>
  <c r="DV70" i="5"/>
  <c r="CT70" i="5"/>
  <c r="AB70" i="5"/>
  <c r="K71" i="5" s="1"/>
  <c r="W71" i="5" s="1"/>
  <c r="BO42" i="4"/>
  <c r="DB42" i="4"/>
  <c r="DC42" i="4" s="1"/>
  <c r="CQ29" i="4"/>
  <c r="G48" i="4" s="1"/>
  <c r="CI29" i="4"/>
  <c r="CJ29" i="4" s="1"/>
  <c r="CK30" i="4" s="1"/>
  <c r="CL30" i="4" s="1"/>
  <c r="W45" i="4"/>
  <c r="C63" i="4"/>
  <c r="CU44" i="4"/>
  <c r="AU69" i="5" l="1"/>
  <c r="BB69" i="5" s="1"/>
  <c r="CK69" i="5"/>
  <c r="CK70" i="5" s="1"/>
  <c r="CL69" i="5"/>
  <c r="BZ71" i="5"/>
  <c r="CG71" i="5" s="1"/>
  <c r="CB71" i="5"/>
  <c r="CC71" i="5" s="1"/>
  <c r="AX68" i="5"/>
  <c r="AZ68" i="5" s="1"/>
  <c r="AW69" i="5"/>
  <c r="CE70" i="5"/>
  <c r="CH70" i="5" s="1"/>
  <c r="AU70" i="5"/>
  <c r="BB70" i="5" s="1"/>
  <c r="BO71" i="5"/>
  <c r="CJ71" i="5"/>
  <c r="CF71" i="5"/>
  <c r="CI71" i="5" s="1"/>
  <c r="AY71" i="5"/>
  <c r="BE71" i="5"/>
  <c r="BA71" i="5"/>
  <c r="AV72" i="5" s="1"/>
  <c r="CA71" i="5"/>
  <c r="CA72" i="5" s="1"/>
  <c r="AE43" i="4"/>
  <c r="AG43" i="4" s="1"/>
  <c r="BK71" i="5"/>
  <c r="AC45" i="4"/>
  <c r="BN71" i="5"/>
  <c r="BR68" i="5"/>
  <c r="BS68" i="5" s="1"/>
  <c r="BQ71" i="5"/>
  <c r="BL72" i="5" s="1"/>
  <c r="BT71" i="5" s="1"/>
  <c r="AQ44" i="4"/>
  <c r="AD44" i="4"/>
  <c r="AE44" i="4" s="1"/>
  <c r="AG44" i="4" s="1"/>
  <c r="BM70" i="5"/>
  <c r="BP70" i="5" s="1"/>
  <c r="Z45" i="4"/>
  <c r="AA45" i="4"/>
  <c r="AT44" i="4" s="1"/>
  <c r="AB45" i="4"/>
  <c r="AF45" i="4"/>
  <c r="AU45" i="4"/>
  <c r="CE45" i="4"/>
  <c r="Y45" i="4"/>
  <c r="BN44" i="4"/>
  <c r="AW43" i="4"/>
  <c r="BV69" i="5"/>
  <c r="BU71" i="5"/>
  <c r="AK71" i="5"/>
  <c r="AO71" i="5"/>
  <c r="AI71" i="5"/>
  <c r="F68" i="5"/>
  <c r="R68" i="5" s="1"/>
  <c r="BJ43" i="4"/>
  <c r="BQ43" i="4" s="1"/>
  <c r="AD74" i="5"/>
  <c r="AC75" i="5"/>
  <c r="BJ75" i="5"/>
  <c r="DT70" i="5"/>
  <c r="DU70" i="5" s="1"/>
  <c r="J70" i="5"/>
  <c r="V70" i="5" s="1"/>
  <c r="J63" i="4"/>
  <c r="DA43" i="4"/>
  <c r="CV45" i="4"/>
  <c r="BP45" i="4"/>
  <c r="CY45" i="4"/>
  <c r="CS46" i="4" s="1"/>
  <c r="BI45" i="4"/>
  <c r="BN45" i="4" s="1"/>
  <c r="X45" i="4"/>
  <c r="K64" i="4" s="1"/>
  <c r="CT45" i="4"/>
  <c r="CZ44" i="4" s="1"/>
  <c r="CW44" i="4"/>
  <c r="CO70" i="5"/>
  <c r="CW69" i="5" s="1"/>
  <c r="DL71" i="5"/>
  <c r="DZ71" i="5"/>
  <c r="I69" i="5"/>
  <c r="U69" i="5" s="1"/>
  <c r="DN68" i="5"/>
  <c r="H69" i="5" s="1"/>
  <c r="T69" i="5" s="1"/>
  <c r="CY68" i="5"/>
  <c r="CZ68" i="5"/>
  <c r="G69" i="5" s="1"/>
  <c r="S69" i="5" s="1"/>
  <c r="CX71" i="5"/>
  <c r="N71" i="5"/>
  <c r="DD41" i="4"/>
  <c r="DH41" i="4" s="1"/>
  <c r="I60" i="4" s="1"/>
  <c r="DE40" i="4"/>
  <c r="H59" i="4" s="1"/>
  <c r="CP30" i="4"/>
  <c r="DC70" i="5"/>
  <c r="DK69" i="5" s="1"/>
  <c r="DM69" i="5" s="1"/>
  <c r="DQ70" i="5"/>
  <c r="DY69" i="5" s="1"/>
  <c r="EA69" i="5" s="1"/>
  <c r="DF70" i="5"/>
  <c r="DG70" i="5" s="1"/>
  <c r="DI70" i="5" s="1"/>
  <c r="DJ70" i="5" s="1"/>
  <c r="CR70" i="5"/>
  <c r="DW69" i="5"/>
  <c r="DX69" i="5" s="1"/>
  <c r="DR71" i="5"/>
  <c r="DP71" i="5"/>
  <c r="DS71" i="5"/>
  <c r="CS69" i="5"/>
  <c r="CQ70" i="5"/>
  <c r="CP71" i="5"/>
  <c r="CN71" i="5"/>
  <c r="DE71" i="5"/>
  <c r="DD71" i="5"/>
  <c r="DB71" i="5"/>
  <c r="DH71" i="5"/>
  <c r="BY71" i="5"/>
  <c r="CD71" i="5" s="1"/>
  <c r="B72" i="5"/>
  <c r="AA72" i="5"/>
  <c r="DV71" i="5"/>
  <c r="CT71" i="5"/>
  <c r="AB71" i="5"/>
  <c r="K72" i="5" s="1"/>
  <c r="W72" i="5" s="1"/>
  <c r="DI69" i="5"/>
  <c r="DJ69" i="5" s="1"/>
  <c r="DN69" i="5" s="1"/>
  <c r="CF30" i="4"/>
  <c r="CX43" i="4"/>
  <c r="DF43" i="4" s="1"/>
  <c r="W46" i="4"/>
  <c r="C64" i="4"/>
  <c r="CU45" i="4"/>
  <c r="CL70" i="5" l="1"/>
  <c r="BZ72" i="5"/>
  <c r="CB72" i="5"/>
  <c r="CC72" i="5" s="1"/>
  <c r="AX69" i="5"/>
  <c r="AZ69" i="5" s="1"/>
  <c r="AW70" i="5"/>
  <c r="BB68" i="5"/>
  <c r="BC68" i="5" s="1"/>
  <c r="BG68" i="5" s="1"/>
  <c r="D69" i="5" s="1"/>
  <c r="P69" i="5" s="1"/>
  <c r="BD68" i="5"/>
  <c r="BF68" i="5" s="1"/>
  <c r="CK71" i="5"/>
  <c r="CE71" i="5"/>
  <c r="CH71" i="5" s="1"/>
  <c r="CL71" i="5" s="1"/>
  <c r="BO72" i="5"/>
  <c r="CF72" i="5"/>
  <c r="CI72" i="5" s="1"/>
  <c r="CJ72" i="5"/>
  <c r="BA72" i="5"/>
  <c r="BE72" i="5"/>
  <c r="AY72" i="5"/>
  <c r="CG72" i="5"/>
  <c r="AU71" i="5"/>
  <c r="BB71" i="5" s="1"/>
  <c r="BN72" i="5"/>
  <c r="AC46" i="4"/>
  <c r="BW68" i="5"/>
  <c r="E69" i="5" s="1"/>
  <c r="Q69" i="5" s="1"/>
  <c r="BR69" i="5"/>
  <c r="BS69" i="5" s="1"/>
  <c r="BQ72" i="5"/>
  <c r="BL73" i="5" s="1"/>
  <c r="BT72" i="5" s="1"/>
  <c r="BK72" i="5"/>
  <c r="AQ45" i="4"/>
  <c r="AD45" i="4"/>
  <c r="AE45" i="4" s="1"/>
  <c r="AG45" i="4" s="1"/>
  <c r="BM71" i="5"/>
  <c r="BP71" i="5" s="1"/>
  <c r="BV70" i="5"/>
  <c r="AU46" i="4"/>
  <c r="CE46" i="4"/>
  <c r="AF46" i="4"/>
  <c r="Y46" i="4"/>
  <c r="AW44" i="4"/>
  <c r="Z46" i="4"/>
  <c r="AA46" i="4"/>
  <c r="AT45" i="4" s="1"/>
  <c r="AB46" i="4"/>
  <c r="AK72" i="5"/>
  <c r="AO72" i="5"/>
  <c r="BU72" i="5"/>
  <c r="AI72" i="5"/>
  <c r="BK43" i="4"/>
  <c r="CD42" i="4" s="1"/>
  <c r="BJ44" i="4"/>
  <c r="BL43" i="4"/>
  <c r="AD75" i="5"/>
  <c r="AC76" i="5"/>
  <c r="BJ76" i="5"/>
  <c r="DF71" i="5"/>
  <c r="DG71" i="5" s="1"/>
  <c r="J64" i="4"/>
  <c r="J71" i="5"/>
  <c r="V71" i="5" s="1"/>
  <c r="CT46" i="4"/>
  <c r="CZ45" i="4" s="1"/>
  <c r="DA44" i="4"/>
  <c r="CO71" i="5"/>
  <c r="CW70" i="5" s="1"/>
  <c r="CW45" i="4"/>
  <c r="CA45" i="4"/>
  <c r="BP46" i="4"/>
  <c r="CY46" i="4"/>
  <c r="CS47" i="4" s="1"/>
  <c r="BI46" i="4"/>
  <c r="BN46" i="4" s="1"/>
  <c r="X46" i="4"/>
  <c r="K65" i="4" s="1"/>
  <c r="CV46" i="4"/>
  <c r="DL72" i="5"/>
  <c r="DZ72" i="5"/>
  <c r="EB69" i="5"/>
  <c r="I70" i="5" s="1"/>
  <c r="U70" i="5" s="1"/>
  <c r="DN70" i="5"/>
  <c r="H71" i="5" s="1"/>
  <c r="T71" i="5" s="1"/>
  <c r="H70" i="5"/>
  <c r="T70" i="5" s="1"/>
  <c r="CX72" i="5"/>
  <c r="CY69" i="5"/>
  <c r="N72" i="5"/>
  <c r="DE41" i="4"/>
  <c r="H60" i="4" s="1"/>
  <c r="DD42" i="4"/>
  <c r="DH42" i="4" s="1"/>
  <c r="I61" i="4" s="1"/>
  <c r="CG30" i="4"/>
  <c r="CH30" i="4" s="1"/>
  <c r="CI30" i="4" s="1"/>
  <c r="CJ30" i="4" s="1"/>
  <c r="DC71" i="5"/>
  <c r="DK70" i="5" s="1"/>
  <c r="DM70" i="5" s="1"/>
  <c r="DQ71" i="5"/>
  <c r="DY70" i="5" s="1"/>
  <c r="EA70" i="5" s="1"/>
  <c r="CS70" i="5"/>
  <c r="CU70" i="5" s="1"/>
  <c r="CV70" i="5" s="1"/>
  <c r="CU69" i="5"/>
  <c r="CV69" i="5" s="1"/>
  <c r="CZ69" i="5" s="1"/>
  <c r="DS72" i="5"/>
  <c r="DR72" i="5"/>
  <c r="DP72" i="5"/>
  <c r="DD72" i="5"/>
  <c r="DE72" i="5"/>
  <c r="DB72" i="5"/>
  <c r="DW70" i="5"/>
  <c r="DX70" i="5" s="1"/>
  <c r="DT71" i="5"/>
  <c r="DU71" i="5" s="1"/>
  <c r="CP72" i="5"/>
  <c r="CN72" i="5"/>
  <c r="CQ71" i="5"/>
  <c r="CR71" i="5"/>
  <c r="DH72" i="5"/>
  <c r="BY72" i="5"/>
  <c r="CD72" i="5" s="1"/>
  <c r="AA73" i="5"/>
  <c r="DV72" i="5"/>
  <c r="CT72" i="5"/>
  <c r="B73" i="5"/>
  <c r="AB72" i="5"/>
  <c r="K73" i="5" s="1"/>
  <c r="W73" i="5" s="1"/>
  <c r="DG43" i="4"/>
  <c r="DB43" i="4"/>
  <c r="DC43" i="4" s="1"/>
  <c r="CM30" i="4"/>
  <c r="CX44" i="4"/>
  <c r="DF44" i="4" s="1"/>
  <c r="C65" i="4"/>
  <c r="W47" i="4"/>
  <c r="CU46" i="4"/>
  <c r="AU72" i="5" l="1"/>
  <c r="BB72" i="5" s="1"/>
  <c r="BZ73" i="5"/>
  <c r="CG73" i="5" s="1"/>
  <c r="CB73" i="5"/>
  <c r="CC73" i="5" s="1"/>
  <c r="CA73" i="5"/>
  <c r="CK72" i="5"/>
  <c r="AX70" i="5"/>
  <c r="AZ70" i="5" s="1"/>
  <c r="AW71" i="5"/>
  <c r="BD69" i="5"/>
  <c r="BF69" i="5" s="1"/>
  <c r="BC69" i="5"/>
  <c r="BG69" i="5" s="1"/>
  <c r="D70" i="5" s="1"/>
  <c r="P70" i="5" s="1"/>
  <c r="CE72" i="5"/>
  <c r="CH72" i="5" s="1"/>
  <c r="CL72" i="5" s="1"/>
  <c r="BO73" i="5"/>
  <c r="CF73" i="5"/>
  <c r="CI73" i="5" s="1"/>
  <c r="CJ73" i="5"/>
  <c r="BE73" i="5"/>
  <c r="AY73" i="5"/>
  <c r="BA73" i="5"/>
  <c r="AV73" i="5"/>
  <c r="BK73" i="5"/>
  <c r="BN73" i="5"/>
  <c r="AC47" i="4"/>
  <c r="BW69" i="5"/>
  <c r="E70" i="5" s="1"/>
  <c r="Q70" i="5" s="1"/>
  <c r="BR70" i="5"/>
  <c r="BS70" i="5" s="1"/>
  <c r="BQ73" i="5"/>
  <c r="BL74" i="5" s="1"/>
  <c r="BT73" i="5" s="1"/>
  <c r="BJ45" i="4"/>
  <c r="BQ44" i="4"/>
  <c r="AQ46" i="4"/>
  <c r="AD46" i="4"/>
  <c r="AE46" i="4" s="1"/>
  <c r="AG46" i="4" s="1"/>
  <c r="BM72" i="5"/>
  <c r="BP72" i="5" s="1"/>
  <c r="BV71" i="5"/>
  <c r="AW45" i="4"/>
  <c r="Z47" i="4"/>
  <c r="AB47" i="4"/>
  <c r="AA47" i="4"/>
  <c r="AT46" i="4" s="1"/>
  <c r="AF47" i="4"/>
  <c r="AU47" i="4"/>
  <c r="CE47" i="4"/>
  <c r="Y47" i="4"/>
  <c r="BU73" i="5"/>
  <c r="AK73" i="5"/>
  <c r="AO73" i="5"/>
  <c r="AI73" i="5"/>
  <c r="F69" i="5"/>
  <c r="R69" i="5" s="1"/>
  <c r="BM43" i="4"/>
  <c r="BO43" i="4" s="1"/>
  <c r="BL44" i="4"/>
  <c r="BK44" i="4"/>
  <c r="CD43" i="4" s="1"/>
  <c r="AD76" i="5"/>
  <c r="AC77" i="5"/>
  <c r="BJ77" i="5"/>
  <c r="DF72" i="5"/>
  <c r="DG72" i="5" s="1"/>
  <c r="J65" i="4"/>
  <c r="J72" i="5"/>
  <c r="V72" i="5" s="1"/>
  <c r="DA45" i="4"/>
  <c r="CO72" i="5"/>
  <c r="CW71" i="5" s="1"/>
  <c r="CW46" i="4"/>
  <c r="CX46" i="4" s="1"/>
  <c r="DF46" i="4" s="1"/>
  <c r="CA46" i="4"/>
  <c r="CT47" i="4"/>
  <c r="CZ46" i="4" s="1"/>
  <c r="CV47" i="4"/>
  <c r="CY47" i="4"/>
  <c r="CS48" i="4" s="1"/>
  <c r="BP47" i="4"/>
  <c r="BI47" i="4"/>
  <c r="X47" i="4"/>
  <c r="K66" i="4" s="1"/>
  <c r="DL73" i="5"/>
  <c r="DZ73" i="5"/>
  <c r="EB70" i="5"/>
  <c r="I71" i="5" s="1"/>
  <c r="U71" i="5" s="1"/>
  <c r="CY70" i="5"/>
  <c r="CZ70" i="5"/>
  <c r="G71" i="5" s="1"/>
  <c r="S71" i="5" s="1"/>
  <c r="CX73" i="5"/>
  <c r="G70" i="5"/>
  <c r="S70" i="5" s="1"/>
  <c r="N73" i="5"/>
  <c r="DE42" i="4"/>
  <c r="H61" i="4" s="1"/>
  <c r="DD43" i="4"/>
  <c r="DC72" i="5"/>
  <c r="DK71" i="5" s="1"/>
  <c r="DM71" i="5" s="1"/>
  <c r="DQ72" i="5"/>
  <c r="DY71" i="5" s="1"/>
  <c r="EA71" i="5" s="1"/>
  <c r="DT72" i="5"/>
  <c r="DU72" i="5" s="1"/>
  <c r="CR72" i="5"/>
  <c r="DW71" i="5"/>
  <c r="DX71" i="5" s="1"/>
  <c r="CP73" i="5"/>
  <c r="CN73" i="5"/>
  <c r="DS73" i="5"/>
  <c r="DR73" i="5"/>
  <c r="DP73" i="5"/>
  <c r="B74" i="5"/>
  <c r="DH73" i="5"/>
  <c r="BY73" i="5"/>
  <c r="CD73" i="5" s="1"/>
  <c r="DV73" i="5"/>
  <c r="CT73" i="5"/>
  <c r="AA74" i="5"/>
  <c r="AB73" i="5"/>
  <c r="K74" i="5" s="1"/>
  <c r="W74" i="5" s="1"/>
  <c r="DD73" i="5"/>
  <c r="DE73" i="5"/>
  <c r="DB73" i="5"/>
  <c r="CS71" i="5"/>
  <c r="CQ72" i="5"/>
  <c r="DI71" i="5"/>
  <c r="DJ71" i="5" s="1"/>
  <c r="DG44" i="4"/>
  <c r="DB44" i="4"/>
  <c r="DC44" i="4" s="1"/>
  <c r="CQ30" i="4"/>
  <c r="G49" i="4" s="1"/>
  <c r="CN30" i="4"/>
  <c r="F49" i="4" s="1"/>
  <c r="BR31" i="4"/>
  <c r="BS43" i="4" s="1"/>
  <c r="BT55" i="4" s="1"/>
  <c r="BU67" i="4" s="1"/>
  <c r="CF31" i="4"/>
  <c r="CG31" i="4" s="1"/>
  <c r="CX45" i="4"/>
  <c r="DF45" i="4" s="1"/>
  <c r="W48" i="4"/>
  <c r="C66" i="4"/>
  <c r="CU47" i="4"/>
  <c r="AU73" i="5" l="1"/>
  <c r="BB73" i="5" s="1"/>
  <c r="AV74" i="5"/>
  <c r="CK73" i="5"/>
  <c r="BZ74" i="5"/>
  <c r="CG74" i="5" s="1"/>
  <c r="CB74" i="5"/>
  <c r="CC74" i="5" s="1"/>
  <c r="AX71" i="5"/>
  <c r="AZ71" i="5" s="1"/>
  <c r="AW72" i="5"/>
  <c r="BO74" i="5"/>
  <c r="CJ74" i="5"/>
  <c r="CF74" i="5"/>
  <c r="CI74" i="5" s="1"/>
  <c r="BA74" i="5"/>
  <c r="BE74" i="5"/>
  <c r="AY74" i="5"/>
  <c r="BD70" i="5"/>
  <c r="BF70" i="5" s="1"/>
  <c r="BC70" i="5"/>
  <c r="BG70" i="5" s="1"/>
  <c r="D71" i="5" s="1"/>
  <c r="P71" i="5" s="1"/>
  <c r="AU74" i="5"/>
  <c r="BB74" i="5" s="1"/>
  <c r="CA74" i="5"/>
  <c r="CE73" i="5"/>
  <c r="CH73" i="5" s="1"/>
  <c r="CL73" i="5" s="1"/>
  <c r="AC48" i="4"/>
  <c r="BN74" i="5"/>
  <c r="BW70" i="5"/>
  <c r="E71" i="5" s="1"/>
  <c r="Q71" i="5" s="1"/>
  <c r="BR71" i="5"/>
  <c r="BS71" i="5" s="1"/>
  <c r="BQ74" i="5"/>
  <c r="BL75" i="5" s="1"/>
  <c r="BT74" i="5" s="1"/>
  <c r="BK74" i="5"/>
  <c r="AQ47" i="4"/>
  <c r="AD47" i="4"/>
  <c r="AE47" i="4" s="1"/>
  <c r="AG47" i="4" s="1"/>
  <c r="BJ46" i="4"/>
  <c r="BQ45" i="4"/>
  <c r="BM73" i="5"/>
  <c r="BP73" i="5" s="1"/>
  <c r="BV72" i="5"/>
  <c r="BN47" i="4"/>
  <c r="AW46" i="4"/>
  <c r="AU48" i="4"/>
  <c r="AF48" i="4"/>
  <c r="CE48" i="4"/>
  <c r="Y48" i="4"/>
  <c r="Z48" i="4"/>
  <c r="AA48" i="4"/>
  <c r="AT47" i="4" s="1"/>
  <c r="AB48" i="4"/>
  <c r="AK74" i="5"/>
  <c r="AO74" i="5"/>
  <c r="BU74" i="5"/>
  <c r="AI74" i="5"/>
  <c r="F70" i="5"/>
  <c r="R70" i="5" s="1"/>
  <c r="BK45" i="4"/>
  <c r="CD44" i="4" s="1"/>
  <c r="BM44" i="4"/>
  <c r="BO44" i="4" s="1"/>
  <c r="BL45" i="4"/>
  <c r="AD77" i="5"/>
  <c r="AC78" i="5"/>
  <c r="BJ78" i="5"/>
  <c r="DF73" i="5"/>
  <c r="DG73" i="5" s="1"/>
  <c r="J66" i="4"/>
  <c r="DA46" i="4"/>
  <c r="J73" i="5"/>
  <c r="V73" i="5" s="1"/>
  <c r="CO73" i="5"/>
  <c r="CW72" i="5" s="1"/>
  <c r="CV48" i="4"/>
  <c r="CT48" i="4"/>
  <c r="CZ47" i="4" s="1"/>
  <c r="CY48" i="4"/>
  <c r="CS49" i="4" s="1"/>
  <c r="BP48" i="4"/>
  <c r="BI48" i="4"/>
  <c r="CA48" i="4" s="1"/>
  <c r="X48" i="4"/>
  <c r="K67" i="4" s="1"/>
  <c r="CW47" i="4"/>
  <c r="CX47" i="4" s="1"/>
  <c r="DF47" i="4" s="1"/>
  <c r="CA47" i="4"/>
  <c r="DL74" i="5"/>
  <c r="DZ74" i="5"/>
  <c r="EB71" i="5"/>
  <c r="I72" i="5" s="1"/>
  <c r="U72" i="5" s="1"/>
  <c r="DN71" i="5"/>
  <c r="H72" i="5" s="1"/>
  <c r="T72" i="5" s="1"/>
  <c r="CX74" i="5"/>
  <c r="CY71" i="5"/>
  <c r="N74" i="5"/>
  <c r="CH31" i="4"/>
  <c r="CI31" i="4" s="1"/>
  <c r="CJ31" i="4" s="1"/>
  <c r="CF32" i="4" s="1"/>
  <c r="DE43" i="4"/>
  <c r="H62" i="4" s="1"/>
  <c r="DH43" i="4"/>
  <c r="I62" i="4" s="1"/>
  <c r="DD44" i="4"/>
  <c r="DB46" i="4"/>
  <c r="DC46" i="4" s="1"/>
  <c r="DC73" i="5"/>
  <c r="DK72" i="5" s="1"/>
  <c r="DM72" i="5" s="1"/>
  <c r="DQ73" i="5"/>
  <c r="DY72" i="5" s="1"/>
  <c r="EA72" i="5" s="1"/>
  <c r="CS72" i="5"/>
  <c r="CU72" i="5" s="1"/>
  <c r="CV72" i="5" s="1"/>
  <c r="DT73" i="5"/>
  <c r="DU73" i="5" s="1"/>
  <c r="CR73" i="5"/>
  <c r="DW72" i="5"/>
  <c r="DX72" i="5" s="1"/>
  <c r="DS74" i="5"/>
  <c r="DR74" i="5"/>
  <c r="DP74" i="5"/>
  <c r="CP74" i="5"/>
  <c r="CN74" i="5"/>
  <c r="DI72" i="5"/>
  <c r="DJ72" i="5" s="1"/>
  <c r="DN72" i="5" s="1"/>
  <c r="CU71" i="5"/>
  <c r="CV71" i="5" s="1"/>
  <c r="DB74" i="5"/>
  <c r="DE74" i="5"/>
  <c r="DD74" i="5"/>
  <c r="CQ73" i="5"/>
  <c r="B75" i="5"/>
  <c r="DH74" i="5"/>
  <c r="BY74" i="5"/>
  <c r="CD74" i="5" s="1"/>
  <c r="CT74" i="5"/>
  <c r="AA75" i="5"/>
  <c r="DV74" i="5"/>
  <c r="AB74" i="5"/>
  <c r="K75" i="5" s="1"/>
  <c r="W75" i="5" s="1"/>
  <c r="DG46" i="4"/>
  <c r="DG45" i="4"/>
  <c r="DB45" i="4"/>
  <c r="DC45" i="4" s="1"/>
  <c r="BV31" i="4"/>
  <c r="BX31" i="4" s="1"/>
  <c r="CK31" i="4" s="1"/>
  <c r="CL31" i="4" s="1"/>
  <c r="CC43" i="4"/>
  <c r="C67" i="4"/>
  <c r="W49" i="4"/>
  <c r="CU48" i="4"/>
  <c r="CA75" i="5" l="1"/>
  <c r="CK74" i="5"/>
  <c r="BO75" i="5"/>
  <c r="CJ75" i="5"/>
  <c r="CF75" i="5"/>
  <c r="CI75" i="5" s="1"/>
  <c r="AY75" i="5"/>
  <c r="BE75" i="5"/>
  <c r="BA75" i="5"/>
  <c r="AX72" i="5"/>
  <c r="AZ72" i="5" s="1"/>
  <c r="AW73" i="5"/>
  <c r="BD71" i="5"/>
  <c r="BF71" i="5" s="1"/>
  <c r="BC71" i="5"/>
  <c r="BG71" i="5" s="1"/>
  <c r="D72" i="5" s="1"/>
  <c r="P72" i="5" s="1"/>
  <c r="CE74" i="5"/>
  <c r="CH74" i="5" s="1"/>
  <c r="CL74" i="5" s="1"/>
  <c r="AU75" i="5"/>
  <c r="BB75" i="5" s="1"/>
  <c r="BZ75" i="5"/>
  <c r="CG75" i="5" s="1"/>
  <c r="CB75" i="5"/>
  <c r="CC75" i="5" s="1"/>
  <c r="AV75" i="5"/>
  <c r="BK75" i="5"/>
  <c r="BN75" i="5"/>
  <c r="AC49" i="4"/>
  <c r="BW71" i="5"/>
  <c r="E72" i="5" s="1"/>
  <c r="Q72" i="5" s="1"/>
  <c r="BR72" i="5"/>
  <c r="BS72" i="5" s="1"/>
  <c r="BQ75" i="5"/>
  <c r="BL76" i="5" s="1"/>
  <c r="BT75" i="5" s="1"/>
  <c r="BQ46" i="4"/>
  <c r="BJ47" i="4"/>
  <c r="AQ48" i="4"/>
  <c r="AD48" i="4"/>
  <c r="AE48" i="4" s="1"/>
  <c r="AG48" i="4" s="1"/>
  <c r="BM74" i="5"/>
  <c r="BP74" i="5" s="1"/>
  <c r="AW47" i="4"/>
  <c r="Z49" i="4"/>
  <c r="AA49" i="4"/>
  <c r="AT48" i="4" s="1"/>
  <c r="AB49" i="4"/>
  <c r="AF49" i="4"/>
  <c r="CE49" i="4"/>
  <c r="AU49" i="4"/>
  <c r="Y49" i="4"/>
  <c r="BN48" i="4"/>
  <c r="J67" i="4"/>
  <c r="BU75" i="5"/>
  <c r="AK75" i="5"/>
  <c r="AO75" i="5"/>
  <c r="AI75" i="5"/>
  <c r="F71" i="5"/>
  <c r="R71" i="5" s="1"/>
  <c r="BK46" i="4"/>
  <c r="CD45" i="4" s="1"/>
  <c r="CG32" i="4"/>
  <c r="CH32" i="4" s="1"/>
  <c r="CI32" i="4" s="1"/>
  <c r="BR32" i="4"/>
  <c r="BS44" i="4" s="1"/>
  <c r="BT56" i="4" s="1"/>
  <c r="BU68" i="4" s="1"/>
  <c r="BM45" i="4"/>
  <c r="BO45" i="4" s="1"/>
  <c r="BL46" i="4"/>
  <c r="AD78" i="5"/>
  <c r="AC79" i="5"/>
  <c r="BJ79" i="5"/>
  <c r="CR74" i="5"/>
  <c r="DA47" i="4"/>
  <c r="CO74" i="5"/>
  <c r="CW73" i="5" s="1"/>
  <c r="J74" i="5"/>
  <c r="V74" i="5" s="1"/>
  <c r="CW48" i="4"/>
  <c r="CX48" i="4" s="1"/>
  <c r="DF48" i="4" s="1"/>
  <c r="CT49" i="4"/>
  <c r="CZ48" i="4" s="1"/>
  <c r="BP49" i="4"/>
  <c r="CY49" i="4"/>
  <c r="CS50" i="4" s="1"/>
  <c r="BI49" i="4"/>
  <c r="X49" i="4"/>
  <c r="K68" i="4" s="1"/>
  <c r="CV49" i="4"/>
  <c r="DL75" i="5"/>
  <c r="DZ75" i="5"/>
  <c r="EB72" i="5"/>
  <c r="I73" i="5" s="1"/>
  <c r="U73" i="5" s="1"/>
  <c r="H73" i="5"/>
  <c r="T73" i="5" s="1"/>
  <c r="CZ71" i="5"/>
  <c r="G72" i="5" s="1"/>
  <c r="S72" i="5" s="1"/>
  <c r="CY72" i="5"/>
  <c r="CZ72" i="5"/>
  <c r="G73" i="5" s="1"/>
  <c r="S73" i="5" s="1"/>
  <c r="CX75" i="5"/>
  <c r="N75" i="5"/>
  <c r="DE44" i="4"/>
  <c r="H63" i="4" s="1"/>
  <c r="DH44" i="4"/>
  <c r="I63" i="4" s="1"/>
  <c r="DD45" i="4"/>
  <c r="BY31" i="4"/>
  <c r="CO31" i="4" s="1"/>
  <c r="CP31" i="4" s="1"/>
  <c r="DG47" i="4"/>
  <c r="DC74" i="5"/>
  <c r="DK73" i="5" s="1"/>
  <c r="DM73" i="5" s="1"/>
  <c r="DQ74" i="5"/>
  <c r="DY73" i="5" s="1"/>
  <c r="EA73" i="5" s="1"/>
  <c r="CS73" i="5"/>
  <c r="CU73" i="5" s="1"/>
  <c r="CV73" i="5" s="1"/>
  <c r="DT74" i="5"/>
  <c r="DU74" i="5" s="1"/>
  <c r="DS75" i="5"/>
  <c r="DP75" i="5"/>
  <c r="DR75" i="5"/>
  <c r="DB75" i="5"/>
  <c r="DE75" i="5"/>
  <c r="DD75" i="5"/>
  <c r="DF74" i="5"/>
  <c r="DG74" i="5" s="1"/>
  <c r="AA76" i="5"/>
  <c r="DH75" i="5"/>
  <c r="BY75" i="5"/>
  <c r="CD75" i="5" s="1"/>
  <c r="B76" i="5"/>
  <c r="DV75" i="5"/>
  <c r="CT75" i="5"/>
  <c r="AB75" i="5"/>
  <c r="K76" i="5" s="1"/>
  <c r="W76" i="5" s="1"/>
  <c r="CN75" i="5"/>
  <c r="CP75" i="5"/>
  <c r="DW73" i="5"/>
  <c r="DX73" i="5" s="1"/>
  <c r="EB73" i="5" s="1"/>
  <c r="DI73" i="5"/>
  <c r="DJ73" i="5" s="1"/>
  <c r="CQ74" i="5"/>
  <c r="DB47" i="4"/>
  <c r="DC47" i="4" s="1"/>
  <c r="BZ43" i="4"/>
  <c r="CB43" i="4" s="1"/>
  <c r="CU49" i="4"/>
  <c r="W50" i="4"/>
  <c r="C68" i="4"/>
  <c r="CA76" i="5" l="1"/>
  <c r="AV76" i="5"/>
  <c r="CE75" i="5"/>
  <c r="CH75" i="5" s="1"/>
  <c r="CL75" i="5" s="1"/>
  <c r="AX73" i="5"/>
  <c r="AZ73" i="5" s="1"/>
  <c r="AW74" i="5"/>
  <c r="BZ76" i="5"/>
  <c r="CG76" i="5" s="1"/>
  <c r="CB76" i="5"/>
  <c r="CC76" i="5" s="1"/>
  <c r="BD72" i="5"/>
  <c r="BF72" i="5" s="1"/>
  <c r="BC72" i="5"/>
  <c r="BG72" i="5" s="1"/>
  <c r="D73" i="5" s="1"/>
  <c r="P73" i="5" s="1"/>
  <c r="CK75" i="5"/>
  <c r="BO76" i="5"/>
  <c r="CF76" i="5"/>
  <c r="CI76" i="5" s="1"/>
  <c r="BA76" i="5"/>
  <c r="CJ76" i="5"/>
  <c r="AY76" i="5"/>
  <c r="BE76" i="5"/>
  <c r="AU76" i="5"/>
  <c r="BB76" i="5" s="1"/>
  <c r="AC50" i="4"/>
  <c r="BN76" i="5"/>
  <c r="BW72" i="5"/>
  <c r="E73" i="5" s="1"/>
  <c r="Q73" i="5" s="1"/>
  <c r="BV73" i="5"/>
  <c r="BV74" i="5" s="1"/>
  <c r="BR73" i="5"/>
  <c r="BS73" i="5" s="1"/>
  <c r="BQ76" i="5"/>
  <c r="BL77" i="5" s="1"/>
  <c r="BT76" i="5" s="1"/>
  <c r="BK76" i="5"/>
  <c r="AQ49" i="4"/>
  <c r="AD49" i="4"/>
  <c r="AE49" i="4" s="1"/>
  <c r="AG49" i="4" s="1"/>
  <c r="BQ47" i="4"/>
  <c r="BJ48" i="4"/>
  <c r="BM75" i="5"/>
  <c r="BP75" i="5" s="1"/>
  <c r="BN49" i="4"/>
  <c r="AU50" i="4"/>
  <c r="AF50" i="4"/>
  <c r="CE50" i="4"/>
  <c r="Y50" i="4"/>
  <c r="Z50" i="4"/>
  <c r="AA50" i="4"/>
  <c r="AT49" i="4" s="1"/>
  <c r="AB50" i="4"/>
  <c r="J68" i="4"/>
  <c r="BU76" i="5"/>
  <c r="AK76" i="5"/>
  <c r="AO76" i="5"/>
  <c r="AI76" i="5"/>
  <c r="BV32" i="4"/>
  <c r="BX32" i="4" s="1"/>
  <c r="CK32" i="4" s="1"/>
  <c r="CL32" i="4" s="1"/>
  <c r="CJ32" i="4"/>
  <c r="CF33" i="4" s="1"/>
  <c r="BR33" i="4"/>
  <c r="BS45" i="4" s="1"/>
  <c r="BT57" i="4" s="1"/>
  <c r="BU69" i="4" s="1"/>
  <c r="F72" i="5"/>
  <c r="R72" i="5" s="1"/>
  <c r="BM46" i="4"/>
  <c r="BO46" i="4" s="1"/>
  <c r="BL47" i="4"/>
  <c r="BK47" i="4"/>
  <c r="CD46" i="4" s="1"/>
  <c r="AD79" i="5"/>
  <c r="AC80" i="5"/>
  <c r="BJ80" i="5"/>
  <c r="CS74" i="5"/>
  <c r="CU74" i="5" s="1"/>
  <c r="CV74" i="5" s="1"/>
  <c r="DF75" i="5"/>
  <c r="DG75" i="5" s="1"/>
  <c r="CO75" i="5"/>
  <c r="CW74" i="5" s="1"/>
  <c r="DA48" i="4"/>
  <c r="J75" i="5"/>
  <c r="V75" i="5" s="1"/>
  <c r="BP50" i="4"/>
  <c r="CY50" i="4"/>
  <c r="CS51" i="4" s="1"/>
  <c r="BI50" i="4"/>
  <c r="BN50" i="4" s="1"/>
  <c r="X50" i="4"/>
  <c r="K69" i="4" s="1"/>
  <c r="CT50" i="4"/>
  <c r="CZ49" i="4" s="1"/>
  <c r="CV50" i="4"/>
  <c r="CW49" i="4"/>
  <c r="CX49" i="4" s="1"/>
  <c r="DF49" i="4" s="1"/>
  <c r="CA49" i="4"/>
  <c r="DL76" i="5"/>
  <c r="DZ76" i="5"/>
  <c r="I74" i="5"/>
  <c r="U74" i="5" s="1"/>
  <c r="DN73" i="5"/>
  <c r="H74" i="5" s="1"/>
  <c r="T74" i="5" s="1"/>
  <c r="CX76" i="5"/>
  <c r="CZ73" i="5"/>
  <c r="G74" i="5" s="1"/>
  <c r="S74" i="5" s="1"/>
  <c r="CY73" i="5"/>
  <c r="N76" i="5"/>
  <c r="DE45" i="4"/>
  <c r="H64" i="4" s="1"/>
  <c r="DD46" i="4"/>
  <c r="DE46" i="4" s="1"/>
  <c r="H65" i="4" s="1"/>
  <c r="DH45" i="4"/>
  <c r="I64" i="4" s="1"/>
  <c r="DG48" i="4"/>
  <c r="DC75" i="5"/>
  <c r="DK74" i="5" s="1"/>
  <c r="DM74" i="5" s="1"/>
  <c r="DQ75" i="5"/>
  <c r="DY74" i="5" s="1"/>
  <c r="EA74" i="5" s="1"/>
  <c r="DI74" i="5"/>
  <c r="DJ74" i="5" s="1"/>
  <c r="DN74" i="5" s="1"/>
  <c r="DP76" i="5"/>
  <c r="DR76" i="5"/>
  <c r="DS76" i="5"/>
  <c r="AA77" i="5"/>
  <c r="CT76" i="5"/>
  <c r="DV76" i="5"/>
  <c r="DH76" i="5"/>
  <c r="BY76" i="5"/>
  <c r="CD76" i="5" s="1"/>
  <c r="B77" i="5"/>
  <c r="AB76" i="5"/>
  <c r="K77" i="5" s="1"/>
  <c r="W77" i="5" s="1"/>
  <c r="CR75" i="5"/>
  <c r="CQ75" i="5"/>
  <c r="DT75" i="5"/>
  <c r="DU75" i="5" s="1"/>
  <c r="DD76" i="5"/>
  <c r="DB76" i="5"/>
  <c r="DE76" i="5"/>
  <c r="CP76" i="5"/>
  <c r="CN76" i="5"/>
  <c r="DW74" i="5"/>
  <c r="DX74" i="5" s="1"/>
  <c r="DB48" i="4"/>
  <c r="DC48" i="4" s="1"/>
  <c r="CM31" i="4"/>
  <c r="CN31" i="4" s="1"/>
  <c r="F50" i="4" s="1"/>
  <c r="W51" i="4"/>
  <c r="C69" i="4"/>
  <c r="CU50" i="4"/>
  <c r="AV77" i="5" l="1"/>
  <c r="BZ77" i="5"/>
  <c r="CB77" i="5"/>
  <c r="CC77" i="5" s="1"/>
  <c r="AX74" i="5"/>
  <c r="AZ74" i="5" s="1"/>
  <c r="AW75" i="5"/>
  <c r="CK76" i="5"/>
  <c r="BD73" i="5"/>
  <c r="BF73" i="5" s="1"/>
  <c r="BC73" i="5"/>
  <c r="BG73" i="5" s="1"/>
  <c r="D74" i="5" s="1"/>
  <c r="P74" i="5" s="1"/>
  <c r="BO77" i="5"/>
  <c r="CF77" i="5"/>
  <c r="CI77" i="5" s="1"/>
  <c r="CJ77" i="5"/>
  <c r="BE77" i="5"/>
  <c r="AY77" i="5"/>
  <c r="BA77" i="5"/>
  <c r="CG77" i="5"/>
  <c r="CA77" i="5"/>
  <c r="CA78" i="5" s="1"/>
  <c r="AU77" i="5"/>
  <c r="BB77" i="5" s="1"/>
  <c r="CE76" i="5"/>
  <c r="CH76" i="5" s="1"/>
  <c r="CL76" i="5" s="1"/>
  <c r="BK77" i="5"/>
  <c r="BN77" i="5"/>
  <c r="AC51" i="4"/>
  <c r="BW73" i="5"/>
  <c r="E74" i="5" s="1"/>
  <c r="Q74" i="5" s="1"/>
  <c r="BR74" i="5"/>
  <c r="BS74" i="5" s="1"/>
  <c r="BQ77" i="5"/>
  <c r="BL78" i="5" s="1"/>
  <c r="BT77" i="5" s="1"/>
  <c r="AQ50" i="4"/>
  <c r="AD50" i="4"/>
  <c r="AE50" i="4" s="1"/>
  <c r="AG50" i="4" s="1"/>
  <c r="BQ48" i="4"/>
  <c r="BJ49" i="4"/>
  <c r="BM76" i="5"/>
  <c r="BP76" i="5" s="1"/>
  <c r="BV75" i="5"/>
  <c r="J69" i="4"/>
  <c r="AF51" i="4"/>
  <c r="AU51" i="4"/>
  <c r="CE51" i="4"/>
  <c r="Y51" i="4"/>
  <c r="AW49" i="4"/>
  <c r="Z51" i="4"/>
  <c r="AB51" i="4"/>
  <c r="AA51" i="4"/>
  <c r="AT50" i="4" s="1"/>
  <c r="CC44" i="4"/>
  <c r="BZ44" i="4"/>
  <c r="CB44" i="4" s="1"/>
  <c r="BV33" i="4"/>
  <c r="BX33" i="4" s="1"/>
  <c r="CK33" i="4" s="1"/>
  <c r="CL33" i="4" s="1"/>
  <c r="BU77" i="5"/>
  <c r="AK77" i="5"/>
  <c r="AO77" i="5"/>
  <c r="AI77" i="5"/>
  <c r="BY32" i="4"/>
  <c r="CO32" i="4" s="1"/>
  <c r="CP32" i="4" s="1"/>
  <c r="F73" i="5"/>
  <c r="R73" i="5" s="1"/>
  <c r="BM47" i="4"/>
  <c r="BO47" i="4" s="1"/>
  <c r="BL48" i="4"/>
  <c r="BK48" i="4"/>
  <c r="CD47" i="4" s="1"/>
  <c r="CG33" i="4"/>
  <c r="CH33" i="4" s="1"/>
  <c r="CI33" i="4" s="1"/>
  <c r="CJ33" i="4" s="1"/>
  <c r="CF34" i="4" s="1"/>
  <c r="AD80" i="5"/>
  <c r="AC81" i="5"/>
  <c r="BJ81" i="5"/>
  <c r="DT76" i="5"/>
  <c r="DU76" i="5" s="1"/>
  <c r="DW76" i="5" s="1"/>
  <c r="DX76" i="5" s="1"/>
  <c r="CO76" i="5"/>
  <c r="CW75" i="5" s="1"/>
  <c r="DA49" i="4"/>
  <c r="J76" i="5"/>
  <c r="V76" i="5" s="1"/>
  <c r="CW50" i="4"/>
  <c r="CX50" i="4" s="1"/>
  <c r="DF50" i="4" s="1"/>
  <c r="CA50" i="4"/>
  <c r="CV51" i="4"/>
  <c r="CT51" i="4"/>
  <c r="BP51" i="4"/>
  <c r="CY51" i="4"/>
  <c r="CS52" i="4" s="1"/>
  <c r="BI51" i="4"/>
  <c r="BN51" i="4" s="1"/>
  <c r="X51" i="4"/>
  <c r="K70" i="4" s="1"/>
  <c r="DL77" i="5"/>
  <c r="DZ77" i="5"/>
  <c r="EB74" i="5"/>
  <c r="I75" i="5" s="1"/>
  <c r="U75" i="5" s="1"/>
  <c r="H75" i="5"/>
  <c r="T75" i="5" s="1"/>
  <c r="CX77" i="5"/>
  <c r="CY74" i="5"/>
  <c r="CZ74" i="5"/>
  <c r="G75" i="5" s="1"/>
  <c r="S75" i="5" s="1"/>
  <c r="N77" i="5"/>
  <c r="DD47" i="4"/>
  <c r="DH47" i="4" s="1"/>
  <c r="I66" i="4" s="1"/>
  <c r="DH46" i="4"/>
  <c r="I65" i="4" s="1"/>
  <c r="DG49" i="4"/>
  <c r="DC76" i="5"/>
  <c r="DK75" i="5" s="1"/>
  <c r="DM75" i="5" s="1"/>
  <c r="DQ76" i="5"/>
  <c r="DY75" i="5" s="1"/>
  <c r="EA75" i="5" s="1"/>
  <c r="DF76" i="5"/>
  <c r="DG76" i="5" s="1"/>
  <c r="DI76" i="5" s="1"/>
  <c r="DJ76" i="5" s="1"/>
  <c r="CS75" i="5"/>
  <c r="CU75" i="5" s="1"/>
  <c r="CV75" i="5" s="1"/>
  <c r="CR76" i="5"/>
  <c r="DS77" i="5"/>
  <c r="DR77" i="5"/>
  <c r="DP77" i="5"/>
  <c r="CP77" i="5"/>
  <c r="CN77" i="5"/>
  <c r="DI75" i="5"/>
  <c r="DJ75" i="5" s="1"/>
  <c r="DW75" i="5"/>
  <c r="DX75" i="5" s="1"/>
  <c r="CQ76" i="5"/>
  <c r="B78" i="5"/>
  <c r="AA78" i="5"/>
  <c r="BY77" i="5"/>
  <c r="CD77" i="5" s="1"/>
  <c r="CT77" i="5"/>
  <c r="DH77" i="5"/>
  <c r="DV77" i="5"/>
  <c r="AB77" i="5"/>
  <c r="K78" i="5" s="1"/>
  <c r="W78" i="5" s="1"/>
  <c r="DE77" i="5"/>
  <c r="DD77" i="5"/>
  <c r="DB77" i="5"/>
  <c r="DB49" i="4"/>
  <c r="DC49" i="4" s="1"/>
  <c r="CQ31" i="4"/>
  <c r="G50" i="4" s="1"/>
  <c r="CM32" i="4"/>
  <c r="CN32" i="4" s="1"/>
  <c r="F51" i="4" s="1"/>
  <c r="BZ45" i="4"/>
  <c r="CB45" i="4" s="1"/>
  <c r="CU51" i="4"/>
  <c r="W52" i="4"/>
  <c r="C70" i="4"/>
  <c r="BD74" i="5" l="1"/>
  <c r="BF74" i="5" s="1"/>
  <c r="BC74" i="5"/>
  <c r="BG74" i="5" s="1"/>
  <c r="D75" i="5" s="1"/>
  <c r="P75" i="5" s="1"/>
  <c r="AX75" i="5"/>
  <c r="AZ75" i="5" s="1"/>
  <c r="AW76" i="5"/>
  <c r="BZ78" i="5"/>
  <c r="CG78" i="5" s="1"/>
  <c r="CB78" i="5"/>
  <c r="CC78" i="5" s="1"/>
  <c r="CE77" i="5"/>
  <c r="CH77" i="5" s="1"/>
  <c r="CL77" i="5" s="1"/>
  <c r="BO78" i="5"/>
  <c r="CF78" i="5"/>
  <c r="CI78" i="5" s="1"/>
  <c r="BA78" i="5"/>
  <c r="AY78" i="5"/>
  <c r="CJ78" i="5"/>
  <c r="BE78" i="5"/>
  <c r="CK77" i="5"/>
  <c r="AU78" i="5"/>
  <c r="BB78" i="5" s="1"/>
  <c r="AV78" i="5"/>
  <c r="AC52" i="4"/>
  <c r="BN78" i="5"/>
  <c r="BW74" i="5"/>
  <c r="E75" i="5" s="1"/>
  <c r="Q75" i="5" s="1"/>
  <c r="BR75" i="5"/>
  <c r="BS75" i="5" s="1"/>
  <c r="BQ78" i="5"/>
  <c r="BL79" i="5" s="1"/>
  <c r="BT78" i="5" s="1"/>
  <c r="BK78" i="5"/>
  <c r="AQ51" i="4"/>
  <c r="AD51" i="4"/>
  <c r="AE51" i="4" s="1"/>
  <c r="AG51" i="4" s="1"/>
  <c r="BQ49" i="4"/>
  <c r="BJ50" i="4"/>
  <c r="BM77" i="5"/>
  <c r="BP77" i="5" s="1"/>
  <c r="BV76" i="5"/>
  <c r="J70" i="4"/>
  <c r="AW50" i="4"/>
  <c r="CE52" i="4"/>
  <c r="AF52" i="4"/>
  <c r="AU52" i="4"/>
  <c r="Y52" i="4"/>
  <c r="Z52" i="4"/>
  <c r="AA52" i="4"/>
  <c r="AT51" i="4" s="1"/>
  <c r="AB52" i="4"/>
  <c r="CC45" i="4"/>
  <c r="BY33" i="4"/>
  <c r="CO33" i="4" s="1"/>
  <c r="CP33" i="4" s="1"/>
  <c r="BU78" i="5"/>
  <c r="AK78" i="5"/>
  <c r="AO78" i="5"/>
  <c r="AI78" i="5"/>
  <c r="CG34" i="4"/>
  <c r="BM48" i="4"/>
  <c r="BO48" i="4" s="1"/>
  <c r="BL49" i="4"/>
  <c r="F74" i="5"/>
  <c r="R74" i="5" s="1"/>
  <c r="BR34" i="4"/>
  <c r="BS46" i="4" s="1"/>
  <c r="BT58" i="4" s="1"/>
  <c r="BU70" i="4" s="1"/>
  <c r="BK49" i="4"/>
  <c r="AD81" i="5"/>
  <c r="AC82" i="5"/>
  <c r="BJ82" i="5"/>
  <c r="DT77" i="5"/>
  <c r="DU77" i="5" s="1"/>
  <c r="CO77" i="5"/>
  <c r="CW76" i="5" s="1"/>
  <c r="DE47" i="4"/>
  <c r="H66" i="4" s="1"/>
  <c r="J77" i="5"/>
  <c r="V77" i="5" s="1"/>
  <c r="CT52" i="4"/>
  <c r="CZ51" i="4" s="1"/>
  <c r="BP52" i="4"/>
  <c r="CY52" i="4"/>
  <c r="CS53" i="4" s="1"/>
  <c r="BI52" i="4"/>
  <c r="CW52" i="4" s="1"/>
  <c r="X52" i="4"/>
  <c r="K71" i="4" s="1"/>
  <c r="CV52" i="4"/>
  <c r="CZ50" i="4"/>
  <c r="DA50" i="4" s="1"/>
  <c r="CW51" i="4"/>
  <c r="CX51" i="4" s="1"/>
  <c r="DF51" i="4" s="1"/>
  <c r="CA51" i="4"/>
  <c r="DL78" i="5"/>
  <c r="DZ78" i="5"/>
  <c r="EB76" i="5"/>
  <c r="I77" i="5" s="1"/>
  <c r="U77" i="5" s="1"/>
  <c r="EB75" i="5"/>
  <c r="I76" i="5" s="1"/>
  <c r="U76" i="5" s="1"/>
  <c r="DN76" i="5"/>
  <c r="H77" i="5" s="1"/>
  <c r="T77" i="5" s="1"/>
  <c r="DN75" i="5"/>
  <c r="H76" i="5" s="1"/>
  <c r="T76" i="5" s="1"/>
  <c r="CX78" i="5"/>
  <c r="CY75" i="5"/>
  <c r="CZ75" i="5"/>
  <c r="G76" i="5" s="1"/>
  <c r="S76" i="5" s="1"/>
  <c r="N78" i="5"/>
  <c r="DD48" i="4"/>
  <c r="DH48" i="4" s="1"/>
  <c r="I67" i="4" s="1"/>
  <c r="DC77" i="5"/>
  <c r="DK76" i="5" s="1"/>
  <c r="DM76" i="5" s="1"/>
  <c r="DQ77" i="5"/>
  <c r="DY76" i="5" s="1"/>
  <c r="EA76" i="5" s="1"/>
  <c r="CS76" i="5"/>
  <c r="CU76" i="5" s="1"/>
  <c r="CV76" i="5" s="1"/>
  <c r="CR77" i="5"/>
  <c r="DR78" i="5"/>
  <c r="DP78" i="5"/>
  <c r="DS78" i="5"/>
  <c r="CP78" i="5"/>
  <c r="CN78" i="5"/>
  <c r="DF77" i="5"/>
  <c r="DG77" i="5" s="1"/>
  <c r="B79" i="5"/>
  <c r="DH78" i="5"/>
  <c r="BY78" i="5"/>
  <c r="CD78" i="5" s="1"/>
  <c r="AA79" i="5"/>
  <c r="CT78" i="5"/>
  <c r="DV78" i="5"/>
  <c r="AB78" i="5"/>
  <c r="K79" i="5" s="1"/>
  <c r="W79" i="5" s="1"/>
  <c r="DB78" i="5"/>
  <c r="DE78" i="5"/>
  <c r="DD78" i="5"/>
  <c r="CQ77" i="5"/>
  <c r="DG50" i="4"/>
  <c r="DB50" i="4"/>
  <c r="DC50" i="4" s="1"/>
  <c r="CQ32" i="4"/>
  <c r="G51" i="4" s="1"/>
  <c r="CM33" i="4"/>
  <c r="CN33" i="4" s="1"/>
  <c r="F52" i="4" s="1"/>
  <c r="W53" i="4"/>
  <c r="C71" i="4"/>
  <c r="CU52" i="4"/>
  <c r="AV79" i="5" l="1"/>
  <c r="CA79" i="5"/>
  <c r="BD75" i="5"/>
  <c r="BF75" i="5" s="1"/>
  <c r="BC75" i="5"/>
  <c r="BG75" i="5" s="1"/>
  <c r="D76" i="5" s="1"/>
  <c r="P76" i="5" s="1"/>
  <c r="AX76" i="5"/>
  <c r="AZ76" i="5" s="1"/>
  <c r="AW77" i="5"/>
  <c r="CK78" i="5"/>
  <c r="BZ79" i="5"/>
  <c r="CG79" i="5" s="1"/>
  <c r="CB79" i="5"/>
  <c r="CC79" i="5" s="1"/>
  <c r="CF79" i="5"/>
  <c r="CJ79" i="5"/>
  <c r="AY79" i="5"/>
  <c r="BA79" i="5"/>
  <c r="BE79" i="5"/>
  <c r="AU79" i="5"/>
  <c r="BB79" i="5" s="1"/>
  <c r="CE78" i="5"/>
  <c r="CH78" i="5" s="1"/>
  <c r="CL78" i="5" s="1"/>
  <c r="BK79" i="5"/>
  <c r="BQ79" i="5"/>
  <c r="BO79" i="5"/>
  <c r="BN79" i="5"/>
  <c r="AC53" i="4"/>
  <c r="BW75" i="5"/>
  <c r="E76" i="5" s="1"/>
  <c r="Q76" i="5" s="1"/>
  <c r="BR76" i="5"/>
  <c r="BS76" i="5" s="1"/>
  <c r="AL79" i="5"/>
  <c r="BR79" i="5"/>
  <c r="BQ50" i="4"/>
  <c r="BJ51" i="4"/>
  <c r="AQ52" i="4"/>
  <c r="AD52" i="4"/>
  <c r="AE52" i="4" s="1"/>
  <c r="AG52" i="4" s="1"/>
  <c r="BM78" i="5"/>
  <c r="BP78" i="5" s="1"/>
  <c r="BV77" i="5"/>
  <c r="J71" i="4"/>
  <c r="BN52" i="4"/>
  <c r="Z53" i="4"/>
  <c r="AA53" i="4"/>
  <c r="AT52" i="4" s="1"/>
  <c r="AB53" i="4"/>
  <c r="AF53" i="4"/>
  <c r="AU53" i="4"/>
  <c r="CE53" i="4"/>
  <c r="Y53" i="4"/>
  <c r="AW51" i="4"/>
  <c r="CD48" i="4"/>
  <c r="BU79" i="5"/>
  <c r="AK79" i="5"/>
  <c r="AO79" i="5"/>
  <c r="AI79" i="5"/>
  <c r="BM49" i="4"/>
  <c r="BO49" i="4" s="1"/>
  <c r="BL50" i="4"/>
  <c r="BK50" i="4"/>
  <c r="CD49" i="4" s="1"/>
  <c r="F75" i="5"/>
  <c r="R75" i="5" s="1"/>
  <c r="CH34" i="4"/>
  <c r="CI34" i="4" s="1"/>
  <c r="CJ34" i="4" s="1"/>
  <c r="CF35" i="4" s="1"/>
  <c r="BV34" i="4"/>
  <c r="BX34" i="4" s="1"/>
  <c r="AD82" i="5"/>
  <c r="AC83" i="5"/>
  <c r="BJ83" i="5"/>
  <c r="DT78" i="5"/>
  <c r="DU78" i="5" s="1"/>
  <c r="CO78" i="5"/>
  <c r="CW77" i="5" s="1"/>
  <c r="J78" i="5"/>
  <c r="V78" i="5" s="1"/>
  <c r="DA51" i="4"/>
  <c r="CA52" i="4"/>
  <c r="CT53" i="4"/>
  <c r="CZ52" i="4" s="1"/>
  <c r="BP53" i="4"/>
  <c r="CY53" i="4"/>
  <c r="CS54" i="4" s="1"/>
  <c r="BI53" i="4"/>
  <c r="BN53" i="4" s="1"/>
  <c r="X53" i="4"/>
  <c r="K72" i="4" s="1"/>
  <c r="CV53" i="4"/>
  <c r="DL79" i="5"/>
  <c r="DZ79" i="5"/>
  <c r="CY76" i="5"/>
  <c r="CZ76" i="5"/>
  <c r="G77" i="5" s="1"/>
  <c r="S77" i="5" s="1"/>
  <c r="CX79" i="5"/>
  <c r="N79" i="5"/>
  <c r="DE48" i="4"/>
  <c r="H67" i="4" s="1"/>
  <c r="DD49" i="4"/>
  <c r="DH49" i="4" s="1"/>
  <c r="I68" i="4" s="1"/>
  <c r="DG51" i="4"/>
  <c r="DC78" i="5"/>
  <c r="DK77" i="5" s="1"/>
  <c r="DM77" i="5" s="1"/>
  <c r="DQ78" i="5"/>
  <c r="DY77" i="5" s="1"/>
  <c r="EA77" i="5" s="1"/>
  <c r="CS77" i="5"/>
  <c r="CU77" i="5" s="1"/>
  <c r="CV77" i="5" s="1"/>
  <c r="DF78" i="5"/>
  <c r="DG78" i="5" s="1"/>
  <c r="CR78" i="5"/>
  <c r="DI77" i="5"/>
  <c r="DJ77" i="5" s="1"/>
  <c r="DN77" i="5" s="1"/>
  <c r="DS79" i="5"/>
  <c r="DP79" i="5"/>
  <c r="DR79" i="5"/>
  <c r="B80" i="5"/>
  <c r="A69" i="5" s="1"/>
  <c r="BY79" i="5"/>
  <c r="CD79" i="5" s="1"/>
  <c r="AA80" i="5"/>
  <c r="DV79" i="5"/>
  <c r="DH79" i="5"/>
  <c r="CT79" i="5"/>
  <c r="AB79" i="5"/>
  <c r="K80" i="5" s="1"/>
  <c r="W80" i="5" s="1"/>
  <c r="DW77" i="5"/>
  <c r="DX77" i="5" s="1"/>
  <c r="DB79" i="5"/>
  <c r="DE79" i="5"/>
  <c r="DD79" i="5"/>
  <c r="CP79" i="5"/>
  <c r="CN79" i="5"/>
  <c r="CQ78" i="5"/>
  <c r="DB51" i="4"/>
  <c r="DC51" i="4" s="1"/>
  <c r="CQ33" i="4"/>
  <c r="G52" i="4" s="1"/>
  <c r="CX52" i="4"/>
  <c r="DF52" i="4" s="1"/>
  <c r="CU53" i="4"/>
  <c r="W54" i="4"/>
  <c r="AG54" i="4" s="1"/>
  <c r="C72" i="4"/>
  <c r="AU80" i="5" l="1"/>
  <c r="AX77" i="5"/>
  <c r="AZ77" i="5" s="1"/>
  <c r="AW78" i="5"/>
  <c r="BD76" i="5"/>
  <c r="BF76" i="5" s="1"/>
  <c r="BC76" i="5"/>
  <c r="BG76" i="5" s="1"/>
  <c r="D77" i="5" s="1"/>
  <c r="P77" i="5" s="1"/>
  <c r="BO80" i="5"/>
  <c r="CJ80" i="5"/>
  <c r="CF80" i="5"/>
  <c r="CI80" i="5" s="1"/>
  <c r="BA80" i="5"/>
  <c r="BE80" i="5"/>
  <c r="AY80" i="5"/>
  <c r="BB80" i="5"/>
  <c r="BZ80" i="5"/>
  <c r="CG80" i="5" s="1"/>
  <c r="CB80" i="5"/>
  <c r="CC80" i="5" s="1"/>
  <c r="CA80" i="5"/>
  <c r="AV80" i="5"/>
  <c r="AV81" i="5" s="1"/>
  <c r="CE79" i="5"/>
  <c r="CI79" i="5" s="1"/>
  <c r="AC54" i="4"/>
  <c r="BW76" i="5"/>
  <c r="E77" i="5" s="1"/>
  <c r="Q77" i="5" s="1"/>
  <c r="BR77" i="5"/>
  <c r="BS77" i="5" s="1"/>
  <c r="BQ80" i="5"/>
  <c r="BM79" i="5"/>
  <c r="BP79" i="5" s="1"/>
  <c r="BV78" i="5"/>
  <c r="AQ53" i="4"/>
  <c r="AD53" i="4"/>
  <c r="AE53" i="4" s="1"/>
  <c r="AG53" i="4" s="1"/>
  <c r="BQ51" i="4"/>
  <c r="BJ52" i="4"/>
  <c r="J72" i="4"/>
  <c r="AW52" i="4"/>
  <c r="AF54" i="4"/>
  <c r="Y54" i="4"/>
  <c r="Z54" i="4"/>
  <c r="AA54" i="4"/>
  <c r="AT53" i="4" s="1"/>
  <c r="AB54" i="4"/>
  <c r="AI80" i="5"/>
  <c r="BU80" i="5"/>
  <c r="AK80" i="5"/>
  <c r="AO80" i="5"/>
  <c r="BK51" i="4"/>
  <c r="CD50" i="4" s="1"/>
  <c r="CG35" i="4"/>
  <c r="BR35" i="4"/>
  <c r="BS47" i="4" s="1"/>
  <c r="BT59" i="4" s="1"/>
  <c r="BU71" i="4" s="1"/>
  <c r="CC46" i="4"/>
  <c r="BZ46" i="4"/>
  <c r="CB46" i="4" s="1"/>
  <c r="F76" i="5"/>
  <c r="R76" i="5" s="1"/>
  <c r="CK34" i="4"/>
  <c r="BY34" i="4"/>
  <c r="CO34" i="4" s="1"/>
  <c r="BM50" i="4"/>
  <c r="BO50" i="4" s="1"/>
  <c r="BL51" i="4"/>
  <c r="AD83" i="5"/>
  <c r="AC84" i="5"/>
  <c r="BJ84" i="5"/>
  <c r="CO79" i="5"/>
  <c r="CW78" i="5" s="1"/>
  <c r="DA52" i="4"/>
  <c r="J79" i="5"/>
  <c r="V79" i="5" s="1"/>
  <c r="CT54" i="4"/>
  <c r="CZ53" i="4" s="1"/>
  <c r="CV54" i="4"/>
  <c r="BP54" i="4"/>
  <c r="CY54" i="4"/>
  <c r="CS55" i="4" s="1"/>
  <c r="BI54" i="4"/>
  <c r="BN54" i="4" s="1"/>
  <c r="X54" i="4"/>
  <c r="K73" i="4" s="1"/>
  <c r="CW53" i="4"/>
  <c r="CX53" i="4" s="1"/>
  <c r="DF53" i="4" s="1"/>
  <c r="CA53" i="4"/>
  <c r="DL80" i="5"/>
  <c r="DZ80" i="5"/>
  <c r="EB77" i="5"/>
  <c r="I78" i="5" s="1"/>
  <c r="U78" i="5" s="1"/>
  <c r="H78" i="5"/>
  <c r="T78" i="5" s="1"/>
  <c r="CX80" i="5"/>
  <c r="CY77" i="5"/>
  <c r="CZ77" i="5"/>
  <c r="G78" i="5" s="1"/>
  <c r="S78" i="5" s="1"/>
  <c r="N80" i="5"/>
  <c r="DD50" i="4"/>
  <c r="DE50" i="4" s="1"/>
  <c r="H69" i="4" s="1"/>
  <c r="DE49" i="4"/>
  <c r="H68" i="4" s="1"/>
  <c r="DC79" i="5"/>
  <c r="DK78" i="5" s="1"/>
  <c r="DM78" i="5" s="1"/>
  <c r="DQ79" i="5"/>
  <c r="DY78" i="5" s="1"/>
  <c r="EA78" i="5" s="1"/>
  <c r="CS78" i="5"/>
  <c r="CU78" i="5" s="1"/>
  <c r="CV78" i="5" s="1"/>
  <c r="DT79" i="5"/>
  <c r="DU79" i="5" s="1"/>
  <c r="CR79" i="5"/>
  <c r="DF79" i="5"/>
  <c r="DG79" i="5" s="1"/>
  <c r="CP80" i="5"/>
  <c r="CN80" i="5"/>
  <c r="DR80" i="5"/>
  <c r="DP80" i="5"/>
  <c r="DV80" i="5"/>
  <c r="CT80" i="5"/>
  <c r="DH80" i="5"/>
  <c r="BY80" i="5"/>
  <c r="DT80" i="5" s="1"/>
  <c r="AA81" i="5"/>
  <c r="B81" i="5"/>
  <c r="AB80" i="5"/>
  <c r="K81" i="5" s="1"/>
  <c r="W81" i="5" s="1"/>
  <c r="DW78" i="5"/>
  <c r="DX78" i="5" s="1"/>
  <c r="DI78" i="5"/>
  <c r="DJ78" i="5" s="1"/>
  <c r="CQ79" i="5"/>
  <c r="DD80" i="5"/>
  <c r="DB80" i="5"/>
  <c r="DG52" i="4"/>
  <c r="DB52" i="4"/>
  <c r="DC52" i="4" s="1"/>
  <c r="CU54" i="4"/>
  <c r="W55" i="4"/>
  <c r="AD55" i="4" s="1"/>
  <c r="C73" i="4"/>
  <c r="CA81" i="5" l="1"/>
  <c r="CK79" i="5"/>
  <c r="CH79" i="5"/>
  <c r="CL79" i="5" s="1"/>
  <c r="AU81" i="5"/>
  <c r="BB81" i="5" s="1"/>
  <c r="AX78" i="5"/>
  <c r="AZ78" i="5" s="1"/>
  <c r="AW79" i="5"/>
  <c r="BZ81" i="5"/>
  <c r="CG81" i="5" s="1"/>
  <c r="CB81" i="5"/>
  <c r="CC81" i="5" s="1"/>
  <c r="BD77" i="5"/>
  <c r="BF77" i="5" s="1"/>
  <c r="BC77" i="5"/>
  <c r="BG77" i="5" s="1"/>
  <c r="D78" i="5" s="1"/>
  <c r="P78" i="5" s="1"/>
  <c r="BO81" i="5"/>
  <c r="CJ81" i="5"/>
  <c r="CF81" i="5"/>
  <c r="CI81" i="5" s="1"/>
  <c r="AY81" i="5"/>
  <c r="BE81" i="5"/>
  <c r="BA81" i="5"/>
  <c r="CD80" i="5"/>
  <c r="CE80" i="5" s="1"/>
  <c r="CH80" i="5" s="1"/>
  <c r="BW77" i="5"/>
  <c r="E78" i="5" s="1"/>
  <c r="Q78" i="5" s="1"/>
  <c r="BR78" i="5"/>
  <c r="BS78" i="5" s="1"/>
  <c r="BQ81" i="5"/>
  <c r="J73" i="4"/>
  <c r="BQ52" i="4"/>
  <c r="BJ53" i="4"/>
  <c r="AQ54" i="4"/>
  <c r="AD54" i="4"/>
  <c r="AE54" i="4" s="1"/>
  <c r="AF55" i="4"/>
  <c r="CE55" i="4"/>
  <c r="AU55" i="4"/>
  <c r="Y55" i="4"/>
  <c r="AQ55" i="4" s="1"/>
  <c r="AW53" i="4"/>
  <c r="CL34" i="4"/>
  <c r="CM34" i="4" s="1"/>
  <c r="CN34" i="4" s="1"/>
  <c r="F53" i="4" s="1"/>
  <c r="BS79" i="5"/>
  <c r="BK80" i="5" s="1"/>
  <c r="BU81" i="5"/>
  <c r="AK81" i="5"/>
  <c r="AO81" i="5"/>
  <c r="AI81" i="5"/>
  <c r="CP34" i="4"/>
  <c r="BV35" i="4"/>
  <c r="BX35" i="4" s="1"/>
  <c r="CK35" i="4" s="1"/>
  <c r="BK52" i="4"/>
  <c r="CD51" i="4" s="1"/>
  <c r="F77" i="5"/>
  <c r="R77" i="5" s="1"/>
  <c r="CH35" i="4"/>
  <c r="CI35" i="4" s="1"/>
  <c r="CJ35" i="4" s="1"/>
  <c r="CF36" i="4" s="1"/>
  <c r="BM51" i="4"/>
  <c r="BO51" i="4" s="1"/>
  <c r="BL52" i="4"/>
  <c r="AD84" i="5"/>
  <c r="AC85" i="5"/>
  <c r="BJ85" i="5"/>
  <c r="CO80" i="5"/>
  <c r="CW79" i="5" s="1"/>
  <c r="DA53" i="4"/>
  <c r="N81" i="5"/>
  <c r="J80" i="5"/>
  <c r="V80" i="5" s="1"/>
  <c r="CW54" i="4"/>
  <c r="CX54" i="4" s="1"/>
  <c r="DF54" i="4" s="1"/>
  <c r="CA54" i="4"/>
  <c r="CY55" i="4"/>
  <c r="CS56" i="4" s="1"/>
  <c r="BP55" i="4"/>
  <c r="BI55" i="4"/>
  <c r="BN55" i="4" s="1"/>
  <c r="X55" i="4"/>
  <c r="K74" i="4" s="1"/>
  <c r="CT55" i="4"/>
  <c r="CZ54" i="4" s="1"/>
  <c r="DL81" i="5"/>
  <c r="DZ81" i="5"/>
  <c r="EB78" i="5"/>
  <c r="I79" i="5" s="1"/>
  <c r="U79" i="5" s="1"/>
  <c r="DN78" i="5"/>
  <c r="H79" i="5" s="1"/>
  <c r="T79" i="5" s="1"/>
  <c r="CX81" i="5"/>
  <c r="CY78" i="5"/>
  <c r="CZ78" i="5"/>
  <c r="G79" i="5" s="1"/>
  <c r="S79" i="5" s="1"/>
  <c r="DD51" i="4"/>
  <c r="DH51" i="4" s="1"/>
  <c r="I70" i="4" s="1"/>
  <c r="DH50" i="4"/>
  <c r="I69" i="4" s="1"/>
  <c r="DG53" i="4"/>
  <c r="DC80" i="5"/>
  <c r="DK79" i="5" s="1"/>
  <c r="DM79" i="5" s="1"/>
  <c r="DQ80" i="5"/>
  <c r="DY79" i="5" s="1"/>
  <c r="EA79" i="5" s="1"/>
  <c r="CS79" i="5"/>
  <c r="CQ80" i="5" s="1"/>
  <c r="CQ81" i="5" s="1"/>
  <c r="DE80" i="5"/>
  <c r="DI79" i="5"/>
  <c r="DJ79" i="5" s="1"/>
  <c r="DR81" i="5"/>
  <c r="DP81" i="5"/>
  <c r="B82" i="5"/>
  <c r="BY81" i="5"/>
  <c r="DT81" i="5" s="1"/>
  <c r="DH81" i="5"/>
  <c r="CT81" i="5"/>
  <c r="AA82" i="5"/>
  <c r="DV81" i="5"/>
  <c r="AB81" i="5"/>
  <c r="K82" i="5" s="1"/>
  <c r="W82" i="5" s="1"/>
  <c r="DW79" i="5"/>
  <c r="DX79" i="5" s="1"/>
  <c r="DS80" i="5"/>
  <c r="DU80" i="5" s="1"/>
  <c r="DF80" i="5"/>
  <c r="DD81" i="5"/>
  <c r="DB81" i="5"/>
  <c r="CN81" i="5"/>
  <c r="CP81" i="5"/>
  <c r="CR80" i="5"/>
  <c r="DB53" i="4"/>
  <c r="DC53" i="4" s="1"/>
  <c r="CU55" i="4"/>
  <c r="W56" i="4"/>
  <c r="AD56" i="4" s="1"/>
  <c r="C74" i="4"/>
  <c r="B73" i="4" s="1"/>
  <c r="CL80" i="5" l="1"/>
  <c r="BZ82" i="5"/>
  <c r="CG82" i="5" s="1"/>
  <c r="CB82" i="5"/>
  <c r="CC82" i="5" s="1"/>
  <c r="AX79" i="5"/>
  <c r="AZ79" i="5" s="1"/>
  <c r="AW80" i="5"/>
  <c r="BD78" i="5"/>
  <c r="BF78" i="5" s="1"/>
  <c r="BC78" i="5"/>
  <c r="BG78" i="5" s="1"/>
  <c r="D79" i="5" s="1"/>
  <c r="P79" i="5" s="1"/>
  <c r="AU82" i="5"/>
  <c r="BB82" i="5" s="1"/>
  <c r="AV82" i="5"/>
  <c r="CK80" i="5"/>
  <c r="BO82" i="5"/>
  <c r="CF82" i="5"/>
  <c r="CI82" i="5" s="1"/>
  <c r="CJ82" i="5"/>
  <c r="BA82" i="5"/>
  <c r="BE82" i="5"/>
  <c r="AY82" i="5"/>
  <c r="CD81" i="5"/>
  <c r="CE81" i="5" s="1"/>
  <c r="CH81" i="5" s="1"/>
  <c r="CA82" i="5"/>
  <c r="BW78" i="5"/>
  <c r="E79" i="5" s="1"/>
  <c r="Q79" i="5" s="1"/>
  <c r="BW79" i="5"/>
  <c r="E80" i="5" s="1"/>
  <c r="Q80" i="5" s="1"/>
  <c r="BQ82" i="5"/>
  <c r="BL80" i="5"/>
  <c r="BT79" i="5" s="1"/>
  <c r="BK81" i="5"/>
  <c r="BK82" i="5" s="1"/>
  <c r="BQ53" i="4"/>
  <c r="BJ54" i="4"/>
  <c r="BQ54" i="4" s="1"/>
  <c r="Z55" i="4"/>
  <c r="Z56" i="4" s="1"/>
  <c r="CE56" i="4"/>
  <c r="AU56" i="4"/>
  <c r="AF56" i="4"/>
  <c r="Y56" i="4"/>
  <c r="AQ56" i="4" s="1"/>
  <c r="CQ34" i="4"/>
  <c r="G53" i="4" s="1"/>
  <c r="CL35" i="4"/>
  <c r="CM35" i="4" s="1"/>
  <c r="CN35" i="4" s="1"/>
  <c r="F54" i="4" s="1"/>
  <c r="BU82" i="5"/>
  <c r="AK82" i="5"/>
  <c r="AO82" i="5"/>
  <c r="AI82" i="5"/>
  <c r="BR36" i="4"/>
  <c r="BS48" i="4" s="1"/>
  <c r="BT60" i="4" s="1"/>
  <c r="BU72" i="4" s="1"/>
  <c r="CC47" i="4"/>
  <c r="BZ47" i="4"/>
  <c r="CB47" i="4" s="1"/>
  <c r="BM52" i="4"/>
  <c r="BO52" i="4" s="1"/>
  <c r="BL53" i="4"/>
  <c r="F78" i="5"/>
  <c r="R78" i="5" s="1"/>
  <c r="CG36" i="4"/>
  <c r="CH36" i="4" s="1"/>
  <c r="CI36" i="4" s="1"/>
  <c r="CJ36" i="4" s="1"/>
  <c r="CF37" i="4" s="1"/>
  <c r="BK53" i="4"/>
  <c r="CD52" i="4" s="1"/>
  <c r="BY35" i="4"/>
  <c r="CO35" i="4" s="1"/>
  <c r="DE81" i="5"/>
  <c r="DE82" i="5" s="1"/>
  <c r="AD85" i="5"/>
  <c r="AC86" i="5"/>
  <c r="BJ86" i="5"/>
  <c r="CO81" i="5"/>
  <c r="CW80" i="5" s="1"/>
  <c r="DA54" i="4"/>
  <c r="J81" i="5"/>
  <c r="V81" i="5" s="1"/>
  <c r="J74" i="4"/>
  <c r="CW55" i="4"/>
  <c r="CA55" i="4"/>
  <c r="CY56" i="4"/>
  <c r="CS57" i="4" s="1"/>
  <c r="BP56" i="4"/>
  <c r="BI56" i="4"/>
  <c r="CA56" i="4" s="1"/>
  <c r="X56" i="4"/>
  <c r="K75" i="4" s="1"/>
  <c r="CT56" i="4"/>
  <c r="CZ55" i="4" s="1"/>
  <c r="DL82" i="5"/>
  <c r="DZ82" i="5"/>
  <c r="EB79" i="5"/>
  <c r="I80" i="5" s="1"/>
  <c r="U80" i="5" s="1"/>
  <c r="DN79" i="5"/>
  <c r="H80" i="5" s="1"/>
  <c r="T80" i="5" s="1"/>
  <c r="CY79" i="5"/>
  <c r="CX82" i="5"/>
  <c r="N82" i="5"/>
  <c r="DD52" i="4"/>
  <c r="DE52" i="4" s="1"/>
  <c r="H71" i="4" s="1"/>
  <c r="DE51" i="4"/>
  <c r="H70" i="4" s="1"/>
  <c r="CV55" i="4"/>
  <c r="CV56" i="4" s="1"/>
  <c r="DG54" i="4"/>
  <c r="DC81" i="5"/>
  <c r="DK80" i="5" s="1"/>
  <c r="DM80" i="5" s="1"/>
  <c r="DG80" i="5"/>
  <c r="DI80" i="5" s="1"/>
  <c r="DJ80" i="5" s="1"/>
  <c r="DN80" i="5" s="1"/>
  <c r="DQ81" i="5"/>
  <c r="DY80" i="5" s="1"/>
  <c r="EA80" i="5" s="1"/>
  <c r="CU79" i="5"/>
  <c r="CV79" i="5" s="1"/>
  <c r="CS80" i="5"/>
  <c r="CU80" i="5" s="1"/>
  <c r="CV80" i="5" s="1"/>
  <c r="DF81" i="5"/>
  <c r="CR81" i="5"/>
  <c r="CS81" i="5" s="1"/>
  <c r="B83" i="5"/>
  <c r="AA83" i="5"/>
  <c r="DV82" i="5"/>
  <c r="CT82" i="5"/>
  <c r="BY82" i="5"/>
  <c r="DT82" i="5" s="1"/>
  <c r="DH82" i="5"/>
  <c r="AB82" i="5"/>
  <c r="K83" i="5" s="1"/>
  <c r="W83" i="5" s="1"/>
  <c r="DW80" i="5"/>
  <c r="DX80" i="5" s="1"/>
  <c r="CN82" i="5"/>
  <c r="CP82" i="5"/>
  <c r="CQ82" i="5"/>
  <c r="DS81" i="5"/>
  <c r="DU81" i="5" s="1"/>
  <c r="DD82" i="5"/>
  <c r="DB82" i="5"/>
  <c r="DP82" i="5"/>
  <c r="DR82" i="5"/>
  <c r="DB54" i="4"/>
  <c r="DC54" i="4" s="1"/>
  <c r="W57" i="4"/>
  <c r="AD57" i="4" s="1"/>
  <c r="C75" i="4"/>
  <c r="CU56" i="4"/>
  <c r="CL81" i="5" l="1"/>
  <c r="BZ83" i="5"/>
  <c r="CB83" i="5"/>
  <c r="CC83" i="5" s="1"/>
  <c r="CK81" i="5"/>
  <c r="AX80" i="5"/>
  <c r="AZ80" i="5" s="1"/>
  <c r="AW81" i="5"/>
  <c r="BD79" i="5"/>
  <c r="BF79" i="5" s="1"/>
  <c r="BC79" i="5"/>
  <c r="BG79" i="5" s="1"/>
  <c r="D80" i="5" s="1"/>
  <c r="P80" i="5" s="1"/>
  <c r="BO83" i="5"/>
  <c r="CF83" i="5"/>
  <c r="CI83" i="5" s="1"/>
  <c r="CJ83" i="5"/>
  <c r="AY83" i="5"/>
  <c r="BE83" i="5"/>
  <c r="BA83" i="5"/>
  <c r="CG83" i="5"/>
  <c r="AV83" i="5"/>
  <c r="AU83" i="5"/>
  <c r="BB83" i="5" s="1"/>
  <c r="CA83" i="5"/>
  <c r="CD82" i="5"/>
  <c r="CE82" i="5" s="1"/>
  <c r="CH82" i="5" s="1"/>
  <c r="BK83" i="5"/>
  <c r="BQ83" i="5"/>
  <c r="BL81" i="5"/>
  <c r="BT80" i="5" s="1"/>
  <c r="E11" i="5"/>
  <c r="E27" i="5" s="1"/>
  <c r="Z57" i="4"/>
  <c r="AU57" i="4"/>
  <c r="AF57" i="4"/>
  <c r="CE57" i="4"/>
  <c r="Y57" i="4"/>
  <c r="AQ57" i="4" s="1"/>
  <c r="BN56" i="4"/>
  <c r="AB55" i="4"/>
  <c r="AC55" i="4" s="1"/>
  <c r="AC56" i="4" s="1"/>
  <c r="AC57" i="4" s="1"/>
  <c r="AA55" i="4"/>
  <c r="AT54" i="4" s="1"/>
  <c r="BM80" i="5"/>
  <c r="BN80" i="5" s="1"/>
  <c r="BN81" i="5" s="1"/>
  <c r="BN82" i="5" s="1"/>
  <c r="BN83" i="5" s="1"/>
  <c r="BU83" i="5"/>
  <c r="AO83" i="5"/>
  <c r="AK83" i="5"/>
  <c r="AI83" i="5"/>
  <c r="BV36" i="4"/>
  <c r="BX36" i="4" s="1"/>
  <c r="CK36" i="4" s="1"/>
  <c r="F79" i="5"/>
  <c r="R79" i="5" s="1"/>
  <c r="BM53" i="4"/>
  <c r="BO53" i="4" s="1"/>
  <c r="BL54" i="4"/>
  <c r="BM54" i="4" s="1"/>
  <c r="BO54" i="4" s="1"/>
  <c r="CC48" i="4"/>
  <c r="BZ48" i="4"/>
  <c r="CB48" i="4" s="1"/>
  <c r="BK54" i="4"/>
  <c r="CD53" i="4" s="1"/>
  <c r="CP35" i="4"/>
  <c r="CQ35" i="4" s="1"/>
  <c r="G54" i="4" s="1"/>
  <c r="BR37" i="4"/>
  <c r="BS49" i="4" s="1"/>
  <c r="BT61" i="4" s="1"/>
  <c r="BU73" i="4" s="1"/>
  <c r="CG37" i="4"/>
  <c r="DG81" i="5"/>
  <c r="DI81" i="5" s="1"/>
  <c r="DJ81" i="5" s="1"/>
  <c r="DN81" i="5" s="1"/>
  <c r="H82" i="5" s="1"/>
  <c r="T82" i="5" s="1"/>
  <c r="AD86" i="5"/>
  <c r="AC87" i="5"/>
  <c r="BJ87" i="5"/>
  <c r="CO82" i="5"/>
  <c r="CW81" i="5" s="1"/>
  <c r="DA55" i="4"/>
  <c r="J75" i="4"/>
  <c r="J82" i="5"/>
  <c r="V82" i="5" s="1"/>
  <c r="CW56" i="4"/>
  <c r="CV57" i="4"/>
  <c r="CT57" i="4"/>
  <c r="CZ56" i="4" s="1"/>
  <c r="BP57" i="4"/>
  <c r="CY57" i="4"/>
  <c r="CS58" i="4" s="1"/>
  <c r="BI57" i="4"/>
  <c r="BN57" i="4" s="1"/>
  <c r="X57" i="4"/>
  <c r="K76" i="4" s="1"/>
  <c r="DL83" i="5"/>
  <c r="DZ83" i="5"/>
  <c r="EB80" i="5"/>
  <c r="I81" i="5" s="1"/>
  <c r="U81" i="5" s="1"/>
  <c r="H81" i="5"/>
  <c r="T81" i="5" s="1"/>
  <c r="CZ79" i="5"/>
  <c r="G80" i="5" s="1"/>
  <c r="S80" i="5" s="1"/>
  <c r="CZ80" i="5"/>
  <c r="G81" i="5" s="1"/>
  <c r="S81" i="5" s="1"/>
  <c r="CY80" i="5"/>
  <c r="CX83" i="5"/>
  <c r="N83" i="5"/>
  <c r="DH52" i="4"/>
  <c r="I71" i="4" s="1"/>
  <c r="DD53" i="4"/>
  <c r="DH53" i="4" s="1"/>
  <c r="I72" i="4" s="1"/>
  <c r="DC82" i="5"/>
  <c r="DK81" i="5" s="1"/>
  <c r="DM81" i="5" s="1"/>
  <c r="DQ82" i="5"/>
  <c r="DY81" i="5" s="1"/>
  <c r="EA81" i="5" s="1"/>
  <c r="DS82" i="5"/>
  <c r="DS83" i="5" s="1"/>
  <c r="DF82" i="5"/>
  <c r="DG82" i="5" s="1"/>
  <c r="DI82" i="5" s="1"/>
  <c r="DJ82" i="5" s="1"/>
  <c r="CU81" i="5"/>
  <c r="CV81" i="5" s="1"/>
  <c r="CQ83" i="5"/>
  <c r="CP83" i="5"/>
  <c r="CN83" i="5"/>
  <c r="DR83" i="5"/>
  <c r="DP83" i="5"/>
  <c r="B84" i="5"/>
  <c r="AA84" i="5"/>
  <c r="CT83" i="5"/>
  <c r="DH83" i="5"/>
  <c r="BY83" i="5"/>
  <c r="DT83" i="5" s="1"/>
  <c r="DV83" i="5"/>
  <c r="AB83" i="5"/>
  <c r="K84" i="5" s="1"/>
  <c r="W84" i="5" s="1"/>
  <c r="DW81" i="5"/>
  <c r="DX81" i="5" s="1"/>
  <c r="EB81" i="5" s="1"/>
  <c r="CR82" i="5"/>
  <c r="CS82" i="5" s="1"/>
  <c r="DE83" i="5"/>
  <c r="DD83" i="5"/>
  <c r="DB83" i="5"/>
  <c r="CX55" i="4"/>
  <c r="DF55" i="4" s="1"/>
  <c r="CU57" i="4"/>
  <c r="C76" i="4"/>
  <c r="W58" i="4"/>
  <c r="AD58" i="4" s="1"/>
  <c r="BK84" i="5" l="1"/>
  <c r="AV84" i="5"/>
  <c r="CK82" i="5"/>
  <c r="CK83" i="5" s="1"/>
  <c r="CL82" i="5"/>
  <c r="AX81" i="5"/>
  <c r="AZ81" i="5" s="1"/>
  <c r="AW82" i="5"/>
  <c r="CD83" i="5"/>
  <c r="CE83" i="5" s="1"/>
  <c r="CH83" i="5" s="1"/>
  <c r="BD80" i="5"/>
  <c r="BF80" i="5" s="1"/>
  <c r="BC80" i="5"/>
  <c r="BG80" i="5" s="1"/>
  <c r="D81" i="5" s="1"/>
  <c r="P81" i="5" s="1"/>
  <c r="BO84" i="5"/>
  <c r="CF84" i="5"/>
  <c r="CI84" i="5" s="1"/>
  <c r="CJ84" i="5"/>
  <c r="BA84" i="5"/>
  <c r="AY84" i="5"/>
  <c r="BE84" i="5"/>
  <c r="BZ84" i="5"/>
  <c r="CG84" i="5" s="1"/>
  <c r="CB84" i="5"/>
  <c r="CC84" i="5" s="1"/>
  <c r="CA84" i="5"/>
  <c r="CA85" i="5" s="1"/>
  <c r="AU84" i="5"/>
  <c r="BB84" i="5" s="1"/>
  <c r="BN84" i="5"/>
  <c r="AC58" i="4"/>
  <c r="BQ84" i="5"/>
  <c r="BK85" i="5" s="1"/>
  <c r="BL82" i="5"/>
  <c r="BT81" i="5" s="1"/>
  <c r="Z58" i="4"/>
  <c r="CE58" i="4"/>
  <c r="AU58" i="4"/>
  <c r="AF58" i="4"/>
  <c r="Y58" i="4"/>
  <c r="AQ58" i="4" s="1"/>
  <c r="AA56" i="4"/>
  <c r="AT55" i="4" s="1"/>
  <c r="AE55" i="4"/>
  <c r="AG55" i="4" s="1"/>
  <c r="AB56" i="4"/>
  <c r="BP80" i="5"/>
  <c r="BM81" i="5"/>
  <c r="BV79" i="5"/>
  <c r="CL36" i="4"/>
  <c r="CM36" i="4" s="1"/>
  <c r="CN36" i="4" s="1"/>
  <c r="F55" i="4" s="1"/>
  <c r="BU84" i="5"/>
  <c r="AK84" i="5"/>
  <c r="AO84" i="5"/>
  <c r="AI84" i="5"/>
  <c r="BY36" i="4"/>
  <c r="CO36" i="4" s="1"/>
  <c r="CP36" i="4" s="1"/>
  <c r="F80" i="5"/>
  <c r="R80" i="5" s="1"/>
  <c r="BJ55" i="4"/>
  <c r="BQ55" i="4" s="1"/>
  <c r="CH37" i="4"/>
  <c r="CI37" i="4" s="1"/>
  <c r="CJ37" i="4" s="1"/>
  <c r="CF38" i="4" s="1"/>
  <c r="BV37" i="4"/>
  <c r="BX37" i="4" s="1"/>
  <c r="CK37" i="4" s="1"/>
  <c r="CL37" i="4" s="1"/>
  <c r="AD87" i="5"/>
  <c r="AC88" i="5"/>
  <c r="BJ88" i="5"/>
  <c r="CO83" i="5"/>
  <c r="CW82" i="5" s="1"/>
  <c r="DA56" i="4"/>
  <c r="J76" i="4"/>
  <c r="J83" i="5"/>
  <c r="V83" i="5" s="1"/>
  <c r="CT58" i="4"/>
  <c r="CZ57" i="4" s="1"/>
  <c r="CV58" i="4"/>
  <c r="BP58" i="4"/>
  <c r="CY58" i="4"/>
  <c r="CS59" i="4" s="1"/>
  <c r="BI58" i="4"/>
  <c r="BN58" i="4" s="1"/>
  <c r="X58" i="4"/>
  <c r="K77" i="4" s="1"/>
  <c r="CW57" i="4"/>
  <c r="CA57" i="4"/>
  <c r="DL84" i="5"/>
  <c r="DZ84" i="5"/>
  <c r="I82" i="5"/>
  <c r="U82" i="5" s="1"/>
  <c r="DN82" i="5"/>
  <c r="H83" i="5" s="1"/>
  <c r="T83" i="5" s="1"/>
  <c r="CZ81" i="5"/>
  <c r="G82" i="5" s="1"/>
  <c r="S82" i="5" s="1"/>
  <c r="CY81" i="5"/>
  <c r="CX84" i="5"/>
  <c r="N84" i="5"/>
  <c r="DE53" i="4"/>
  <c r="H72" i="4" s="1"/>
  <c r="DD54" i="4"/>
  <c r="DC83" i="5"/>
  <c r="DK82" i="5" s="1"/>
  <c r="DM82" i="5" s="1"/>
  <c r="DQ83" i="5"/>
  <c r="DY82" i="5" s="1"/>
  <c r="EA82" i="5" s="1"/>
  <c r="DU82" i="5"/>
  <c r="DW82" i="5" s="1"/>
  <c r="DX82" i="5" s="1"/>
  <c r="CR83" i="5"/>
  <c r="CS83" i="5" s="1"/>
  <c r="DU83" i="5"/>
  <c r="DF83" i="5"/>
  <c r="DG83" i="5" s="1"/>
  <c r="DD84" i="5"/>
  <c r="DE84" i="5"/>
  <c r="DB84" i="5"/>
  <c r="CP84" i="5"/>
  <c r="CN84" i="5"/>
  <c r="CQ84" i="5"/>
  <c r="CU82" i="5"/>
  <c r="CV82" i="5" s="1"/>
  <c r="DR84" i="5"/>
  <c r="DP84" i="5"/>
  <c r="DS84" i="5"/>
  <c r="B85" i="5"/>
  <c r="DH84" i="5"/>
  <c r="BY84" i="5"/>
  <c r="DF84" i="5" s="1"/>
  <c r="AA85" i="5"/>
  <c r="DV84" i="5"/>
  <c r="CT84" i="5"/>
  <c r="AB84" i="5"/>
  <c r="K85" i="5" s="1"/>
  <c r="W85" i="5" s="1"/>
  <c r="DG55" i="4"/>
  <c r="DB55" i="4"/>
  <c r="DC55" i="4" s="1"/>
  <c r="CX56" i="4"/>
  <c r="DF56" i="4" s="1"/>
  <c r="CU58" i="4"/>
  <c r="W59" i="4"/>
  <c r="AD59" i="4" s="1"/>
  <c r="C77" i="4"/>
  <c r="CL83" i="5" l="1"/>
  <c r="CK84" i="5"/>
  <c r="AU85" i="5"/>
  <c r="AV85" i="5"/>
  <c r="CD84" i="5"/>
  <c r="CE84" i="5" s="1"/>
  <c r="CH84" i="5" s="1"/>
  <c r="CL84" i="5" s="1"/>
  <c r="BZ85" i="5"/>
  <c r="CG85" i="5" s="1"/>
  <c r="CB85" i="5"/>
  <c r="CC85" i="5" s="1"/>
  <c r="AX82" i="5"/>
  <c r="AZ82" i="5" s="1"/>
  <c r="AW83" i="5"/>
  <c r="BO85" i="5"/>
  <c r="CF85" i="5"/>
  <c r="CI85" i="5" s="1"/>
  <c r="CJ85" i="5"/>
  <c r="BE85" i="5"/>
  <c r="AY85" i="5"/>
  <c r="BA85" i="5"/>
  <c r="BB85" i="5"/>
  <c r="BD81" i="5"/>
  <c r="BF81" i="5" s="1"/>
  <c r="BC81" i="5"/>
  <c r="BG81" i="5" s="1"/>
  <c r="D82" i="5" s="1"/>
  <c r="P82" i="5" s="1"/>
  <c r="AC59" i="4"/>
  <c r="BN85" i="5"/>
  <c r="BQ85" i="5"/>
  <c r="BK86" i="5" s="1"/>
  <c r="BR80" i="5"/>
  <c r="BS80" i="5" s="1"/>
  <c r="BL83" i="5"/>
  <c r="BT82" i="5" s="1"/>
  <c r="AE56" i="4"/>
  <c r="AG56" i="4" s="1"/>
  <c r="AB57" i="4"/>
  <c r="AA57" i="4"/>
  <c r="AT56" i="4" s="1"/>
  <c r="Z59" i="4"/>
  <c r="AF59" i="4"/>
  <c r="AU59" i="4"/>
  <c r="CE59" i="4"/>
  <c r="Y59" i="4"/>
  <c r="AQ59" i="4" s="1"/>
  <c r="BV80" i="5"/>
  <c r="BM82" i="5"/>
  <c r="BP81" i="5"/>
  <c r="CQ36" i="4"/>
  <c r="G55" i="4" s="1"/>
  <c r="BU85" i="5"/>
  <c r="AK85" i="5"/>
  <c r="AO85" i="5"/>
  <c r="AI85" i="5"/>
  <c r="BY37" i="4"/>
  <c r="CO37" i="4" s="1"/>
  <c r="CP37" i="4" s="1"/>
  <c r="BR38" i="4"/>
  <c r="BS50" i="4" s="1"/>
  <c r="BT62" i="4" s="1"/>
  <c r="BU74" i="4" s="1"/>
  <c r="BK55" i="4"/>
  <c r="CD54" i="4" s="1"/>
  <c r="BL55" i="4"/>
  <c r="BJ56" i="4"/>
  <c r="BQ56" i="4" s="1"/>
  <c r="CG38" i="4"/>
  <c r="CC49" i="4"/>
  <c r="BZ49" i="4"/>
  <c r="CB49" i="4" s="1"/>
  <c r="CM37" i="4"/>
  <c r="CN37" i="4" s="1"/>
  <c r="F56" i="4" s="1"/>
  <c r="AD88" i="5"/>
  <c r="AC89" i="5"/>
  <c r="BJ89" i="5"/>
  <c r="J77" i="4"/>
  <c r="CO84" i="5"/>
  <c r="CW83" i="5" s="1"/>
  <c r="DA57" i="4"/>
  <c r="J84" i="5"/>
  <c r="V84" i="5" s="1"/>
  <c r="CV59" i="4"/>
  <c r="CT59" i="4"/>
  <c r="CZ58" i="4" s="1"/>
  <c r="BP59" i="4"/>
  <c r="CY59" i="4"/>
  <c r="CS60" i="4" s="1"/>
  <c r="BI59" i="4"/>
  <c r="BN59" i="4" s="1"/>
  <c r="X59" i="4"/>
  <c r="K78" i="4" s="1"/>
  <c r="CW58" i="4"/>
  <c r="CX58" i="4" s="1"/>
  <c r="DF58" i="4" s="1"/>
  <c r="CA58" i="4"/>
  <c r="DL85" i="5"/>
  <c r="DZ85" i="5"/>
  <c r="EB82" i="5"/>
  <c r="I83" i="5" s="1"/>
  <c r="U83" i="5" s="1"/>
  <c r="CY82" i="5"/>
  <c r="CZ82" i="5"/>
  <c r="G83" i="5" s="1"/>
  <c r="S83" i="5" s="1"/>
  <c r="CX85" i="5"/>
  <c r="N85" i="5"/>
  <c r="DE54" i="4"/>
  <c r="H73" i="4" s="1"/>
  <c r="DH54" i="4"/>
  <c r="I73" i="4" s="1"/>
  <c r="DD55" i="4"/>
  <c r="DC84" i="5"/>
  <c r="DK83" i="5" s="1"/>
  <c r="DM83" i="5" s="1"/>
  <c r="DQ84" i="5"/>
  <c r="DY83" i="5" s="1"/>
  <c r="EA83" i="5" s="1"/>
  <c r="DI83" i="5"/>
  <c r="DJ83" i="5" s="1"/>
  <c r="DT84" i="5"/>
  <c r="DU84" i="5" s="1"/>
  <c r="CU83" i="5"/>
  <c r="CV83" i="5" s="1"/>
  <c r="CR84" i="5"/>
  <c r="CS84" i="5" s="1"/>
  <c r="DB85" i="5"/>
  <c r="DD85" i="5"/>
  <c r="DE85" i="5"/>
  <c r="CN85" i="5"/>
  <c r="CQ85" i="5"/>
  <c r="CP85" i="5"/>
  <c r="DP85" i="5"/>
  <c r="DS85" i="5"/>
  <c r="DR85" i="5"/>
  <c r="DG84" i="5"/>
  <c r="DW83" i="5"/>
  <c r="DX83" i="5" s="1"/>
  <c r="B86" i="5"/>
  <c r="AA86" i="5"/>
  <c r="DV85" i="5"/>
  <c r="CT85" i="5"/>
  <c r="DH85" i="5"/>
  <c r="BY85" i="5"/>
  <c r="DF85" i="5" s="1"/>
  <c r="AB85" i="5"/>
  <c r="K86" i="5" s="1"/>
  <c r="W86" i="5" s="1"/>
  <c r="DG56" i="4"/>
  <c r="DB56" i="4"/>
  <c r="DC56" i="4" s="1"/>
  <c r="CU59" i="4"/>
  <c r="W60" i="4"/>
  <c r="AD60" i="4" s="1"/>
  <c r="C78" i="4"/>
  <c r="CX57" i="4"/>
  <c r="DF57" i="4" s="1"/>
  <c r="CD85" i="5" l="1"/>
  <c r="CE85" i="5" s="1"/>
  <c r="CH85" i="5" s="1"/>
  <c r="CL85" i="5" s="1"/>
  <c r="BZ86" i="5"/>
  <c r="CG86" i="5" s="1"/>
  <c r="CB86" i="5"/>
  <c r="CC86" i="5" s="1"/>
  <c r="CK85" i="5"/>
  <c r="AV86" i="5"/>
  <c r="AU86" i="5"/>
  <c r="BB86" i="5" s="1"/>
  <c r="AX83" i="5"/>
  <c r="AZ83" i="5" s="1"/>
  <c r="AW84" i="5"/>
  <c r="BD82" i="5"/>
  <c r="BF82" i="5" s="1"/>
  <c r="BC82" i="5"/>
  <c r="BG82" i="5" s="1"/>
  <c r="D83" i="5" s="1"/>
  <c r="P83" i="5" s="1"/>
  <c r="CA86" i="5"/>
  <c r="BO86" i="5"/>
  <c r="CF86" i="5"/>
  <c r="CI86" i="5" s="1"/>
  <c r="BE86" i="5"/>
  <c r="CJ86" i="5"/>
  <c r="BA86" i="5"/>
  <c r="AY86" i="5"/>
  <c r="BN86" i="5"/>
  <c r="AC60" i="4"/>
  <c r="BW80" i="5"/>
  <c r="E81" i="5" s="1"/>
  <c r="Q81" i="5" s="1"/>
  <c r="BQ86" i="5"/>
  <c r="BK87" i="5" s="1"/>
  <c r="BR81" i="5"/>
  <c r="BS81" i="5" s="1"/>
  <c r="BL84" i="5"/>
  <c r="BT83" i="5" s="1"/>
  <c r="AU60" i="4"/>
  <c r="AF60" i="4"/>
  <c r="CE60" i="4"/>
  <c r="Y60" i="4"/>
  <c r="AQ60" i="4" s="1"/>
  <c r="AE57" i="4"/>
  <c r="AG57" i="4" s="1"/>
  <c r="AB58" i="4"/>
  <c r="Z60" i="4"/>
  <c r="AA58" i="4"/>
  <c r="AT57" i="4" s="1"/>
  <c r="AW55" i="4"/>
  <c r="BM83" i="5"/>
  <c r="BP82" i="5"/>
  <c r="BV81" i="5"/>
  <c r="J78" i="4"/>
  <c r="BU86" i="5"/>
  <c r="AK86" i="5"/>
  <c r="AO86" i="5"/>
  <c r="AI86" i="5"/>
  <c r="CQ37" i="4"/>
  <c r="G56" i="4" s="1"/>
  <c r="CH38" i="4"/>
  <c r="CI38" i="4" s="1"/>
  <c r="CJ38" i="4" s="1"/>
  <c r="CF39" i="4" s="1"/>
  <c r="F81" i="5"/>
  <c r="R81" i="5" s="1"/>
  <c r="BJ57" i="4"/>
  <c r="BV38" i="4"/>
  <c r="BX38" i="4" s="1"/>
  <c r="CK38" i="4" s="1"/>
  <c r="CL38" i="4" s="1"/>
  <c r="BM55" i="4"/>
  <c r="BO55" i="4" s="1"/>
  <c r="BL56" i="4"/>
  <c r="BK56" i="4"/>
  <c r="CD55" i="4" s="1"/>
  <c r="AD89" i="5"/>
  <c r="AC90" i="5"/>
  <c r="BJ90" i="5"/>
  <c r="DA58" i="4"/>
  <c r="CO85" i="5"/>
  <c r="CW84" i="5" s="1"/>
  <c r="J85" i="5"/>
  <c r="V85" i="5" s="1"/>
  <c r="CT60" i="4"/>
  <c r="CZ59" i="4" s="1"/>
  <c r="BP60" i="4"/>
  <c r="CY60" i="4"/>
  <c r="CS61" i="4" s="1"/>
  <c r="BI60" i="4"/>
  <c r="CA60" i="4" s="1"/>
  <c r="X60" i="4"/>
  <c r="K79" i="4" s="1"/>
  <c r="CV60" i="4"/>
  <c r="CW59" i="4"/>
  <c r="CX59" i="4" s="1"/>
  <c r="DF59" i="4" s="1"/>
  <c r="CA59" i="4"/>
  <c r="DL86" i="5"/>
  <c r="DZ86" i="5"/>
  <c r="EB83" i="5"/>
  <c r="I84" i="5" s="1"/>
  <c r="U84" i="5" s="1"/>
  <c r="DN83" i="5"/>
  <c r="H84" i="5" s="1"/>
  <c r="T84" i="5" s="1"/>
  <c r="CX86" i="5"/>
  <c r="CY83" i="5"/>
  <c r="CZ83" i="5"/>
  <c r="G84" i="5" s="1"/>
  <c r="S84" i="5" s="1"/>
  <c r="N86" i="5"/>
  <c r="DE55" i="4"/>
  <c r="H74" i="4" s="1"/>
  <c r="DH55" i="4"/>
  <c r="I74" i="4" s="1"/>
  <c r="DB58" i="4"/>
  <c r="DC58" i="4" s="1"/>
  <c r="DC85" i="5"/>
  <c r="DK84" i="5" s="1"/>
  <c r="DM84" i="5" s="1"/>
  <c r="DQ85" i="5"/>
  <c r="DY84" i="5" s="1"/>
  <c r="EA84" i="5" s="1"/>
  <c r="CU84" i="5"/>
  <c r="CV84" i="5" s="1"/>
  <c r="DR86" i="5"/>
  <c r="DS86" i="5"/>
  <c r="DP86" i="5"/>
  <c r="DG85" i="5"/>
  <c r="CR85" i="5"/>
  <c r="CS85" i="5" s="1"/>
  <c r="DE86" i="5"/>
  <c r="DD86" i="5"/>
  <c r="DB86" i="5"/>
  <c r="DT85" i="5"/>
  <c r="DU85" i="5" s="1"/>
  <c r="DW84" i="5"/>
  <c r="DX84" i="5" s="1"/>
  <c r="B87" i="5"/>
  <c r="DH86" i="5"/>
  <c r="BY86" i="5"/>
  <c r="CD86" i="5" s="1"/>
  <c r="AA87" i="5"/>
  <c r="DV86" i="5"/>
  <c r="CT86" i="5"/>
  <c r="AB86" i="5"/>
  <c r="K87" i="5" s="1"/>
  <c r="W87" i="5" s="1"/>
  <c r="DI84" i="5"/>
  <c r="DJ84" i="5" s="1"/>
  <c r="CN86" i="5"/>
  <c r="CQ86" i="5"/>
  <c r="CP86" i="5"/>
  <c r="DG58" i="4"/>
  <c r="DD56" i="4"/>
  <c r="DH56" i="4" s="1"/>
  <c r="I75" i="4" s="1"/>
  <c r="DG57" i="4"/>
  <c r="DB57" i="4"/>
  <c r="DC57" i="4" s="1"/>
  <c r="CU60" i="4"/>
  <c r="W61" i="4"/>
  <c r="C79" i="4"/>
  <c r="CK86" i="5" l="1"/>
  <c r="BZ87" i="5"/>
  <c r="CG87" i="5" s="1"/>
  <c r="CB87" i="5"/>
  <c r="CC87" i="5" s="1"/>
  <c r="AV87" i="5"/>
  <c r="CA87" i="5"/>
  <c r="AU87" i="5"/>
  <c r="BB87" i="5" s="1"/>
  <c r="CE86" i="5"/>
  <c r="CH86" i="5" s="1"/>
  <c r="CL86" i="5" s="1"/>
  <c r="AX84" i="5"/>
  <c r="AZ84" i="5" s="1"/>
  <c r="AW85" i="5"/>
  <c r="BO87" i="5"/>
  <c r="CJ87" i="5"/>
  <c r="CF87" i="5"/>
  <c r="CI87" i="5" s="1"/>
  <c r="AY87" i="5"/>
  <c r="BA87" i="5"/>
  <c r="BE87" i="5"/>
  <c r="BD83" i="5"/>
  <c r="BF83" i="5" s="1"/>
  <c r="BC83" i="5"/>
  <c r="BG83" i="5" s="1"/>
  <c r="D84" i="5" s="1"/>
  <c r="P84" i="5" s="1"/>
  <c r="AC61" i="4"/>
  <c r="BN87" i="5"/>
  <c r="BW81" i="5"/>
  <c r="E82" i="5" s="1"/>
  <c r="Q82" i="5" s="1"/>
  <c r="BQ87" i="5"/>
  <c r="BK88" i="5" s="1"/>
  <c r="BL85" i="5"/>
  <c r="BT84" i="5" s="1"/>
  <c r="BJ58" i="4"/>
  <c r="BQ57" i="4"/>
  <c r="Z61" i="4"/>
  <c r="AA59" i="4"/>
  <c r="AT58" i="4" s="1"/>
  <c r="AE58" i="4"/>
  <c r="AG58" i="4" s="1"/>
  <c r="AB59" i="4"/>
  <c r="J79" i="4"/>
  <c r="AF61" i="4"/>
  <c r="AU61" i="4"/>
  <c r="CE61" i="4"/>
  <c r="Y61" i="4"/>
  <c r="AW56" i="4"/>
  <c r="BN60" i="4"/>
  <c r="BV82" i="5"/>
  <c r="BP83" i="5"/>
  <c r="BM84" i="5"/>
  <c r="BU87" i="5"/>
  <c r="AK87" i="5"/>
  <c r="AO87" i="5"/>
  <c r="AI87" i="5"/>
  <c r="BY38" i="4"/>
  <c r="CO38" i="4" s="1"/>
  <c r="CP38" i="4" s="1"/>
  <c r="BM56" i="4"/>
  <c r="BO56" i="4" s="1"/>
  <c r="BL57" i="4"/>
  <c r="F82" i="5"/>
  <c r="R82" i="5" s="1"/>
  <c r="CG39" i="4"/>
  <c r="CC50" i="4"/>
  <c r="BZ50" i="4"/>
  <c r="CB50" i="4" s="1"/>
  <c r="CM38" i="4"/>
  <c r="CN38" i="4" s="1"/>
  <c r="F57" i="4" s="1"/>
  <c r="BR39" i="4"/>
  <c r="BS51" i="4" s="1"/>
  <c r="BT63" i="4" s="1"/>
  <c r="BU75" i="4" s="1"/>
  <c r="BK57" i="4"/>
  <c r="CD56" i="4" s="1"/>
  <c r="AD90" i="5"/>
  <c r="AC91" i="5"/>
  <c r="BJ91" i="5"/>
  <c r="DT86" i="5"/>
  <c r="DU86" i="5" s="1"/>
  <c r="DA59" i="4"/>
  <c r="CO86" i="5"/>
  <c r="CW85" i="5" s="1"/>
  <c r="J86" i="5"/>
  <c r="V86" i="5" s="1"/>
  <c r="BP61" i="4"/>
  <c r="CY61" i="4"/>
  <c r="CS62" i="4" s="1"/>
  <c r="BI61" i="4"/>
  <c r="X61" i="4"/>
  <c r="K80" i="4" s="1"/>
  <c r="CV61" i="4"/>
  <c r="CT61" i="4"/>
  <c r="CZ60" i="4" s="1"/>
  <c r="CW60" i="4"/>
  <c r="CX60" i="4" s="1"/>
  <c r="DF60" i="4" s="1"/>
  <c r="DL87" i="5"/>
  <c r="DZ87" i="5"/>
  <c r="EB84" i="5"/>
  <c r="I85" i="5" s="1"/>
  <c r="U85" i="5" s="1"/>
  <c r="DN84" i="5"/>
  <c r="H85" i="5" s="1"/>
  <c r="T85" i="5" s="1"/>
  <c r="CY84" i="5"/>
  <c r="CZ84" i="5"/>
  <c r="G85" i="5" s="1"/>
  <c r="S85" i="5" s="1"/>
  <c r="CX87" i="5"/>
  <c r="N87" i="5"/>
  <c r="DG59" i="4"/>
  <c r="DC86" i="5"/>
  <c r="DK85" i="5" s="1"/>
  <c r="DM85" i="5" s="1"/>
  <c r="DQ86" i="5"/>
  <c r="DY85" i="5" s="1"/>
  <c r="EA85" i="5" s="1"/>
  <c r="DF86" i="5"/>
  <c r="DG86" i="5" s="1"/>
  <c r="DW85" i="5"/>
  <c r="DX85" i="5" s="1"/>
  <c r="CU85" i="5"/>
  <c r="CV85" i="5" s="1"/>
  <c r="DH87" i="5"/>
  <c r="BY87" i="5"/>
  <c r="CD87" i="5" s="1"/>
  <c r="B88" i="5"/>
  <c r="DV87" i="5"/>
  <c r="CT87" i="5"/>
  <c r="AA88" i="5"/>
  <c r="AB87" i="5"/>
  <c r="K88" i="5" s="1"/>
  <c r="W88" i="5" s="1"/>
  <c r="CR86" i="5"/>
  <c r="CS86" i="5" s="1"/>
  <c r="CP87" i="5"/>
  <c r="CN87" i="5"/>
  <c r="CQ87" i="5"/>
  <c r="DD87" i="5"/>
  <c r="DB87" i="5"/>
  <c r="DE87" i="5"/>
  <c r="DR87" i="5"/>
  <c r="DS87" i="5"/>
  <c r="DP87" i="5"/>
  <c r="DI85" i="5"/>
  <c r="DJ85" i="5" s="1"/>
  <c r="DD57" i="4"/>
  <c r="DD58" i="4" s="1"/>
  <c r="DE56" i="4"/>
  <c r="H75" i="4" s="1"/>
  <c r="DB59" i="4"/>
  <c r="DC59" i="4" s="1"/>
  <c r="C80" i="4"/>
  <c r="W62" i="4"/>
  <c r="CU61" i="4"/>
  <c r="BZ88" i="5" l="1"/>
  <c r="CB88" i="5"/>
  <c r="CC88" i="5" s="1"/>
  <c r="CA88" i="5"/>
  <c r="BO88" i="5"/>
  <c r="CF88" i="5"/>
  <c r="CI88" i="5" s="1"/>
  <c r="CJ88" i="5"/>
  <c r="BA88" i="5"/>
  <c r="BE88" i="5"/>
  <c r="AY88" i="5"/>
  <c r="CG88" i="5"/>
  <c r="AC62" i="4"/>
  <c r="CK87" i="5"/>
  <c r="AV88" i="5"/>
  <c r="CE87" i="5"/>
  <c r="CH87" i="5" s="1"/>
  <c r="CL87" i="5" s="1"/>
  <c r="AX85" i="5"/>
  <c r="AZ85" i="5" s="1"/>
  <c r="AW86" i="5"/>
  <c r="AU88" i="5"/>
  <c r="BB88" i="5" s="1"/>
  <c r="BD84" i="5"/>
  <c r="BF84" i="5" s="1"/>
  <c r="BC84" i="5"/>
  <c r="BG84" i="5" s="1"/>
  <c r="D85" i="5" s="1"/>
  <c r="P85" i="5" s="1"/>
  <c r="BN88" i="5"/>
  <c r="BQ88" i="5"/>
  <c r="BK89" i="5" s="1"/>
  <c r="BR82" i="5"/>
  <c r="BS82" i="5" s="1"/>
  <c r="BL86" i="5"/>
  <c r="BT85" i="5" s="1"/>
  <c r="AQ61" i="4"/>
  <c r="AD61" i="4"/>
  <c r="BJ59" i="4"/>
  <c r="BQ58" i="4"/>
  <c r="J80" i="4"/>
  <c r="Z62" i="4"/>
  <c r="BN61" i="4"/>
  <c r="AE59" i="4"/>
  <c r="AG59" i="4" s="1"/>
  <c r="AB60" i="4"/>
  <c r="AA60" i="4"/>
  <c r="AT59" i="4" s="1"/>
  <c r="AU62" i="4"/>
  <c r="AF62" i="4"/>
  <c r="CE62" i="4"/>
  <c r="Y62" i="4"/>
  <c r="AW57" i="4"/>
  <c r="BV83" i="5"/>
  <c r="BP84" i="5"/>
  <c r="BM85" i="5"/>
  <c r="AK88" i="5"/>
  <c r="AO88" i="5"/>
  <c r="BU88" i="5"/>
  <c r="AI88" i="5"/>
  <c r="F83" i="5"/>
  <c r="R83" i="5" s="1"/>
  <c r="BK58" i="4"/>
  <c r="CD57" i="4" s="1"/>
  <c r="CQ38" i="4"/>
  <c r="G57" i="4" s="1"/>
  <c r="BM57" i="4"/>
  <c r="BO57" i="4" s="1"/>
  <c r="BL58" i="4"/>
  <c r="BV39" i="4"/>
  <c r="BX39" i="4" s="1"/>
  <c r="CK39" i="4" s="1"/>
  <c r="CL39" i="4" s="1"/>
  <c r="CH39" i="4"/>
  <c r="CI39" i="4" s="1"/>
  <c r="CJ39" i="4" s="1"/>
  <c r="CF40" i="4" s="1"/>
  <c r="AD91" i="5"/>
  <c r="AC92" i="5"/>
  <c r="BJ92" i="5"/>
  <c r="DF87" i="5"/>
  <c r="DG87" i="5" s="1"/>
  <c r="DA60" i="4"/>
  <c r="CO87" i="5"/>
  <c r="CW86" i="5" s="1"/>
  <c r="J87" i="5"/>
  <c r="V87" i="5" s="1"/>
  <c r="CW61" i="4"/>
  <c r="CX61" i="4" s="1"/>
  <c r="DF61" i="4" s="1"/>
  <c r="CA61" i="4"/>
  <c r="CT62" i="4"/>
  <c r="CV62" i="4"/>
  <c r="BP62" i="4"/>
  <c r="CY62" i="4"/>
  <c r="CS63" i="4" s="1"/>
  <c r="BI62" i="4"/>
  <c r="BN62" i="4" s="1"/>
  <c r="X62" i="4"/>
  <c r="K81" i="4" s="1"/>
  <c r="DL88" i="5"/>
  <c r="DZ88" i="5"/>
  <c r="EB85" i="5"/>
  <c r="I86" i="5" s="1"/>
  <c r="U86" i="5" s="1"/>
  <c r="DN85" i="5"/>
  <c r="H86" i="5" s="1"/>
  <c r="T86" i="5" s="1"/>
  <c r="CX88" i="5"/>
  <c r="CY85" i="5"/>
  <c r="CZ85" i="5"/>
  <c r="G86" i="5" s="1"/>
  <c r="S86" i="5" s="1"/>
  <c r="N88" i="5"/>
  <c r="DC87" i="5"/>
  <c r="DK86" i="5" s="1"/>
  <c r="DM86" i="5" s="1"/>
  <c r="DQ87" i="5"/>
  <c r="DY86" i="5" s="1"/>
  <c r="EA86" i="5" s="1"/>
  <c r="DT87" i="5"/>
  <c r="DU87" i="5" s="1"/>
  <c r="CR87" i="5"/>
  <c r="CS87" i="5" s="1"/>
  <c r="B89" i="5"/>
  <c r="DV88" i="5"/>
  <c r="CT88" i="5"/>
  <c r="BY88" i="5"/>
  <c r="CD88" i="5" s="1"/>
  <c r="DH88" i="5"/>
  <c r="AA89" i="5"/>
  <c r="AB88" i="5"/>
  <c r="K89" i="5" s="1"/>
  <c r="W89" i="5" s="1"/>
  <c r="DE88" i="5"/>
  <c r="DB88" i="5"/>
  <c r="DD88" i="5"/>
  <c r="DI86" i="5"/>
  <c r="DJ86" i="5" s="1"/>
  <c r="CU86" i="5"/>
  <c r="CV86" i="5" s="1"/>
  <c r="DW86" i="5"/>
  <c r="DX86" i="5" s="1"/>
  <c r="CQ88" i="5"/>
  <c r="CN88" i="5"/>
  <c r="CP88" i="5"/>
  <c r="DS88" i="5"/>
  <c r="DR88" i="5"/>
  <c r="DP88" i="5"/>
  <c r="DE58" i="4"/>
  <c r="H77" i="4" s="1"/>
  <c r="DH58" i="4"/>
  <c r="I77" i="4" s="1"/>
  <c r="DD59" i="4"/>
  <c r="DE59" i="4" s="1"/>
  <c r="H78" i="4" s="1"/>
  <c r="DE57" i="4"/>
  <c r="H76" i="4" s="1"/>
  <c r="DH57" i="4"/>
  <c r="I76" i="4" s="1"/>
  <c r="DG60" i="4"/>
  <c r="DB60" i="4"/>
  <c r="DC60" i="4" s="1"/>
  <c r="CU62" i="4"/>
  <c r="W63" i="4"/>
  <c r="C81" i="4"/>
  <c r="AV89" i="5" l="1"/>
  <c r="BZ89" i="5"/>
  <c r="CG89" i="5" s="1"/>
  <c r="CB89" i="5"/>
  <c r="CC89" i="5" s="1"/>
  <c r="CK88" i="5"/>
  <c r="AX86" i="5"/>
  <c r="AZ86" i="5" s="1"/>
  <c r="AW87" i="5"/>
  <c r="CA89" i="5"/>
  <c r="CA90" i="5" s="1"/>
  <c r="BO89" i="5"/>
  <c r="CF89" i="5"/>
  <c r="CI89" i="5" s="1"/>
  <c r="CJ89" i="5"/>
  <c r="AY89" i="5"/>
  <c r="BE89" i="5"/>
  <c r="BA89" i="5"/>
  <c r="BD85" i="5"/>
  <c r="BF85" i="5" s="1"/>
  <c r="BC85" i="5"/>
  <c r="BG85" i="5" s="1"/>
  <c r="D86" i="5" s="1"/>
  <c r="P86" i="5" s="1"/>
  <c r="CE88" i="5"/>
  <c r="CH88" i="5" s="1"/>
  <c r="CL88" i="5" s="1"/>
  <c r="AU89" i="5"/>
  <c r="BB89" i="5" s="1"/>
  <c r="AC63" i="4"/>
  <c r="BN89" i="5"/>
  <c r="BW82" i="5"/>
  <c r="E83" i="5" s="1"/>
  <c r="Q83" i="5" s="1"/>
  <c r="BQ89" i="5"/>
  <c r="BK90" i="5" s="1"/>
  <c r="BL87" i="5"/>
  <c r="BT86" i="5" s="1"/>
  <c r="BR83" i="5"/>
  <c r="BS83" i="5" s="1"/>
  <c r="J81" i="4"/>
  <c r="AQ62" i="4"/>
  <c r="AD62" i="4"/>
  <c r="BJ60" i="4"/>
  <c r="BQ59" i="4"/>
  <c r="AE60" i="4"/>
  <c r="AG60" i="4" s="1"/>
  <c r="AB61" i="4"/>
  <c r="AF63" i="4"/>
  <c r="CE63" i="4"/>
  <c r="AU63" i="4"/>
  <c r="Y63" i="4"/>
  <c r="AA61" i="4"/>
  <c r="AW58" i="4"/>
  <c r="Z63" i="4"/>
  <c r="BV84" i="5"/>
  <c r="BP85" i="5"/>
  <c r="BM86" i="5"/>
  <c r="BU89" i="5"/>
  <c r="AO89" i="5"/>
  <c r="AK89" i="5"/>
  <c r="AI89" i="5"/>
  <c r="BY39" i="4"/>
  <c r="CO39" i="4" s="1"/>
  <c r="CP39" i="4" s="1"/>
  <c r="BR40" i="4"/>
  <c r="BS52" i="4" s="1"/>
  <c r="BT64" i="4" s="1"/>
  <c r="BU76" i="4" s="1"/>
  <c r="CM39" i="4"/>
  <c r="CN39" i="4" s="1"/>
  <c r="F58" i="4" s="1"/>
  <c r="CG40" i="4"/>
  <c r="CC51" i="4"/>
  <c r="BZ51" i="4"/>
  <c r="CB51" i="4" s="1"/>
  <c r="BM58" i="4"/>
  <c r="BO58" i="4" s="1"/>
  <c r="BL59" i="4"/>
  <c r="BK59" i="4"/>
  <c r="CD58" i="4" s="1"/>
  <c r="F84" i="5"/>
  <c r="R84" i="5" s="1"/>
  <c r="AD92" i="5"/>
  <c r="AC93" i="5"/>
  <c r="BJ93" i="5"/>
  <c r="DT88" i="5"/>
  <c r="DU88" i="5" s="1"/>
  <c r="CO88" i="5"/>
  <c r="CW87" i="5" s="1"/>
  <c r="CT63" i="4"/>
  <c r="CZ62" i="4" s="1"/>
  <c r="J88" i="5"/>
  <c r="V88" i="5" s="1"/>
  <c r="CV63" i="4"/>
  <c r="CW62" i="4"/>
  <c r="CX62" i="4" s="1"/>
  <c r="DF62" i="4" s="1"/>
  <c r="CA62" i="4"/>
  <c r="CY63" i="4"/>
  <c r="CS64" i="4" s="1"/>
  <c r="BP63" i="4"/>
  <c r="BI63" i="4"/>
  <c r="BN63" i="4" s="1"/>
  <c r="X63" i="4"/>
  <c r="K82" i="4" s="1"/>
  <c r="CZ61" i="4"/>
  <c r="DA61" i="4" s="1"/>
  <c r="DL89" i="5"/>
  <c r="DZ89" i="5"/>
  <c r="EB86" i="5"/>
  <c r="I87" i="5" s="1"/>
  <c r="U87" i="5" s="1"/>
  <c r="DN86" i="5"/>
  <c r="H87" i="5" s="1"/>
  <c r="T87" i="5" s="1"/>
  <c r="CX89" i="5"/>
  <c r="CY86" i="5"/>
  <c r="CZ86" i="5"/>
  <c r="G87" i="5" s="1"/>
  <c r="S87" i="5" s="1"/>
  <c r="N89" i="5"/>
  <c r="DG61" i="4"/>
  <c r="DC88" i="5"/>
  <c r="DK87" i="5" s="1"/>
  <c r="DM87" i="5" s="1"/>
  <c r="DQ88" i="5"/>
  <c r="DY87" i="5" s="1"/>
  <c r="EA87" i="5" s="1"/>
  <c r="CU87" i="5"/>
  <c r="CV87" i="5" s="1"/>
  <c r="DW87" i="5"/>
  <c r="DX87" i="5" s="1"/>
  <c r="EB87" i="5" s="1"/>
  <c r="B90" i="5"/>
  <c r="AA90" i="5"/>
  <c r="DH89" i="5"/>
  <c r="BY89" i="5"/>
  <c r="CD89" i="5" s="1"/>
  <c r="DV89" i="5"/>
  <c r="CT89" i="5"/>
  <c r="AB89" i="5"/>
  <c r="K90" i="5" s="1"/>
  <c r="W90" i="5" s="1"/>
  <c r="DI87" i="5"/>
  <c r="DJ87" i="5" s="1"/>
  <c r="DN87" i="5" s="1"/>
  <c r="DB89" i="5"/>
  <c r="DE89" i="5"/>
  <c r="DD89" i="5"/>
  <c r="DF88" i="5"/>
  <c r="DG88" i="5" s="1"/>
  <c r="CN89" i="5"/>
  <c r="CP89" i="5"/>
  <c r="CQ89" i="5"/>
  <c r="CR88" i="5"/>
  <c r="CS88" i="5" s="1"/>
  <c r="DP89" i="5"/>
  <c r="DS89" i="5"/>
  <c r="DR89" i="5"/>
  <c r="DH59" i="4"/>
  <c r="I78" i="4" s="1"/>
  <c r="DD60" i="4"/>
  <c r="DE60" i="4" s="1"/>
  <c r="H79" i="4" s="1"/>
  <c r="DB61" i="4"/>
  <c r="DC61" i="4" s="1"/>
  <c r="CU63" i="4"/>
  <c r="W64" i="4"/>
  <c r="C82" i="4"/>
  <c r="CK89" i="5" l="1"/>
  <c r="AC64" i="4"/>
  <c r="AU90" i="5"/>
  <c r="BB90" i="5" s="1"/>
  <c r="AX87" i="5"/>
  <c r="AZ87" i="5" s="1"/>
  <c r="AW88" i="5"/>
  <c r="BD86" i="5"/>
  <c r="BF86" i="5" s="1"/>
  <c r="BC86" i="5"/>
  <c r="BG86" i="5" s="1"/>
  <c r="D87" i="5" s="1"/>
  <c r="P87" i="5" s="1"/>
  <c r="BO90" i="5"/>
  <c r="CJ90" i="5"/>
  <c r="CF90" i="5"/>
  <c r="CI90" i="5" s="1"/>
  <c r="BA90" i="5"/>
  <c r="BE90" i="5"/>
  <c r="AY90" i="5"/>
  <c r="CE89" i="5"/>
  <c r="CH89" i="5" s="1"/>
  <c r="CL89" i="5" s="1"/>
  <c r="BZ90" i="5"/>
  <c r="CG90" i="5" s="1"/>
  <c r="CB90" i="5"/>
  <c r="CC90" i="5" s="1"/>
  <c r="AV90" i="5"/>
  <c r="BN90" i="5"/>
  <c r="BW83" i="5"/>
  <c r="E84" i="5" s="1"/>
  <c r="Q84" i="5" s="1"/>
  <c r="AA62" i="4"/>
  <c r="AT61" i="4" s="1"/>
  <c r="AW61" i="4" s="1"/>
  <c r="AT60" i="4"/>
  <c r="BQ90" i="5"/>
  <c r="BK91" i="5" s="1"/>
  <c r="BR84" i="5"/>
  <c r="BS84" i="5" s="1"/>
  <c r="BV85" i="5"/>
  <c r="BL88" i="5"/>
  <c r="BT87" i="5" s="1"/>
  <c r="J82" i="4"/>
  <c r="AQ63" i="4"/>
  <c r="AD63" i="4"/>
  <c r="BQ60" i="4"/>
  <c r="BJ61" i="4"/>
  <c r="Z64" i="4"/>
  <c r="AW59" i="4"/>
  <c r="AE61" i="4"/>
  <c r="AG61" i="4" s="1"/>
  <c r="AB62" i="4"/>
  <c r="AF64" i="4"/>
  <c r="AU64" i="4"/>
  <c r="CE64" i="4"/>
  <c r="Y64" i="4"/>
  <c r="BM87" i="5"/>
  <c r="BV40" i="4"/>
  <c r="BX40" i="4" s="1"/>
  <c r="CK40" i="4" s="1"/>
  <c r="CL40" i="4" s="1"/>
  <c r="CM40" i="4" s="1"/>
  <c r="CN40" i="4" s="1"/>
  <c r="F59" i="4" s="1"/>
  <c r="AK90" i="5"/>
  <c r="AO90" i="5"/>
  <c r="BU90" i="5"/>
  <c r="AI90" i="5"/>
  <c r="BK60" i="4"/>
  <c r="CD59" i="4" s="1"/>
  <c r="BM59" i="4"/>
  <c r="BO59" i="4" s="1"/>
  <c r="BL60" i="4"/>
  <c r="CH40" i="4"/>
  <c r="CI40" i="4" s="1"/>
  <c r="CJ40" i="4" s="1"/>
  <c r="CF41" i="4" s="1"/>
  <c r="F85" i="5"/>
  <c r="R85" i="5" s="1"/>
  <c r="CQ39" i="4"/>
  <c r="G58" i="4" s="1"/>
  <c r="CO89" i="5"/>
  <c r="CW88" i="5" s="1"/>
  <c r="AD93" i="5"/>
  <c r="AC94" i="5"/>
  <c r="BJ94" i="5"/>
  <c r="DT89" i="5"/>
  <c r="DU89" i="5" s="1"/>
  <c r="DA62" i="4"/>
  <c r="J89" i="5"/>
  <c r="V89" i="5" s="1"/>
  <c r="BP64" i="4"/>
  <c r="CY64" i="4"/>
  <c r="CS65" i="4" s="1"/>
  <c r="BI64" i="4"/>
  <c r="CA64" i="4" s="1"/>
  <c r="X64" i="4"/>
  <c r="K83" i="4" s="1"/>
  <c r="CV64" i="4"/>
  <c r="CT64" i="4"/>
  <c r="CZ63" i="4" s="1"/>
  <c r="CW63" i="4"/>
  <c r="CX63" i="4" s="1"/>
  <c r="DF63" i="4" s="1"/>
  <c r="CA63" i="4"/>
  <c r="DL90" i="5"/>
  <c r="DZ90" i="5"/>
  <c r="I88" i="5"/>
  <c r="U88" i="5" s="1"/>
  <c r="H88" i="5"/>
  <c r="T88" i="5" s="1"/>
  <c r="CY87" i="5"/>
  <c r="CZ87" i="5"/>
  <c r="G88" i="5" s="1"/>
  <c r="S88" i="5" s="1"/>
  <c r="CX90" i="5"/>
  <c r="N90" i="5"/>
  <c r="DC89" i="5"/>
  <c r="DK88" i="5" s="1"/>
  <c r="DM88" i="5" s="1"/>
  <c r="DQ89" i="5"/>
  <c r="DY88" i="5" s="1"/>
  <c r="EA88" i="5" s="1"/>
  <c r="CU88" i="5"/>
  <c r="CV88" i="5" s="1"/>
  <c r="CQ90" i="5"/>
  <c r="CN90" i="5"/>
  <c r="CP90" i="5"/>
  <c r="DD90" i="5"/>
  <c r="DE90" i="5"/>
  <c r="DB90" i="5"/>
  <c r="DF89" i="5"/>
  <c r="DG89" i="5" s="1"/>
  <c r="DP90" i="5"/>
  <c r="DS90" i="5"/>
  <c r="DR90" i="5"/>
  <c r="B91" i="5"/>
  <c r="DV90" i="5"/>
  <c r="BY90" i="5"/>
  <c r="CD90" i="5" s="1"/>
  <c r="DH90" i="5"/>
  <c r="AA91" i="5"/>
  <c r="CT90" i="5"/>
  <c r="AB90" i="5"/>
  <c r="K91" i="5" s="1"/>
  <c r="W91" i="5" s="1"/>
  <c r="DI88" i="5"/>
  <c r="DJ88" i="5" s="1"/>
  <c r="CR89" i="5"/>
  <c r="CS89" i="5" s="1"/>
  <c r="DW88" i="5"/>
  <c r="DX88" i="5" s="1"/>
  <c r="DH60" i="4"/>
  <c r="I79" i="4" s="1"/>
  <c r="DD61" i="4"/>
  <c r="DE61" i="4" s="1"/>
  <c r="H80" i="4" s="1"/>
  <c r="DG62" i="4"/>
  <c r="DB62" i="4"/>
  <c r="DC62" i="4" s="1"/>
  <c r="CU64" i="4"/>
  <c r="W65" i="4"/>
  <c r="C83" i="4"/>
  <c r="AV91" i="5" l="1"/>
  <c r="AX88" i="5"/>
  <c r="AZ88" i="5" s="1"/>
  <c r="AW89" i="5"/>
  <c r="BD87" i="5"/>
  <c r="BF87" i="5" s="1"/>
  <c r="BC87" i="5"/>
  <c r="BG87" i="5" s="1"/>
  <c r="D88" i="5" s="1"/>
  <c r="P88" i="5" s="1"/>
  <c r="BZ91" i="5"/>
  <c r="CB91" i="5"/>
  <c r="CC91" i="5" s="1"/>
  <c r="CE90" i="5"/>
  <c r="CH90" i="5" s="1"/>
  <c r="CL90" i="5" s="1"/>
  <c r="AC65" i="4"/>
  <c r="CA91" i="5"/>
  <c r="AU91" i="5"/>
  <c r="CJ91" i="5"/>
  <c r="CG91" i="5"/>
  <c r="AY91" i="5"/>
  <c r="BE91" i="5"/>
  <c r="BA91" i="5"/>
  <c r="BB91" i="5"/>
  <c r="CK90" i="5"/>
  <c r="AA63" i="4"/>
  <c r="AT62" i="4" s="1"/>
  <c r="AW62" i="4" s="1"/>
  <c r="BQ91" i="5"/>
  <c r="BK92" i="5" s="1"/>
  <c r="BO91" i="5"/>
  <c r="BN91" i="5"/>
  <c r="BW84" i="5"/>
  <c r="E85" i="5" s="1"/>
  <c r="Q85" i="5" s="1"/>
  <c r="BP86" i="5"/>
  <c r="BR86" i="5" s="1"/>
  <c r="BS86" i="5" s="1"/>
  <c r="BL89" i="5"/>
  <c r="BT88" i="5" s="1"/>
  <c r="BR85" i="5"/>
  <c r="BS85" i="5" s="1"/>
  <c r="J83" i="4"/>
  <c r="AL91" i="5"/>
  <c r="BQ61" i="4"/>
  <c r="BJ62" i="4"/>
  <c r="AQ64" i="4"/>
  <c r="AD64" i="4"/>
  <c r="AE62" i="4"/>
  <c r="AG62" i="4" s="1"/>
  <c r="AB63" i="4"/>
  <c r="Z65" i="4"/>
  <c r="BN64" i="4"/>
  <c r="AU65" i="4"/>
  <c r="AF65" i="4"/>
  <c r="CE65" i="4"/>
  <c r="Y65" i="4"/>
  <c r="BV86" i="5"/>
  <c r="BM88" i="5"/>
  <c r="BY40" i="4"/>
  <c r="CO40" i="4" s="1"/>
  <c r="CP40" i="4" s="1"/>
  <c r="BZ52" i="4"/>
  <c r="CB52" i="4" s="1"/>
  <c r="BU91" i="5"/>
  <c r="AK91" i="5"/>
  <c r="AO91" i="5"/>
  <c r="AI91" i="5"/>
  <c r="CC52" i="4"/>
  <c r="CO90" i="5"/>
  <c r="CW89" i="5" s="1"/>
  <c r="BR41" i="4"/>
  <c r="BS53" i="4" s="1"/>
  <c r="BT65" i="4" s="1"/>
  <c r="BU77" i="4" s="1"/>
  <c r="F86" i="5"/>
  <c r="R86" i="5" s="1"/>
  <c r="BK61" i="4"/>
  <c r="BM60" i="4"/>
  <c r="BO60" i="4" s="1"/>
  <c r="BL61" i="4"/>
  <c r="CG41" i="4"/>
  <c r="CH41" i="4" s="1"/>
  <c r="CI41" i="4" s="1"/>
  <c r="CJ41" i="4" s="1"/>
  <c r="AD94" i="5"/>
  <c r="AC95" i="5"/>
  <c r="BJ95" i="5"/>
  <c r="DA63" i="4"/>
  <c r="J90" i="5"/>
  <c r="V90" i="5" s="1"/>
  <c r="CT65" i="4"/>
  <c r="CZ64" i="4" s="1"/>
  <c r="CV65" i="4"/>
  <c r="CW64" i="4"/>
  <c r="CX64" i="4" s="1"/>
  <c r="DF64" i="4" s="1"/>
  <c r="BP65" i="4"/>
  <c r="CY65" i="4"/>
  <c r="CS66" i="4" s="1"/>
  <c r="BI65" i="4"/>
  <c r="X65" i="4"/>
  <c r="K84" i="4" s="1"/>
  <c r="DL91" i="5"/>
  <c r="DZ91" i="5"/>
  <c r="EB88" i="5"/>
  <c r="I89" i="5" s="1"/>
  <c r="U89" i="5" s="1"/>
  <c r="DN88" i="5"/>
  <c r="H89" i="5" s="1"/>
  <c r="T89" i="5" s="1"/>
  <c r="CX91" i="5"/>
  <c r="CZ88" i="5"/>
  <c r="G89" i="5" s="1"/>
  <c r="S89" i="5" s="1"/>
  <c r="CY88" i="5"/>
  <c r="N91" i="5"/>
  <c r="DG63" i="4"/>
  <c r="DC90" i="5"/>
  <c r="DK89" i="5" s="1"/>
  <c r="DM89" i="5" s="1"/>
  <c r="DQ90" i="5"/>
  <c r="DY89" i="5" s="1"/>
  <c r="EA89" i="5" s="1"/>
  <c r="CU89" i="5"/>
  <c r="CV89" i="5" s="1"/>
  <c r="DI89" i="5"/>
  <c r="DJ89" i="5" s="1"/>
  <c r="DF90" i="5"/>
  <c r="DG90" i="5" s="1"/>
  <c r="CP91" i="5"/>
  <c r="CQ91" i="5"/>
  <c r="CN91" i="5"/>
  <c r="DD91" i="5"/>
  <c r="DB91" i="5"/>
  <c r="DE91" i="5"/>
  <c r="DW89" i="5"/>
  <c r="DX89" i="5" s="1"/>
  <c r="DV91" i="5"/>
  <c r="CT91" i="5"/>
  <c r="DH91" i="5"/>
  <c r="BY91" i="5"/>
  <c r="CD91" i="5" s="1"/>
  <c r="B92" i="5"/>
  <c r="A81" i="5" s="1"/>
  <c r="AA92" i="5"/>
  <c r="AB91" i="5"/>
  <c r="K92" i="5" s="1"/>
  <c r="W92" i="5" s="1"/>
  <c r="DR91" i="5"/>
  <c r="DS91" i="5"/>
  <c r="DP91" i="5"/>
  <c r="CR90" i="5"/>
  <c r="CS90" i="5" s="1"/>
  <c r="DT90" i="5"/>
  <c r="DU90" i="5" s="1"/>
  <c r="DD62" i="4"/>
  <c r="DE62" i="4" s="1"/>
  <c r="H81" i="4" s="1"/>
  <c r="DH61" i="4"/>
  <c r="I80" i="4" s="1"/>
  <c r="DB63" i="4"/>
  <c r="DC63" i="4" s="1"/>
  <c r="CU65" i="4"/>
  <c r="W66" i="4"/>
  <c r="BQ66" i="4" s="1"/>
  <c r="C84" i="4"/>
  <c r="AA64" i="4" l="1"/>
  <c r="AA65" i="4" s="1"/>
  <c r="BO92" i="5"/>
  <c r="CF92" i="5"/>
  <c r="CI92" i="5" s="1"/>
  <c r="CD92" i="5"/>
  <c r="CJ92" i="5"/>
  <c r="BA92" i="5"/>
  <c r="AY92" i="5"/>
  <c r="BE92" i="5"/>
  <c r="AC66" i="4"/>
  <c r="AX89" i="5"/>
  <c r="AZ89" i="5" s="1"/>
  <c r="AW90" i="5"/>
  <c r="BD88" i="5"/>
  <c r="BF88" i="5" s="1"/>
  <c r="BC88" i="5"/>
  <c r="BG88" i="5" s="1"/>
  <c r="D89" i="5" s="1"/>
  <c r="P89" i="5" s="1"/>
  <c r="CE91" i="5"/>
  <c r="BW85" i="5"/>
  <c r="E86" i="5" s="1"/>
  <c r="Q86" i="5" s="1"/>
  <c r="BW86" i="5"/>
  <c r="E87" i="5" s="1"/>
  <c r="Q87" i="5" s="1"/>
  <c r="BP87" i="5"/>
  <c r="BR87" i="5" s="1"/>
  <c r="BS87" i="5" s="1"/>
  <c r="BQ92" i="5"/>
  <c r="BK93" i="5" s="1"/>
  <c r="BL90" i="5"/>
  <c r="BT89" i="5" s="1"/>
  <c r="J84" i="4"/>
  <c r="AQ65" i="4"/>
  <c r="AD65" i="4"/>
  <c r="BQ62" i="4"/>
  <c r="BJ63" i="4"/>
  <c r="BN65" i="4"/>
  <c r="AF66" i="4"/>
  <c r="Y66" i="4"/>
  <c r="AE63" i="4"/>
  <c r="AG63" i="4" s="1"/>
  <c r="AB64" i="4"/>
  <c r="Z66" i="4"/>
  <c r="CQ40" i="4"/>
  <c r="G59" i="4" s="1"/>
  <c r="CD60" i="4"/>
  <c r="BM89" i="5"/>
  <c r="BV87" i="5"/>
  <c r="BV41" i="4"/>
  <c r="BX41" i="4" s="1"/>
  <c r="CK41" i="4" s="1"/>
  <c r="CL41" i="4" s="1"/>
  <c r="CM41" i="4" s="1"/>
  <c r="CN41" i="4" s="1"/>
  <c r="F60" i="4" s="1"/>
  <c r="AI92" i="5"/>
  <c r="BU92" i="5"/>
  <c r="AK92" i="5"/>
  <c r="AO92" i="5"/>
  <c r="CO91" i="5"/>
  <c r="CW90" i="5" s="1"/>
  <c r="BK62" i="4"/>
  <c r="CD61" i="4" s="1"/>
  <c r="BM61" i="4"/>
  <c r="BO61" i="4" s="1"/>
  <c r="BL62" i="4"/>
  <c r="F87" i="5"/>
  <c r="R87" i="5" s="1"/>
  <c r="BR42" i="4"/>
  <c r="BS54" i="4" s="1"/>
  <c r="BT66" i="4" s="1"/>
  <c r="BU78" i="4" s="1"/>
  <c r="AD95" i="5"/>
  <c r="AC96" i="5"/>
  <c r="BJ96" i="5"/>
  <c r="DT91" i="5"/>
  <c r="DU91" i="5" s="1"/>
  <c r="DS92" i="5" s="1"/>
  <c r="DA64" i="4"/>
  <c r="CV66" i="4"/>
  <c r="J91" i="5"/>
  <c r="V91" i="5" s="1"/>
  <c r="CT66" i="4"/>
  <c r="CZ65" i="4" s="1"/>
  <c r="BP66" i="4"/>
  <c r="CY66" i="4"/>
  <c r="CS67" i="4" s="1"/>
  <c r="BI66" i="4"/>
  <c r="X66" i="4"/>
  <c r="K85" i="4" s="1"/>
  <c r="CW65" i="4"/>
  <c r="CX65" i="4" s="1"/>
  <c r="DF65" i="4" s="1"/>
  <c r="CA65" i="4"/>
  <c r="DL92" i="5"/>
  <c r="DZ92" i="5"/>
  <c r="EB89" i="5"/>
  <c r="I90" i="5" s="1"/>
  <c r="U90" i="5" s="1"/>
  <c r="DN89" i="5"/>
  <c r="H90" i="5" s="1"/>
  <c r="T90" i="5" s="1"/>
  <c r="CZ89" i="5"/>
  <c r="G90" i="5" s="1"/>
  <c r="S90" i="5" s="1"/>
  <c r="CY89" i="5"/>
  <c r="CX92" i="5"/>
  <c r="N92" i="5"/>
  <c r="DC91" i="5"/>
  <c r="DK90" i="5" s="1"/>
  <c r="DM90" i="5" s="1"/>
  <c r="DQ91" i="5"/>
  <c r="DY90" i="5" s="1"/>
  <c r="EA90" i="5" s="1"/>
  <c r="CR91" i="5"/>
  <c r="CS91" i="5" s="1"/>
  <c r="DI90" i="5"/>
  <c r="DJ90" i="5" s="1"/>
  <c r="DN90" i="5" s="1"/>
  <c r="CU90" i="5"/>
  <c r="CV90" i="5" s="1"/>
  <c r="DW90" i="5"/>
  <c r="DX90" i="5" s="1"/>
  <c r="DV92" i="5"/>
  <c r="CT92" i="5"/>
  <c r="B93" i="5"/>
  <c r="BY92" i="5"/>
  <c r="AA93" i="5"/>
  <c r="DH92" i="5"/>
  <c r="AB92" i="5"/>
  <c r="K93" i="5" s="1"/>
  <c r="W93" i="5" s="1"/>
  <c r="DD92" i="5"/>
  <c r="DB92" i="5"/>
  <c r="DF91" i="5"/>
  <c r="DG91" i="5" s="1"/>
  <c r="CP92" i="5"/>
  <c r="CN92" i="5"/>
  <c r="DR92" i="5"/>
  <c r="DP92" i="5"/>
  <c r="DH62" i="4"/>
  <c r="I81" i="4" s="1"/>
  <c r="DD63" i="4"/>
  <c r="DH63" i="4" s="1"/>
  <c r="I82" i="4" s="1"/>
  <c r="DG64" i="4"/>
  <c r="DB64" i="4"/>
  <c r="DC64" i="4" s="1"/>
  <c r="CU66" i="4"/>
  <c r="W67" i="4"/>
  <c r="C85" i="4"/>
  <c r="AT63" i="4" l="1"/>
  <c r="AW63" i="4" s="1"/>
  <c r="CH91" i="5"/>
  <c r="CI91" i="5" s="1"/>
  <c r="BO93" i="5"/>
  <c r="CF93" i="5"/>
  <c r="CI93" i="5" s="1"/>
  <c r="CD93" i="5"/>
  <c r="CJ93" i="5"/>
  <c r="BA93" i="5"/>
  <c r="BE93" i="5"/>
  <c r="AY93" i="5"/>
  <c r="AX90" i="5"/>
  <c r="AZ90" i="5" s="1"/>
  <c r="AW91" i="5"/>
  <c r="AX91" i="5" s="1"/>
  <c r="AZ91" i="5" s="1"/>
  <c r="BD89" i="5"/>
  <c r="BF89" i="5" s="1"/>
  <c r="BC89" i="5"/>
  <c r="BG89" i="5" s="1"/>
  <c r="D90" i="5" s="1"/>
  <c r="P90" i="5" s="1"/>
  <c r="J85" i="4"/>
  <c r="BW87" i="5"/>
  <c r="E88" i="5" s="1"/>
  <c r="Q88" i="5" s="1"/>
  <c r="AT64" i="4"/>
  <c r="AW64" i="4" s="1"/>
  <c r="BP88" i="5"/>
  <c r="BR88" i="5" s="1"/>
  <c r="BS88" i="5" s="1"/>
  <c r="BW88" i="5" s="1"/>
  <c r="E89" i="5" s="1"/>
  <c r="Q89" i="5" s="1"/>
  <c r="BQ93" i="5"/>
  <c r="BK94" i="5" s="1"/>
  <c r="BL91" i="5"/>
  <c r="BT90" i="5" s="1"/>
  <c r="BQ63" i="4"/>
  <c r="BJ64" i="4"/>
  <c r="AQ66" i="4"/>
  <c r="AD66" i="4"/>
  <c r="AA66" i="4"/>
  <c r="BN66" i="4"/>
  <c r="AE64" i="4"/>
  <c r="AG64" i="4" s="1"/>
  <c r="AB65" i="4"/>
  <c r="Z67" i="4"/>
  <c r="AF67" i="4"/>
  <c r="CE67" i="4"/>
  <c r="AU67" i="4"/>
  <c r="Y67" i="4"/>
  <c r="BN67" i="4"/>
  <c r="BY41" i="4"/>
  <c r="CO41" i="4" s="1"/>
  <c r="CP41" i="4" s="1"/>
  <c r="CQ41" i="4" s="1"/>
  <c r="G60" i="4" s="1"/>
  <c r="BV88" i="5"/>
  <c r="BM90" i="5"/>
  <c r="CC53" i="4"/>
  <c r="BU93" i="5"/>
  <c r="AK93" i="5"/>
  <c r="AO93" i="5"/>
  <c r="AI93" i="5"/>
  <c r="BZ53" i="4"/>
  <c r="CB53" i="4" s="1"/>
  <c r="CO92" i="5"/>
  <c r="CW91" i="5" s="1"/>
  <c r="BM62" i="4"/>
  <c r="BO62" i="4" s="1"/>
  <c r="BL63" i="4"/>
  <c r="F88" i="5"/>
  <c r="R88" i="5" s="1"/>
  <c r="BK63" i="4"/>
  <c r="CD62" i="4" s="1"/>
  <c r="BV42" i="4"/>
  <c r="BX42" i="4" s="1"/>
  <c r="AD96" i="5"/>
  <c r="AC97" i="5"/>
  <c r="BJ97" i="5"/>
  <c r="DT92" i="5"/>
  <c r="DU92" i="5" s="1"/>
  <c r="DA65" i="4"/>
  <c r="N93" i="5"/>
  <c r="J92" i="5"/>
  <c r="V92" i="5" s="1"/>
  <c r="CT67" i="4"/>
  <c r="CZ66" i="4" s="1"/>
  <c r="BP67" i="4"/>
  <c r="CY67" i="4"/>
  <c r="CS68" i="4" s="1"/>
  <c r="BI67" i="4"/>
  <c r="X67" i="4"/>
  <c r="K86" i="4" s="1"/>
  <c r="CW66" i="4"/>
  <c r="CX66" i="4" s="1"/>
  <c r="DF66" i="4" s="1"/>
  <c r="CA66" i="4"/>
  <c r="DL93" i="5"/>
  <c r="DZ93" i="5"/>
  <c r="EB90" i="5"/>
  <c r="I91" i="5" s="1"/>
  <c r="U91" i="5" s="1"/>
  <c r="H91" i="5"/>
  <c r="T91" i="5" s="1"/>
  <c r="CY90" i="5"/>
  <c r="CZ90" i="5"/>
  <c r="G91" i="5" s="1"/>
  <c r="S91" i="5" s="1"/>
  <c r="CX93" i="5"/>
  <c r="DB65" i="4"/>
  <c r="DC65" i="4" s="1"/>
  <c r="DC92" i="5"/>
  <c r="DK91" i="5" s="1"/>
  <c r="DM91" i="5" s="1"/>
  <c r="DQ92" i="5"/>
  <c r="DY91" i="5" s="1"/>
  <c r="EA91" i="5" s="1"/>
  <c r="DI91" i="5"/>
  <c r="DJ91" i="5" s="1"/>
  <c r="DE92" i="5"/>
  <c r="DF92" i="5"/>
  <c r="CR92" i="5"/>
  <c r="CU91" i="5"/>
  <c r="CV91" i="5" s="1"/>
  <c r="DB93" i="5"/>
  <c r="DD93" i="5"/>
  <c r="B94" i="5"/>
  <c r="AA94" i="5"/>
  <c r="DV93" i="5"/>
  <c r="DH93" i="5"/>
  <c r="CT93" i="5"/>
  <c r="BY93" i="5"/>
  <c r="AB93" i="5"/>
  <c r="K94" i="5" s="1"/>
  <c r="W94" i="5" s="1"/>
  <c r="CN93" i="5"/>
  <c r="CP93" i="5"/>
  <c r="DP93" i="5"/>
  <c r="DS93" i="5"/>
  <c r="DR93" i="5"/>
  <c r="CQ92" i="5"/>
  <c r="CQ93" i="5" s="1"/>
  <c r="DW91" i="5"/>
  <c r="DX91" i="5" s="1"/>
  <c r="DD64" i="4"/>
  <c r="DE64" i="4" s="1"/>
  <c r="H83" i="4" s="1"/>
  <c r="DE63" i="4"/>
  <c r="H82" i="4" s="1"/>
  <c r="DG65" i="4"/>
  <c r="CU67" i="4"/>
  <c r="W68" i="4"/>
  <c r="C86" i="4"/>
  <c r="B85" i="4" s="1"/>
  <c r="CK91" i="5" l="1"/>
  <c r="BZ92" i="5" s="1"/>
  <c r="CL91" i="5"/>
  <c r="BD90" i="5"/>
  <c r="BF90" i="5" s="1"/>
  <c r="BC90" i="5"/>
  <c r="BG90" i="5" s="1"/>
  <c r="D91" i="5" s="1"/>
  <c r="P91" i="5" s="1"/>
  <c r="BD91" i="5"/>
  <c r="BC91" i="5"/>
  <c r="BO94" i="5"/>
  <c r="CF94" i="5"/>
  <c r="CI94" i="5" s="1"/>
  <c r="CD94" i="5"/>
  <c r="BA94" i="5"/>
  <c r="AY94" i="5"/>
  <c r="BE94" i="5"/>
  <c r="CJ94" i="5"/>
  <c r="CA92" i="5"/>
  <c r="CA93" i="5" s="1"/>
  <c r="CA94" i="5" s="1"/>
  <c r="AT65" i="4"/>
  <c r="AW65" i="4" s="1"/>
  <c r="BP89" i="5"/>
  <c r="BR89" i="5" s="1"/>
  <c r="BS89" i="5" s="1"/>
  <c r="BW89" i="5" s="1"/>
  <c r="E90" i="5" s="1"/>
  <c r="Q90" i="5" s="1"/>
  <c r="BQ94" i="5"/>
  <c r="BK95" i="5" s="1"/>
  <c r="BL92" i="5"/>
  <c r="BT91" i="5" s="1"/>
  <c r="AQ67" i="4"/>
  <c r="AD67" i="4"/>
  <c r="BQ64" i="4"/>
  <c r="BJ65" i="4"/>
  <c r="AA67" i="4"/>
  <c r="Z68" i="4"/>
  <c r="AE65" i="4"/>
  <c r="AG65" i="4" s="1"/>
  <c r="AB66" i="4"/>
  <c r="AU68" i="4"/>
  <c r="AF68" i="4"/>
  <c r="CE68" i="4"/>
  <c r="BN68" i="4"/>
  <c r="Y68" i="4"/>
  <c r="BV89" i="5"/>
  <c r="BM91" i="5"/>
  <c r="BY42" i="4"/>
  <c r="CO42" i="4" s="1"/>
  <c r="CE42" i="4"/>
  <c r="CF42" i="4" s="1"/>
  <c r="CG42" i="4" s="1"/>
  <c r="CH42" i="4" s="1"/>
  <c r="CO93" i="5"/>
  <c r="CW92" i="5" s="1"/>
  <c r="BU94" i="5"/>
  <c r="AK94" i="5"/>
  <c r="AO94" i="5"/>
  <c r="AI94" i="5"/>
  <c r="CC54" i="4"/>
  <c r="BZ54" i="4"/>
  <c r="CB54" i="4" s="1"/>
  <c r="BM63" i="4"/>
  <c r="BO63" i="4" s="1"/>
  <c r="BL64" i="4"/>
  <c r="CK42" i="4"/>
  <c r="F89" i="5"/>
  <c r="R89" i="5" s="1"/>
  <c r="BK64" i="4"/>
  <c r="CD63" i="4" s="1"/>
  <c r="DE93" i="5"/>
  <c r="AD97" i="5"/>
  <c r="AC98" i="5"/>
  <c r="BJ98" i="5"/>
  <c r="CR93" i="5"/>
  <c r="CS93" i="5" s="1"/>
  <c r="DA66" i="4"/>
  <c r="J93" i="5"/>
  <c r="V93" i="5" s="1"/>
  <c r="J86" i="4"/>
  <c r="CW67" i="4"/>
  <c r="CA67" i="4"/>
  <c r="CY68" i="4"/>
  <c r="CS69" i="4" s="1"/>
  <c r="BP68" i="4"/>
  <c r="BI68" i="4"/>
  <c r="X68" i="4"/>
  <c r="K87" i="4" s="1"/>
  <c r="CT68" i="4"/>
  <c r="CZ67" i="4" s="1"/>
  <c r="DL94" i="5"/>
  <c r="DZ94" i="5"/>
  <c r="EB91" i="5"/>
  <c r="I92" i="5" s="1"/>
  <c r="U92" i="5" s="1"/>
  <c r="DN91" i="5"/>
  <c r="H92" i="5" s="1"/>
  <c r="T92" i="5" s="1"/>
  <c r="CX94" i="5"/>
  <c r="CY91" i="5"/>
  <c r="CZ91" i="5"/>
  <c r="G92" i="5" s="1"/>
  <c r="S92" i="5" s="1"/>
  <c r="N94" i="5"/>
  <c r="CV67" i="4"/>
  <c r="CV68" i="4" s="1"/>
  <c r="DG66" i="4"/>
  <c r="DC93" i="5"/>
  <c r="DK92" i="5" s="1"/>
  <c r="DM92" i="5" s="1"/>
  <c r="DQ93" i="5"/>
  <c r="DY92" i="5" s="1"/>
  <c r="EA92" i="5" s="1"/>
  <c r="DD65" i="4"/>
  <c r="DH65" i="4" s="1"/>
  <c r="I84" i="4" s="1"/>
  <c r="DH64" i="4"/>
  <c r="I83" i="4" s="1"/>
  <c r="CS92" i="5"/>
  <c r="CU92" i="5" s="1"/>
  <c r="CV92" i="5" s="1"/>
  <c r="DT93" i="5"/>
  <c r="DU93" i="5" s="1"/>
  <c r="CQ94" i="5"/>
  <c r="CN94" i="5"/>
  <c r="CP94" i="5"/>
  <c r="DG92" i="5"/>
  <c r="DB94" i="5"/>
  <c r="DD94" i="5"/>
  <c r="DF93" i="5"/>
  <c r="DR94" i="5"/>
  <c r="DS94" i="5"/>
  <c r="DP94" i="5"/>
  <c r="B95" i="5"/>
  <c r="DV94" i="5"/>
  <c r="BY94" i="5"/>
  <c r="DH94" i="5"/>
  <c r="CT94" i="5"/>
  <c r="AA95" i="5"/>
  <c r="AB94" i="5"/>
  <c r="K95" i="5" s="1"/>
  <c r="W95" i="5" s="1"/>
  <c r="DW92" i="5"/>
  <c r="DX92" i="5" s="1"/>
  <c r="DB66" i="4"/>
  <c r="DC66" i="4" s="1"/>
  <c r="W69" i="4"/>
  <c r="C87" i="4"/>
  <c r="CU68" i="4"/>
  <c r="CA95" i="5" l="1"/>
  <c r="CK92" i="5"/>
  <c r="CK93" i="5" s="1"/>
  <c r="CK94" i="5" s="1"/>
  <c r="BF91" i="5"/>
  <c r="AU92" i="5" s="1"/>
  <c r="BG91" i="5"/>
  <c r="D92" i="5" s="1"/>
  <c r="P92" i="5" s="1"/>
  <c r="BO95" i="5"/>
  <c r="CF95" i="5"/>
  <c r="CI95" i="5" s="1"/>
  <c r="CD95" i="5"/>
  <c r="CJ95" i="5"/>
  <c r="BE95" i="5"/>
  <c r="AY95" i="5"/>
  <c r="BA95" i="5"/>
  <c r="BZ93" i="5"/>
  <c r="BZ94" i="5" s="1"/>
  <c r="BZ95" i="5" s="1"/>
  <c r="CB92" i="5"/>
  <c r="AA68" i="4"/>
  <c r="AT67" i="4" s="1"/>
  <c r="AW67" i="4" s="1"/>
  <c r="AT66" i="4"/>
  <c r="BP90" i="5"/>
  <c r="BR90" i="5" s="1"/>
  <c r="BS90" i="5" s="1"/>
  <c r="BW90" i="5" s="1"/>
  <c r="E91" i="5" s="1"/>
  <c r="Q91" i="5" s="1"/>
  <c r="BP91" i="5"/>
  <c r="BQ95" i="5"/>
  <c r="BK96" i="5" s="1"/>
  <c r="BL93" i="5"/>
  <c r="BT92" i="5" s="1"/>
  <c r="AQ68" i="4"/>
  <c r="AD68" i="4"/>
  <c r="BQ65" i="4"/>
  <c r="BJ66" i="4"/>
  <c r="CO94" i="5"/>
  <c r="CW93" i="5" s="1"/>
  <c r="AF69" i="4"/>
  <c r="AU69" i="4"/>
  <c r="CE69" i="4"/>
  <c r="BN69" i="4"/>
  <c r="Y69" i="4"/>
  <c r="AE66" i="4"/>
  <c r="AB67" i="4"/>
  <c r="Z69" i="4"/>
  <c r="BV90" i="5"/>
  <c r="CP42" i="4"/>
  <c r="CL42" i="4"/>
  <c r="CM42" i="4" s="1"/>
  <c r="BU95" i="5"/>
  <c r="AO95" i="5"/>
  <c r="AK95" i="5"/>
  <c r="AI95" i="5"/>
  <c r="F90" i="5"/>
  <c r="R90" i="5" s="1"/>
  <c r="BM64" i="4"/>
  <c r="BO64" i="4" s="1"/>
  <c r="BL65" i="4"/>
  <c r="BK65" i="4"/>
  <c r="CD64" i="4" s="1"/>
  <c r="CI42" i="4"/>
  <c r="BR43" i="4" s="1"/>
  <c r="BS55" i="4" s="1"/>
  <c r="BT67" i="4" s="1"/>
  <c r="BU79" i="4" s="1"/>
  <c r="DE94" i="5"/>
  <c r="DE95" i="5" s="1"/>
  <c r="AD98" i="5"/>
  <c r="AC99" i="5"/>
  <c r="DG93" i="5"/>
  <c r="DI93" i="5" s="1"/>
  <c r="DJ93" i="5" s="1"/>
  <c r="BJ99" i="5"/>
  <c r="CR94" i="5"/>
  <c r="CS94" i="5" s="1"/>
  <c r="DA67" i="4"/>
  <c r="J87" i="4"/>
  <c r="J17" i="4" s="1"/>
  <c r="J94" i="5"/>
  <c r="V94" i="5" s="1"/>
  <c r="CV69" i="4"/>
  <c r="CW68" i="4"/>
  <c r="CA68" i="4"/>
  <c r="CY69" i="4"/>
  <c r="CS70" i="4" s="1"/>
  <c r="BP69" i="4"/>
  <c r="BI69" i="4"/>
  <c r="X69" i="4"/>
  <c r="K88" i="4" s="1"/>
  <c r="CT69" i="4"/>
  <c r="CZ68" i="4" s="1"/>
  <c r="DL95" i="5"/>
  <c r="DZ95" i="5"/>
  <c r="EB92" i="5"/>
  <c r="I93" i="5" s="1"/>
  <c r="U93" i="5" s="1"/>
  <c r="CY92" i="5"/>
  <c r="CZ92" i="5"/>
  <c r="G93" i="5" s="1"/>
  <c r="S93" i="5" s="1"/>
  <c r="CX95" i="5"/>
  <c r="DC94" i="5"/>
  <c r="DK93" i="5" s="1"/>
  <c r="DM93" i="5" s="1"/>
  <c r="N95" i="5"/>
  <c r="DE65" i="4"/>
  <c r="H84" i="4" s="1"/>
  <c r="DD66" i="4"/>
  <c r="DE66" i="4" s="1"/>
  <c r="H85" i="4" s="1"/>
  <c r="DQ94" i="5"/>
  <c r="DY93" i="5" s="1"/>
  <c r="EA93" i="5" s="1"/>
  <c r="DF94" i="5"/>
  <c r="DT94" i="5"/>
  <c r="DU94" i="5" s="1"/>
  <c r="B96" i="5"/>
  <c r="DV95" i="5"/>
  <c r="CT95" i="5"/>
  <c r="DH95" i="5"/>
  <c r="BY95" i="5"/>
  <c r="AA96" i="5"/>
  <c r="AB95" i="5"/>
  <c r="K96" i="5" s="1"/>
  <c r="W96" i="5" s="1"/>
  <c r="DW93" i="5"/>
  <c r="DX93" i="5" s="1"/>
  <c r="CP95" i="5"/>
  <c r="CN95" i="5"/>
  <c r="CQ95" i="5"/>
  <c r="DI92" i="5"/>
  <c r="DJ92" i="5" s="1"/>
  <c r="CU93" i="5"/>
  <c r="CV93" i="5" s="1"/>
  <c r="DD95" i="5"/>
  <c r="DB95" i="5"/>
  <c r="DR95" i="5"/>
  <c r="DS95" i="5"/>
  <c r="DP95" i="5"/>
  <c r="CX67" i="4"/>
  <c r="DF67" i="4" s="1"/>
  <c r="CU69" i="4"/>
  <c r="C88" i="4"/>
  <c r="W70" i="4"/>
  <c r="BZ96" i="5" l="1"/>
  <c r="CK95" i="5"/>
  <c r="BO96" i="5"/>
  <c r="CJ96" i="5"/>
  <c r="CF96" i="5"/>
  <c r="CI96" i="5" s="1"/>
  <c r="CD96" i="5"/>
  <c r="BA96" i="5"/>
  <c r="AY96" i="5"/>
  <c r="BE96" i="5"/>
  <c r="CC92" i="5"/>
  <c r="CE92" i="5" s="1"/>
  <c r="CB93" i="5"/>
  <c r="AU93" i="5"/>
  <c r="AW92" i="5"/>
  <c r="CA96" i="5"/>
  <c r="CA97" i="5" s="1"/>
  <c r="BZ97" i="5"/>
  <c r="AV92" i="5"/>
  <c r="AV93" i="5" s="1"/>
  <c r="AV94" i="5" s="1"/>
  <c r="AV95" i="5" s="1"/>
  <c r="AV96" i="5" s="1"/>
  <c r="AA69" i="4"/>
  <c r="AT68" i="4" s="1"/>
  <c r="AW68" i="4" s="1"/>
  <c r="BR91" i="5"/>
  <c r="BS91" i="5" s="1"/>
  <c r="BW91" i="5" s="1"/>
  <c r="E92" i="5" s="1"/>
  <c r="Q92" i="5" s="1"/>
  <c r="BN92" i="5"/>
  <c r="BN93" i="5" s="1"/>
  <c r="BN94" i="5" s="1"/>
  <c r="BN95" i="5" s="1"/>
  <c r="BN96" i="5" s="1"/>
  <c r="AG66" i="4"/>
  <c r="AC67" i="4"/>
  <c r="AC68" i="4" s="1"/>
  <c r="AC69" i="4" s="1"/>
  <c r="AC70" i="4" s="1"/>
  <c r="BQ96" i="5"/>
  <c r="BK97" i="5" s="1"/>
  <c r="BL94" i="5"/>
  <c r="BT93" i="5" s="1"/>
  <c r="AQ69" i="4"/>
  <c r="AD69" i="4"/>
  <c r="Z70" i="4"/>
  <c r="CO95" i="5"/>
  <c r="CW94" i="5" s="1"/>
  <c r="CQ42" i="4"/>
  <c r="G61" i="4" s="1"/>
  <c r="AB68" i="4"/>
  <c r="AF70" i="4"/>
  <c r="CE70" i="4"/>
  <c r="AU70" i="4"/>
  <c r="BN70" i="4"/>
  <c r="Y70" i="4"/>
  <c r="BU96" i="5"/>
  <c r="AK96" i="5"/>
  <c r="AO96" i="5"/>
  <c r="AI96" i="5"/>
  <c r="CJ42" i="4"/>
  <c r="CF43" i="4" s="1"/>
  <c r="BV43" i="4"/>
  <c r="BX43" i="4" s="1"/>
  <c r="F91" i="5"/>
  <c r="R91" i="5" s="1"/>
  <c r="BM65" i="4"/>
  <c r="BO65" i="4" s="1"/>
  <c r="BL66" i="4"/>
  <c r="BM66" i="4" s="1"/>
  <c r="BO66" i="4" s="1"/>
  <c r="CN42" i="4"/>
  <c r="F61" i="4" s="1"/>
  <c r="BK66" i="4"/>
  <c r="CD65" i="4" s="1"/>
  <c r="DG94" i="5"/>
  <c r="DI94" i="5" s="1"/>
  <c r="DJ94" i="5" s="1"/>
  <c r="AD99" i="5"/>
  <c r="AC100" i="5"/>
  <c r="BJ100" i="5"/>
  <c r="DF95" i="5"/>
  <c r="DG95" i="5" s="1"/>
  <c r="DI95" i="5" s="1"/>
  <c r="DJ95" i="5" s="1"/>
  <c r="DA68" i="4"/>
  <c r="J88" i="4"/>
  <c r="J95" i="5"/>
  <c r="V95" i="5" s="1"/>
  <c r="CV70" i="4"/>
  <c r="CT70" i="4"/>
  <c r="CZ69" i="4" s="1"/>
  <c r="CW69" i="4"/>
  <c r="CA69" i="4"/>
  <c r="CY70" i="4"/>
  <c r="CS71" i="4" s="1"/>
  <c r="BP70" i="4"/>
  <c r="BI70" i="4"/>
  <c r="X70" i="4"/>
  <c r="K89" i="4" s="1"/>
  <c r="DL96" i="5"/>
  <c r="DZ96" i="5"/>
  <c r="EB93" i="5"/>
  <c r="I94" i="5" s="1"/>
  <c r="U94" i="5" s="1"/>
  <c r="DN92" i="5"/>
  <c r="H93" i="5" s="1"/>
  <c r="T93" i="5" s="1"/>
  <c r="DN93" i="5"/>
  <c r="H94" i="5" s="1"/>
  <c r="T94" i="5" s="1"/>
  <c r="CX96" i="5"/>
  <c r="CY93" i="5"/>
  <c r="CZ93" i="5"/>
  <c r="G94" i="5" s="1"/>
  <c r="S94" i="5" s="1"/>
  <c r="DC95" i="5"/>
  <c r="DK94" i="5" s="1"/>
  <c r="DM94" i="5" s="1"/>
  <c r="N96" i="5"/>
  <c r="DH66" i="4"/>
  <c r="I85" i="4" s="1"/>
  <c r="DQ95" i="5"/>
  <c r="DY94" i="5" s="1"/>
  <c r="EA94" i="5" s="1"/>
  <c r="DT95" i="5"/>
  <c r="DU95" i="5" s="1"/>
  <c r="DW95" i="5" s="1"/>
  <c r="DX95" i="5" s="1"/>
  <c r="CR95" i="5"/>
  <c r="CS95" i="5" s="1"/>
  <c r="DE96" i="5"/>
  <c r="DB96" i="5"/>
  <c r="DD96" i="5"/>
  <c r="CQ96" i="5"/>
  <c r="CN96" i="5"/>
  <c r="CP96" i="5"/>
  <c r="DS96" i="5"/>
  <c r="DR96" i="5"/>
  <c r="DP96" i="5"/>
  <c r="B97" i="5"/>
  <c r="AA97" i="5"/>
  <c r="CT96" i="5"/>
  <c r="DV96" i="5"/>
  <c r="DH96" i="5"/>
  <c r="BY96" i="5"/>
  <c r="AB96" i="5"/>
  <c r="K97" i="5" s="1"/>
  <c r="W97" i="5" s="1"/>
  <c r="DW94" i="5"/>
  <c r="DX94" i="5" s="1"/>
  <c r="CU94" i="5"/>
  <c r="CV94" i="5" s="1"/>
  <c r="DG67" i="4"/>
  <c r="DB67" i="4"/>
  <c r="DC67" i="4" s="1"/>
  <c r="CX68" i="4"/>
  <c r="DF68" i="4" s="1"/>
  <c r="CU70" i="4"/>
  <c r="W71" i="4"/>
  <c r="C89" i="4"/>
  <c r="BB93" i="5" l="1"/>
  <c r="AU94" i="5"/>
  <c r="BO97" i="5"/>
  <c r="CF97" i="5"/>
  <c r="CI97" i="5" s="1"/>
  <c r="CJ97" i="5"/>
  <c r="CD97" i="5"/>
  <c r="BA97" i="5"/>
  <c r="BE97" i="5"/>
  <c r="AY97" i="5"/>
  <c r="AA70" i="4"/>
  <c r="AT69" i="4" s="1"/>
  <c r="AW69" i="4" s="1"/>
  <c r="AV97" i="5"/>
  <c r="CC93" i="5"/>
  <c r="CE93" i="5" s="1"/>
  <c r="CB94" i="5"/>
  <c r="CK96" i="5"/>
  <c r="CG92" i="5"/>
  <c r="CH92" i="5" s="1"/>
  <c r="CL92" i="5" s="1"/>
  <c r="CA98" i="5"/>
  <c r="AX92" i="5"/>
  <c r="AZ92" i="5" s="1"/>
  <c r="AW93" i="5"/>
  <c r="BN97" i="5"/>
  <c r="AC71" i="4"/>
  <c r="AE67" i="4"/>
  <c r="AG67" i="4" s="1"/>
  <c r="BQ97" i="5"/>
  <c r="BK98" i="5" s="1"/>
  <c r="BL95" i="5"/>
  <c r="BT94" i="5" s="1"/>
  <c r="CO96" i="5"/>
  <c r="CW95" i="5" s="1"/>
  <c r="AQ70" i="4"/>
  <c r="AD70" i="4"/>
  <c r="E12" i="5"/>
  <c r="E28" i="5" s="1"/>
  <c r="AE68" i="4"/>
  <c r="AG68" i="4" s="1"/>
  <c r="AB69" i="4"/>
  <c r="AF71" i="4"/>
  <c r="AU71" i="4"/>
  <c r="CE71" i="4"/>
  <c r="BN71" i="4"/>
  <c r="Y71" i="4"/>
  <c r="Z71" i="4"/>
  <c r="BM92" i="5"/>
  <c r="CK43" i="4"/>
  <c r="CL43" i="4" s="1"/>
  <c r="CM43" i="4" s="1"/>
  <c r="BU97" i="5"/>
  <c r="AK97" i="5"/>
  <c r="AO97" i="5"/>
  <c r="AI97" i="5"/>
  <c r="BY43" i="4"/>
  <c r="CO43" i="4" s="1"/>
  <c r="F92" i="5"/>
  <c r="R92" i="5" s="1"/>
  <c r="CC55" i="4"/>
  <c r="BZ55" i="4"/>
  <c r="CB55" i="4" s="1"/>
  <c r="CG43" i="4"/>
  <c r="BJ67" i="4"/>
  <c r="AD100" i="5"/>
  <c r="AC101" i="5"/>
  <c r="BJ101" i="5"/>
  <c r="DF96" i="5"/>
  <c r="DG96" i="5" s="1"/>
  <c r="DA69" i="4"/>
  <c r="J89" i="4"/>
  <c r="J96" i="5"/>
  <c r="V96" i="5" s="1"/>
  <c r="CT71" i="4"/>
  <c r="CZ70" i="4" s="1"/>
  <c r="CW70" i="4"/>
  <c r="CA70" i="4"/>
  <c r="CV71" i="4"/>
  <c r="CY71" i="4"/>
  <c r="CS72" i="4" s="1"/>
  <c r="BP71" i="4"/>
  <c r="BI71" i="4"/>
  <c r="X71" i="4"/>
  <c r="K90" i="4" s="1"/>
  <c r="DL97" i="5"/>
  <c r="DZ97" i="5"/>
  <c r="EB95" i="5"/>
  <c r="I96" i="5" s="1"/>
  <c r="U96" i="5" s="1"/>
  <c r="EB94" i="5"/>
  <c r="I95" i="5" s="1"/>
  <c r="U95" i="5" s="1"/>
  <c r="DN95" i="5"/>
  <c r="H96" i="5" s="1"/>
  <c r="T96" i="5" s="1"/>
  <c r="DN94" i="5"/>
  <c r="H95" i="5" s="1"/>
  <c r="T95" i="5" s="1"/>
  <c r="CY94" i="5"/>
  <c r="CZ94" i="5"/>
  <c r="G95" i="5" s="1"/>
  <c r="S95" i="5" s="1"/>
  <c r="CX97" i="5"/>
  <c r="DC96" i="5"/>
  <c r="DK95" i="5" s="1"/>
  <c r="DM95" i="5" s="1"/>
  <c r="N97" i="5"/>
  <c r="DD67" i="4"/>
  <c r="DQ96" i="5"/>
  <c r="DY95" i="5" s="1"/>
  <c r="EA95" i="5" s="1"/>
  <c r="CU95" i="5"/>
  <c r="CV95" i="5" s="1"/>
  <c r="DS97" i="5"/>
  <c r="DR97" i="5"/>
  <c r="DP97" i="5"/>
  <c r="CQ97" i="5"/>
  <c r="CN97" i="5"/>
  <c r="CP97" i="5"/>
  <c r="DT96" i="5"/>
  <c r="DU96" i="5" s="1"/>
  <c r="CR96" i="5"/>
  <c r="CS96" i="5" s="1"/>
  <c r="B98" i="5"/>
  <c r="CT97" i="5"/>
  <c r="DH97" i="5"/>
  <c r="AA98" i="5"/>
  <c r="DV97" i="5"/>
  <c r="BY97" i="5"/>
  <c r="AB97" i="5"/>
  <c r="K98" i="5" s="1"/>
  <c r="W98" i="5" s="1"/>
  <c r="DE97" i="5"/>
  <c r="DB97" i="5"/>
  <c r="DD97" i="5"/>
  <c r="DG68" i="4"/>
  <c r="DB68" i="4"/>
  <c r="DC68" i="4" s="1"/>
  <c r="CX69" i="4"/>
  <c r="DF69" i="4" s="1"/>
  <c r="W72" i="4"/>
  <c r="C90" i="4"/>
  <c r="CU71" i="4"/>
  <c r="AA71" i="4" l="1"/>
  <c r="AT70" i="4" s="1"/>
  <c r="BZ98" i="5"/>
  <c r="CK97" i="5"/>
  <c r="BB94" i="5"/>
  <c r="AU95" i="5"/>
  <c r="BO98" i="5"/>
  <c r="CF98" i="5"/>
  <c r="CD98" i="5"/>
  <c r="CJ98" i="5"/>
  <c r="BA98" i="5"/>
  <c r="AY98" i="5"/>
  <c r="BE98" i="5"/>
  <c r="CC94" i="5"/>
  <c r="CE94" i="5" s="1"/>
  <c r="CB95" i="5"/>
  <c r="AX93" i="5"/>
  <c r="AZ93" i="5" s="1"/>
  <c r="AW94" i="5"/>
  <c r="CG93" i="5"/>
  <c r="CH93" i="5" s="1"/>
  <c r="CL93" i="5" s="1"/>
  <c r="BB92" i="5"/>
  <c r="BC92" i="5" s="1"/>
  <c r="BG92" i="5" s="1"/>
  <c r="D93" i="5" s="1"/>
  <c r="P93" i="5" s="1"/>
  <c r="BD92" i="5"/>
  <c r="BF92" i="5" s="1"/>
  <c r="AV98" i="5"/>
  <c r="AV99" i="5" s="1"/>
  <c r="AC72" i="4"/>
  <c r="BN98" i="5"/>
  <c r="BQ98" i="5"/>
  <c r="BK99" i="5" s="1"/>
  <c r="BL96" i="5"/>
  <c r="BT95" i="5" s="1"/>
  <c r="CO97" i="5"/>
  <c r="CW96" i="5" s="1"/>
  <c r="AQ71" i="4"/>
  <c r="AD71" i="4"/>
  <c r="AW70" i="4"/>
  <c r="Z72" i="4"/>
  <c r="AE69" i="4"/>
  <c r="AG69" i="4" s="1"/>
  <c r="AB70" i="4"/>
  <c r="AA72" i="4"/>
  <c r="AT71" i="4" s="1"/>
  <c r="CE72" i="4"/>
  <c r="AU72" i="4"/>
  <c r="AF72" i="4"/>
  <c r="BN72" i="4"/>
  <c r="Y72" i="4"/>
  <c r="BM93" i="5"/>
  <c r="BV91" i="5"/>
  <c r="J90" i="4"/>
  <c r="CP43" i="4"/>
  <c r="CQ43" i="4" s="1"/>
  <c r="G62" i="4" s="1"/>
  <c r="AK98" i="5"/>
  <c r="AO98" i="5"/>
  <c r="BU98" i="5"/>
  <c r="AI98" i="5"/>
  <c r="CH43" i="4"/>
  <c r="CI43" i="4" s="1"/>
  <c r="CJ43" i="4" s="1"/>
  <c r="CF44" i="4" s="1"/>
  <c r="BK67" i="4"/>
  <c r="CD66" i="4" s="1"/>
  <c r="BJ68" i="4"/>
  <c r="BJ69" i="4" s="1"/>
  <c r="BJ70" i="4" s="1"/>
  <c r="BJ71" i="4" s="1"/>
  <c r="BJ72" i="4" s="1"/>
  <c r="CN43" i="4"/>
  <c r="F62" i="4" s="1"/>
  <c r="AD101" i="5"/>
  <c r="AC102" i="5"/>
  <c r="BJ102" i="5"/>
  <c r="DT97" i="5"/>
  <c r="DU97" i="5" s="1"/>
  <c r="DA70" i="4"/>
  <c r="J97" i="5"/>
  <c r="V97" i="5" s="1"/>
  <c r="CV72" i="4"/>
  <c r="CW71" i="4"/>
  <c r="CA71" i="4"/>
  <c r="CT72" i="4"/>
  <c r="CZ71" i="4" s="1"/>
  <c r="CY72" i="4"/>
  <c r="CS73" i="4" s="1"/>
  <c r="BP72" i="4"/>
  <c r="BI72" i="4"/>
  <c r="X72" i="4"/>
  <c r="K91" i="4" s="1"/>
  <c r="DL98" i="5"/>
  <c r="DZ98" i="5"/>
  <c r="CY95" i="5"/>
  <c r="CZ95" i="5"/>
  <c r="G96" i="5" s="1"/>
  <c r="S96" i="5" s="1"/>
  <c r="CX98" i="5"/>
  <c r="DC97" i="5"/>
  <c r="DK96" i="5" s="1"/>
  <c r="DM96" i="5" s="1"/>
  <c r="N98" i="5"/>
  <c r="DE67" i="4"/>
  <c r="H86" i="4" s="1"/>
  <c r="DH67" i="4"/>
  <c r="I86" i="4" s="1"/>
  <c r="DD68" i="4"/>
  <c r="DQ97" i="5"/>
  <c r="DY96" i="5" s="1"/>
  <c r="EA96" i="5" s="1"/>
  <c r="DF97" i="5"/>
  <c r="DG97" i="5" s="1"/>
  <c r="CR97" i="5"/>
  <c r="CS97" i="5" s="1"/>
  <c r="DW96" i="5"/>
  <c r="DX96" i="5" s="1"/>
  <c r="EB96" i="5" s="1"/>
  <c r="CU96" i="5"/>
  <c r="CV96" i="5" s="1"/>
  <c r="DP98" i="5"/>
  <c r="DR98" i="5"/>
  <c r="DS98" i="5"/>
  <c r="B99" i="5"/>
  <c r="AA99" i="5"/>
  <c r="DH98" i="5"/>
  <c r="BY98" i="5"/>
  <c r="CT98" i="5"/>
  <c r="DV98" i="5"/>
  <c r="AB98" i="5"/>
  <c r="K99" i="5" s="1"/>
  <c r="W99" i="5" s="1"/>
  <c r="DI96" i="5"/>
  <c r="DJ96" i="5" s="1"/>
  <c r="DB98" i="5"/>
  <c r="DE98" i="5"/>
  <c r="DD98" i="5"/>
  <c r="CN98" i="5"/>
  <c r="CP98" i="5"/>
  <c r="CQ98" i="5"/>
  <c r="DG69" i="4"/>
  <c r="DB69" i="4"/>
  <c r="DC69" i="4" s="1"/>
  <c r="CX70" i="4"/>
  <c r="DF70" i="4" s="1"/>
  <c r="CU72" i="4"/>
  <c r="W73" i="4"/>
  <c r="C91" i="4"/>
  <c r="CA99" i="5" l="1"/>
  <c r="CI98" i="5"/>
  <c r="CK98" i="5" s="1"/>
  <c r="BB95" i="5"/>
  <c r="AU96" i="5"/>
  <c r="AX94" i="5"/>
  <c r="AZ94" i="5" s="1"/>
  <c r="AW95" i="5"/>
  <c r="BZ99" i="5"/>
  <c r="BD93" i="5"/>
  <c r="BF93" i="5" s="1"/>
  <c r="BC93" i="5"/>
  <c r="BG93" i="5" s="1"/>
  <c r="D94" i="5" s="1"/>
  <c r="P94" i="5" s="1"/>
  <c r="BO99" i="5"/>
  <c r="CD99" i="5"/>
  <c r="CJ99" i="5"/>
  <c r="CF99" i="5"/>
  <c r="CI99" i="5" s="1"/>
  <c r="BE99" i="5"/>
  <c r="AY99" i="5"/>
  <c r="BA99" i="5"/>
  <c r="CC95" i="5"/>
  <c r="CE95" i="5" s="1"/>
  <c r="CB96" i="5"/>
  <c r="CG94" i="5"/>
  <c r="CH94" i="5" s="1"/>
  <c r="CL94" i="5" s="1"/>
  <c r="BN99" i="5"/>
  <c r="AC73" i="4"/>
  <c r="BP92" i="5"/>
  <c r="BR92" i="5" s="1"/>
  <c r="BS92" i="5" s="1"/>
  <c r="BW92" i="5" s="1"/>
  <c r="E93" i="5" s="1"/>
  <c r="Q93" i="5" s="1"/>
  <c r="CO98" i="5"/>
  <c r="CW97" i="5" s="1"/>
  <c r="BQ99" i="5"/>
  <c r="BK100" i="5" s="1"/>
  <c r="BL97" i="5"/>
  <c r="BT96" i="5" s="1"/>
  <c r="AQ72" i="4"/>
  <c r="AD72" i="4"/>
  <c r="AW71" i="4"/>
  <c r="AF73" i="4"/>
  <c r="CE73" i="4"/>
  <c r="AU73" i="4"/>
  <c r="BN73" i="4"/>
  <c r="Y73" i="4"/>
  <c r="AA73" i="4"/>
  <c r="AT72" i="4" s="1"/>
  <c r="AE70" i="4"/>
  <c r="AG70" i="4" s="1"/>
  <c r="AB71" i="4"/>
  <c r="J91" i="4"/>
  <c r="Z73" i="4"/>
  <c r="BV92" i="5"/>
  <c r="BM94" i="5"/>
  <c r="BU99" i="5"/>
  <c r="AO99" i="5"/>
  <c r="AK99" i="5"/>
  <c r="AI99" i="5"/>
  <c r="BR44" i="4"/>
  <c r="BS56" i="4" s="1"/>
  <c r="BT68" i="4" s="1"/>
  <c r="BU80" i="4" s="1"/>
  <c r="BK68" i="4"/>
  <c r="F93" i="5"/>
  <c r="R93" i="5" s="1"/>
  <c r="CG44" i="4"/>
  <c r="CH44" i="4" s="1"/>
  <c r="CI44" i="4" s="1"/>
  <c r="CJ44" i="4" s="1"/>
  <c r="CF45" i="4" s="1"/>
  <c r="AD102" i="5"/>
  <c r="AC103" i="5"/>
  <c r="BJ103" i="5"/>
  <c r="DT98" i="5"/>
  <c r="DU98" i="5" s="1"/>
  <c r="DA71" i="4"/>
  <c r="J98" i="5"/>
  <c r="V98" i="5" s="1"/>
  <c r="BJ73" i="4"/>
  <c r="CT73" i="4"/>
  <c r="BP73" i="4"/>
  <c r="CY73" i="4"/>
  <c r="CS74" i="4" s="1"/>
  <c r="BI73" i="4"/>
  <c r="X73" i="4"/>
  <c r="K92" i="4" s="1"/>
  <c r="CW72" i="4"/>
  <c r="CA72" i="4"/>
  <c r="CV73" i="4"/>
  <c r="DL99" i="5"/>
  <c r="DZ99" i="5"/>
  <c r="I97" i="5"/>
  <c r="U97" i="5" s="1"/>
  <c r="DN96" i="5"/>
  <c r="H97" i="5" s="1"/>
  <c r="T97" i="5" s="1"/>
  <c r="CX99" i="5"/>
  <c r="CY96" i="5"/>
  <c r="CZ96" i="5"/>
  <c r="G97" i="5" s="1"/>
  <c r="S97" i="5" s="1"/>
  <c r="DC98" i="5"/>
  <c r="DK97" i="5" s="1"/>
  <c r="DM97" i="5" s="1"/>
  <c r="N99" i="5"/>
  <c r="DH68" i="4"/>
  <c r="DE68" i="4"/>
  <c r="H87" i="4" s="1"/>
  <c r="DD69" i="4"/>
  <c r="DQ98" i="5"/>
  <c r="DY97" i="5" s="1"/>
  <c r="EA97" i="5" s="1"/>
  <c r="CQ99" i="5"/>
  <c r="CP99" i="5"/>
  <c r="CN99" i="5"/>
  <c r="DF98" i="5"/>
  <c r="DG98" i="5" s="1"/>
  <c r="B100" i="5"/>
  <c r="DV99" i="5"/>
  <c r="AA100" i="5"/>
  <c r="BY99" i="5"/>
  <c r="DH99" i="5"/>
  <c r="CT99" i="5"/>
  <c r="AB99" i="5"/>
  <c r="K100" i="5" s="1"/>
  <c r="W100" i="5" s="1"/>
  <c r="DI97" i="5"/>
  <c r="DJ97" i="5" s="1"/>
  <c r="CU97" i="5"/>
  <c r="CV97" i="5" s="1"/>
  <c r="DD99" i="5"/>
  <c r="DB99" i="5"/>
  <c r="DE99" i="5"/>
  <c r="DW97" i="5"/>
  <c r="DX97" i="5" s="1"/>
  <c r="DP99" i="5"/>
  <c r="DR99" i="5"/>
  <c r="DS99" i="5"/>
  <c r="CR98" i="5"/>
  <c r="CS98" i="5" s="1"/>
  <c r="DG70" i="4"/>
  <c r="DB70" i="4"/>
  <c r="DC70" i="4" s="1"/>
  <c r="CX71" i="4"/>
  <c r="DF71" i="4" s="1"/>
  <c r="W74" i="4"/>
  <c r="C92" i="4"/>
  <c r="CU73" i="4"/>
  <c r="I87" i="4" l="1"/>
  <c r="I17" i="4"/>
  <c r="CK99" i="5"/>
  <c r="CC96" i="5"/>
  <c r="CE96" i="5" s="1"/>
  <c r="CB97" i="5"/>
  <c r="CG95" i="5"/>
  <c r="CH95" i="5" s="1"/>
  <c r="CL95" i="5" s="1"/>
  <c r="AX95" i="5"/>
  <c r="AZ95" i="5" s="1"/>
  <c r="AW96" i="5"/>
  <c r="BD94" i="5"/>
  <c r="BF94" i="5" s="1"/>
  <c r="BC94" i="5"/>
  <c r="BG94" i="5" s="1"/>
  <c r="D95" i="5" s="1"/>
  <c r="P95" i="5" s="1"/>
  <c r="BO100" i="5"/>
  <c r="CF100" i="5"/>
  <c r="CI100" i="5" s="1"/>
  <c r="CD100" i="5"/>
  <c r="BA100" i="5"/>
  <c r="AY100" i="5"/>
  <c r="CJ100" i="5"/>
  <c r="BE100" i="5"/>
  <c r="BB96" i="5"/>
  <c r="AU97" i="5"/>
  <c r="AV100" i="5"/>
  <c r="BZ100" i="5"/>
  <c r="BZ101" i="5" s="1"/>
  <c r="CA100" i="5"/>
  <c r="CA101" i="5" s="1"/>
  <c r="CO99" i="5"/>
  <c r="CW98" i="5" s="1"/>
  <c r="AC74" i="4"/>
  <c r="BN100" i="5"/>
  <c r="BP93" i="5"/>
  <c r="BR93" i="5" s="1"/>
  <c r="BS93" i="5" s="1"/>
  <c r="BW93" i="5" s="1"/>
  <c r="E94" i="5" s="1"/>
  <c r="Q94" i="5" s="1"/>
  <c r="BQ100" i="5"/>
  <c r="BK101" i="5" s="1"/>
  <c r="BL98" i="5"/>
  <c r="BT97" i="5" s="1"/>
  <c r="AQ73" i="4"/>
  <c r="AD73" i="4"/>
  <c r="Z74" i="4"/>
  <c r="J92" i="4"/>
  <c r="AU74" i="4"/>
  <c r="CE74" i="4"/>
  <c r="AF74" i="4"/>
  <c r="BN74" i="4"/>
  <c r="Y74" i="4"/>
  <c r="AA74" i="4"/>
  <c r="AT73" i="4" s="1"/>
  <c r="AE71" i="4"/>
  <c r="AG71" i="4" s="1"/>
  <c r="AB72" i="4"/>
  <c r="BM95" i="5"/>
  <c r="BV93" i="5"/>
  <c r="BK69" i="4"/>
  <c r="CD67" i="4"/>
  <c r="BV44" i="4"/>
  <c r="BX44" i="4" s="1"/>
  <c r="BY44" i="4" s="1"/>
  <c r="CO44" i="4" s="1"/>
  <c r="BU100" i="5"/>
  <c r="AK100" i="5"/>
  <c r="AO100" i="5"/>
  <c r="AI100" i="5"/>
  <c r="CC56" i="4"/>
  <c r="CG45" i="4"/>
  <c r="CH45" i="4" s="1"/>
  <c r="CI45" i="4" s="1"/>
  <c r="CJ45" i="4" s="1"/>
  <c r="CF46" i="4" s="1"/>
  <c r="F94" i="5"/>
  <c r="R94" i="5" s="1"/>
  <c r="BR45" i="4"/>
  <c r="BS57" i="4" s="1"/>
  <c r="BT69" i="4" s="1"/>
  <c r="BU81" i="4" s="1"/>
  <c r="AD103" i="5"/>
  <c r="AC104" i="5"/>
  <c r="BJ104" i="5"/>
  <c r="DF99" i="5"/>
  <c r="DG99" i="5" s="1"/>
  <c r="BJ74" i="4"/>
  <c r="J99" i="5"/>
  <c r="V99" i="5" s="1"/>
  <c r="CT74" i="4"/>
  <c r="CZ73" i="4" s="1"/>
  <c r="BP74" i="4"/>
  <c r="CY74" i="4"/>
  <c r="CS75" i="4" s="1"/>
  <c r="BI74" i="4"/>
  <c r="X74" i="4"/>
  <c r="K93" i="4" s="1"/>
  <c r="CW73" i="4"/>
  <c r="CX73" i="4" s="1"/>
  <c r="DF73" i="4" s="1"/>
  <c r="CA73" i="4"/>
  <c r="CZ72" i="4"/>
  <c r="DA72" i="4" s="1"/>
  <c r="CV74" i="4"/>
  <c r="DL100" i="5"/>
  <c r="DZ100" i="5"/>
  <c r="EB97" i="5"/>
  <c r="I98" i="5" s="1"/>
  <c r="U98" i="5" s="1"/>
  <c r="DC99" i="5"/>
  <c r="DK98" i="5" s="1"/>
  <c r="DM98" i="5" s="1"/>
  <c r="DN97" i="5"/>
  <c r="H98" i="5" s="1"/>
  <c r="T98" i="5" s="1"/>
  <c r="CX100" i="5"/>
  <c r="CZ97" i="5"/>
  <c r="G98" i="5" s="1"/>
  <c r="S98" i="5" s="1"/>
  <c r="CY97" i="5"/>
  <c r="N100" i="5"/>
  <c r="DE69" i="4"/>
  <c r="H88" i="4" s="1"/>
  <c r="DH69" i="4"/>
  <c r="I88" i="4" s="1"/>
  <c r="DQ99" i="5"/>
  <c r="DY98" i="5" s="1"/>
  <c r="EA98" i="5" s="1"/>
  <c r="CU98" i="5"/>
  <c r="CV98" i="5" s="1"/>
  <c r="CR99" i="5"/>
  <c r="CS99" i="5" s="1"/>
  <c r="DW98" i="5"/>
  <c r="DX98" i="5" s="1"/>
  <c r="CQ100" i="5"/>
  <c r="CP100" i="5"/>
  <c r="CN100" i="5"/>
  <c r="DT99" i="5"/>
  <c r="DU99" i="5" s="1"/>
  <c r="DH100" i="5"/>
  <c r="BY100" i="5"/>
  <c r="DV100" i="5"/>
  <c r="CT100" i="5"/>
  <c r="AA101" i="5"/>
  <c r="B101" i="5"/>
  <c r="AB100" i="5"/>
  <c r="K101" i="5" s="1"/>
  <c r="W101" i="5" s="1"/>
  <c r="DI98" i="5"/>
  <c r="DJ98" i="5" s="1"/>
  <c r="DD100" i="5"/>
  <c r="DE100" i="5"/>
  <c r="DB100" i="5"/>
  <c r="DS100" i="5"/>
  <c r="DR100" i="5"/>
  <c r="DP100" i="5"/>
  <c r="DG71" i="4"/>
  <c r="DB71" i="4"/>
  <c r="DC71" i="4" s="1"/>
  <c r="DD70" i="4"/>
  <c r="DH70" i="4" s="1"/>
  <c r="I89" i="4" s="1"/>
  <c r="CX72" i="4"/>
  <c r="DF72" i="4" s="1"/>
  <c r="W75" i="4"/>
  <c r="C93" i="4"/>
  <c r="CU74" i="4"/>
  <c r="AV101" i="5" l="1"/>
  <c r="CK100" i="5"/>
  <c r="CO100" i="5"/>
  <c r="CW99" i="5" s="1"/>
  <c r="AX96" i="5"/>
  <c r="AZ96" i="5" s="1"/>
  <c r="AW97" i="5"/>
  <c r="BB97" i="5"/>
  <c r="AU98" i="5"/>
  <c r="BD95" i="5"/>
  <c r="BF95" i="5" s="1"/>
  <c r="BC95" i="5"/>
  <c r="BG95" i="5" s="1"/>
  <c r="D96" i="5" s="1"/>
  <c r="P96" i="5" s="1"/>
  <c r="BO101" i="5"/>
  <c r="CF101" i="5"/>
  <c r="CI101" i="5" s="1"/>
  <c r="CD101" i="5"/>
  <c r="CJ101" i="5"/>
  <c r="BE101" i="5"/>
  <c r="BA101" i="5"/>
  <c r="AY101" i="5"/>
  <c r="CC97" i="5"/>
  <c r="CE97" i="5" s="1"/>
  <c r="CB98" i="5"/>
  <c r="CG96" i="5"/>
  <c r="CH96" i="5" s="1"/>
  <c r="CL96" i="5" s="1"/>
  <c r="BN101" i="5"/>
  <c r="AC75" i="4"/>
  <c r="BP94" i="5"/>
  <c r="BR94" i="5" s="1"/>
  <c r="BQ101" i="5"/>
  <c r="BK102" i="5" s="1"/>
  <c r="BL99" i="5"/>
  <c r="BT98" i="5" s="1"/>
  <c r="AQ74" i="4"/>
  <c r="AD74" i="4"/>
  <c r="Z75" i="4"/>
  <c r="J93" i="4"/>
  <c r="AE72" i="4"/>
  <c r="AG72" i="4" s="1"/>
  <c r="AB73" i="4"/>
  <c r="AW73" i="4"/>
  <c r="AA75" i="4"/>
  <c r="AT74" i="4" s="1"/>
  <c r="AF75" i="4"/>
  <c r="CE75" i="4"/>
  <c r="AU75" i="4"/>
  <c r="Y75" i="4"/>
  <c r="BN75" i="4"/>
  <c r="CK44" i="4"/>
  <c r="CL44" i="4" s="1"/>
  <c r="CM44" i="4" s="1"/>
  <c r="CN44" i="4" s="1"/>
  <c r="F63" i="4" s="1"/>
  <c r="BV94" i="5"/>
  <c r="BM96" i="5"/>
  <c r="BK70" i="4"/>
  <c r="CD68" i="4"/>
  <c r="BZ56" i="4"/>
  <c r="CB56" i="4" s="1"/>
  <c r="BU101" i="5"/>
  <c r="AK101" i="5"/>
  <c r="AO101" i="5"/>
  <c r="AI101" i="5"/>
  <c r="CG46" i="4"/>
  <c r="F95" i="5"/>
  <c r="R95" i="5" s="1"/>
  <c r="BR46" i="4"/>
  <c r="BS58" i="4" s="1"/>
  <c r="BT70" i="4" s="1"/>
  <c r="BU82" i="4" s="1"/>
  <c r="BV45" i="4"/>
  <c r="BX45" i="4" s="1"/>
  <c r="AD104" i="5"/>
  <c r="AC105" i="5"/>
  <c r="BJ105" i="5"/>
  <c r="DT100" i="5"/>
  <c r="DU100" i="5" s="1"/>
  <c r="DW100" i="5" s="1"/>
  <c r="DX100" i="5" s="1"/>
  <c r="BJ75" i="4"/>
  <c r="DA73" i="4"/>
  <c r="J100" i="5"/>
  <c r="V100" i="5" s="1"/>
  <c r="CT75" i="4"/>
  <c r="CZ74" i="4" s="1"/>
  <c r="BP75" i="4"/>
  <c r="CY75" i="4"/>
  <c r="CS76" i="4" s="1"/>
  <c r="BI75" i="4"/>
  <c r="X75" i="4"/>
  <c r="K94" i="4" s="1"/>
  <c r="CW74" i="4"/>
  <c r="CX74" i="4" s="1"/>
  <c r="DF74" i="4" s="1"/>
  <c r="CA74" i="4"/>
  <c r="CV75" i="4"/>
  <c r="DC100" i="5"/>
  <c r="DK99" i="5" s="1"/>
  <c r="DM99" i="5" s="1"/>
  <c r="DL101" i="5"/>
  <c r="DZ101" i="5"/>
  <c r="EB98" i="5"/>
  <c r="I99" i="5" s="1"/>
  <c r="U99" i="5" s="1"/>
  <c r="DN98" i="5"/>
  <c r="H99" i="5" s="1"/>
  <c r="T99" i="5" s="1"/>
  <c r="CY98" i="5"/>
  <c r="CZ98" i="5"/>
  <c r="G99" i="5" s="1"/>
  <c r="S99" i="5" s="1"/>
  <c r="CX101" i="5"/>
  <c r="N101" i="5"/>
  <c r="DQ100" i="5"/>
  <c r="DY99" i="5" s="1"/>
  <c r="EA99" i="5" s="1"/>
  <c r="DF100" i="5"/>
  <c r="DG100" i="5" s="1"/>
  <c r="CR100" i="5"/>
  <c r="CS100" i="5" s="1"/>
  <c r="DW99" i="5"/>
  <c r="DX99" i="5" s="1"/>
  <c r="DB101" i="5"/>
  <c r="DE101" i="5"/>
  <c r="DD101" i="5"/>
  <c r="B102" i="5"/>
  <c r="AA102" i="5"/>
  <c r="DV101" i="5"/>
  <c r="BY101" i="5"/>
  <c r="DH101" i="5"/>
  <c r="CT101" i="5"/>
  <c r="AB101" i="5"/>
  <c r="K102" i="5" s="1"/>
  <c r="W102" i="5" s="1"/>
  <c r="DI99" i="5"/>
  <c r="DJ99" i="5" s="1"/>
  <c r="DN99" i="5" s="1"/>
  <c r="CQ101" i="5"/>
  <c r="CP101" i="5"/>
  <c r="CN101" i="5"/>
  <c r="DS101" i="5"/>
  <c r="DP101" i="5"/>
  <c r="DR101" i="5"/>
  <c r="CU99" i="5"/>
  <c r="CV99" i="5" s="1"/>
  <c r="DE70" i="4"/>
  <c r="H89" i="4" s="1"/>
  <c r="DG73" i="4"/>
  <c r="DG72" i="4"/>
  <c r="DB72" i="4"/>
  <c r="DC72" i="4" s="1"/>
  <c r="DD71" i="4"/>
  <c r="DE71" i="4" s="1"/>
  <c r="H90" i="4" s="1"/>
  <c r="DB73" i="4"/>
  <c r="DC73" i="4" s="1"/>
  <c r="W76" i="4"/>
  <c r="C94" i="4"/>
  <c r="CU75" i="4"/>
  <c r="CO101" i="5" l="1"/>
  <c r="CW100" i="5" s="1"/>
  <c r="CC98" i="5"/>
  <c r="CE98" i="5" s="1"/>
  <c r="CB99" i="5"/>
  <c r="CG97" i="5"/>
  <c r="CH97" i="5" s="1"/>
  <c r="CL97" i="5" s="1"/>
  <c r="CA102" i="5"/>
  <c r="CK101" i="5"/>
  <c r="BB98" i="5"/>
  <c r="AU99" i="5"/>
  <c r="BO102" i="5"/>
  <c r="CF102" i="5"/>
  <c r="CI102" i="5" s="1"/>
  <c r="CD102" i="5"/>
  <c r="BA102" i="5"/>
  <c r="CJ102" i="5"/>
  <c r="AY102" i="5"/>
  <c r="BE102" i="5"/>
  <c r="AX97" i="5"/>
  <c r="AZ97" i="5" s="1"/>
  <c r="AW98" i="5"/>
  <c r="BD96" i="5"/>
  <c r="BF96" i="5" s="1"/>
  <c r="BC96" i="5"/>
  <c r="BG96" i="5" s="1"/>
  <c r="D97" i="5" s="1"/>
  <c r="P97" i="5" s="1"/>
  <c r="AV102" i="5"/>
  <c r="AV103" i="5" s="1"/>
  <c r="BZ102" i="5"/>
  <c r="AC76" i="4"/>
  <c r="BN102" i="5"/>
  <c r="BP95" i="5"/>
  <c r="BR95" i="5" s="1"/>
  <c r="BS94" i="5"/>
  <c r="BW94" i="5" s="1"/>
  <c r="E95" i="5" s="1"/>
  <c r="Q95" i="5" s="1"/>
  <c r="BQ102" i="5"/>
  <c r="BK103" i="5" s="1"/>
  <c r="BL100" i="5"/>
  <c r="BT99" i="5" s="1"/>
  <c r="AQ75" i="4"/>
  <c r="AD75" i="4"/>
  <c r="J94" i="4"/>
  <c r="AW74" i="4"/>
  <c r="AA76" i="4"/>
  <c r="AT75" i="4" s="1"/>
  <c r="AE73" i="4"/>
  <c r="AG73" i="4" s="1"/>
  <c r="AB74" i="4"/>
  <c r="CP44" i="4"/>
  <c r="CQ44" i="4" s="1"/>
  <c r="G63" i="4" s="1"/>
  <c r="AU76" i="4"/>
  <c r="AF76" i="4"/>
  <c r="CE76" i="4"/>
  <c r="BN76" i="4"/>
  <c r="Y76" i="4"/>
  <c r="Z76" i="4"/>
  <c r="BM97" i="5"/>
  <c r="BV95" i="5"/>
  <c r="BK71" i="4"/>
  <c r="CD69" i="4"/>
  <c r="BU102" i="5"/>
  <c r="AK102" i="5"/>
  <c r="AO102" i="5"/>
  <c r="AI102" i="5"/>
  <c r="CH46" i="4"/>
  <c r="CI46" i="4" s="1"/>
  <c r="CJ46" i="4" s="1"/>
  <c r="CF47" i="4" s="1"/>
  <c r="BY45" i="4"/>
  <c r="CO45" i="4" s="1"/>
  <c r="CK45" i="4"/>
  <c r="CL45" i="4" s="1"/>
  <c r="CC57" i="4"/>
  <c r="BZ57" i="4"/>
  <c r="CB57" i="4" s="1"/>
  <c r="BV46" i="4"/>
  <c r="BX46" i="4" s="1"/>
  <c r="F96" i="5"/>
  <c r="R96" i="5" s="1"/>
  <c r="AD105" i="5"/>
  <c r="AC106" i="5"/>
  <c r="BJ106" i="5"/>
  <c r="CR101" i="5"/>
  <c r="CS101" i="5" s="1"/>
  <c r="DA74" i="4"/>
  <c r="BJ76" i="4"/>
  <c r="J101" i="5"/>
  <c r="V101" i="5" s="1"/>
  <c r="DC101" i="5"/>
  <c r="DK100" i="5" s="1"/>
  <c r="DM100" i="5" s="1"/>
  <c r="CW75" i="4"/>
  <c r="CX75" i="4" s="1"/>
  <c r="DF75" i="4" s="1"/>
  <c r="CA75" i="4"/>
  <c r="CY76" i="4"/>
  <c r="CS77" i="4" s="1"/>
  <c r="BP76" i="4"/>
  <c r="BI76" i="4"/>
  <c r="X76" i="4"/>
  <c r="K95" i="4" s="1"/>
  <c r="CV76" i="4"/>
  <c r="CT76" i="4"/>
  <c r="CZ75" i="4" s="1"/>
  <c r="DL102" i="5"/>
  <c r="DZ102" i="5"/>
  <c r="EB100" i="5"/>
  <c r="I101" i="5" s="1"/>
  <c r="U101" i="5" s="1"/>
  <c r="EB99" i="5"/>
  <c r="I100" i="5" s="1"/>
  <c r="U100" i="5" s="1"/>
  <c r="H100" i="5"/>
  <c r="T100" i="5" s="1"/>
  <c r="CY99" i="5"/>
  <c r="CZ99" i="5"/>
  <c r="G100" i="5" s="1"/>
  <c r="S100" i="5" s="1"/>
  <c r="CX102" i="5"/>
  <c r="N102" i="5"/>
  <c r="DG74" i="4"/>
  <c r="DQ101" i="5"/>
  <c r="DY100" i="5" s="1"/>
  <c r="EA100" i="5" s="1"/>
  <c r="DT101" i="5"/>
  <c r="DU101" i="5" s="1"/>
  <c r="CN102" i="5"/>
  <c r="CO102" i="5"/>
  <c r="CW101" i="5" s="1"/>
  <c r="CQ102" i="5"/>
  <c r="CP102" i="5"/>
  <c r="B103" i="5"/>
  <c r="AA103" i="5"/>
  <c r="BY102" i="5"/>
  <c r="DH102" i="5"/>
  <c r="CT102" i="5"/>
  <c r="DV102" i="5"/>
  <c r="AB102" i="5"/>
  <c r="K103" i="5" s="1"/>
  <c r="W103" i="5" s="1"/>
  <c r="DB102" i="5"/>
  <c r="DD102" i="5"/>
  <c r="DE102" i="5"/>
  <c r="DI100" i="5"/>
  <c r="DJ100" i="5" s="1"/>
  <c r="DN100" i="5" s="1"/>
  <c r="CU100" i="5"/>
  <c r="CV100" i="5" s="1"/>
  <c r="DF101" i="5"/>
  <c r="DG101" i="5" s="1"/>
  <c r="DP102" i="5"/>
  <c r="DR102" i="5"/>
  <c r="DS102" i="5"/>
  <c r="DH71" i="4"/>
  <c r="I90" i="4" s="1"/>
  <c r="DD72" i="4"/>
  <c r="DH72" i="4" s="1"/>
  <c r="I91" i="4" s="1"/>
  <c r="DB74" i="4"/>
  <c r="DC74" i="4" s="1"/>
  <c r="CU76" i="4"/>
  <c r="W77" i="4"/>
  <c r="C95" i="4"/>
  <c r="CF103" i="5" l="1"/>
  <c r="CD103" i="5"/>
  <c r="CJ103" i="5"/>
  <c r="AY103" i="5"/>
  <c r="BE103" i="5"/>
  <c r="BA103" i="5"/>
  <c r="CA103" i="5"/>
  <c r="CA104" i="5" s="1"/>
  <c r="AX98" i="5"/>
  <c r="AZ98" i="5" s="1"/>
  <c r="AW99" i="5"/>
  <c r="CK102" i="5"/>
  <c r="BZ103" i="5"/>
  <c r="BZ104" i="5" s="1"/>
  <c r="BD97" i="5"/>
  <c r="BF97" i="5" s="1"/>
  <c r="BC97" i="5"/>
  <c r="BG97" i="5" s="1"/>
  <c r="D98" i="5" s="1"/>
  <c r="P98" i="5" s="1"/>
  <c r="CC99" i="5"/>
  <c r="CE99" i="5" s="1"/>
  <c r="CB100" i="5"/>
  <c r="AV104" i="5"/>
  <c r="BB99" i="5"/>
  <c r="AU100" i="5"/>
  <c r="CG98" i="5"/>
  <c r="CH98" i="5" s="1"/>
  <c r="CL98" i="5" s="1"/>
  <c r="BQ103" i="5"/>
  <c r="BK104" i="5" s="1"/>
  <c r="BO103" i="5"/>
  <c r="BN103" i="5"/>
  <c r="AC77" i="4"/>
  <c r="BP96" i="5"/>
  <c r="BR96" i="5" s="1"/>
  <c r="BS95" i="5"/>
  <c r="BW95" i="5" s="1"/>
  <c r="E96" i="5" s="1"/>
  <c r="Q96" i="5" s="1"/>
  <c r="BL101" i="5"/>
  <c r="BT100" i="5" s="1"/>
  <c r="J95" i="4"/>
  <c r="AL103" i="5"/>
  <c r="AQ76" i="4"/>
  <c r="AD76" i="4"/>
  <c r="Z77" i="4"/>
  <c r="AW75" i="4"/>
  <c r="AF77" i="4"/>
  <c r="AU77" i="4"/>
  <c r="CE77" i="4"/>
  <c r="BN77" i="4"/>
  <c r="Y77" i="4"/>
  <c r="AA77" i="4"/>
  <c r="AT76" i="4" s="1"/>
  <c r="AE74" i="4"/>
  <c r="AG74" i="4" s="1"/>
  <c r="AB75" i="4"/>
  <c r="BV96" i="5"/>
  <c r="BP97" i="5"/>
  <c r="BM98" i="5"/>
  <c r="BJ77" i="4"/>
  <c r="BK72" i="4"/>
  <c r="CD70" i="4"/>
  <c r="BU103" i="5"/>
  <c r="AO103" i="5"/>
  <c r="AK103" i="5"/>
  <c r="AI103" i="5"/>
  <c r="CC58" i="4"/>
  <c r="BZ58" i="4"/>
  <c r="CB58" i="4" s="1"/>
  <c r="CG47" i="4"/>
  <c r="F97" i="5"/>
  <c r="R97" i="5" s="1"/>
  <c r="BY46" i="4"/>
  <c r="CO46" i="4" s="1"/>
  <c r="CK46" i="4"/>
  <c r="CL46" i="4" s="1"/>
  <c r="BR47" i="4"/>
  <c r="BS59" i="4" s="1"/>
  <c r="BT71" i="4" s="1"/>
  <c r="BU83" i="4" s="1"/>
  <c r="CM45" i="4"/>
  <c r="CN45" i="4" s="1"/>
  <c r="F64" i="4" s="1"/>
  <c r="CP45" i="4"/>
  <c r="AD106" i="5"/>
  <c r="AC107" i="5"/>
  <c r="BJ107" i="5"/>
  <c r="DT102" i="5"/>
  <c r="DU102" i="5" s="1"/>
  <c r="DA75" i="4"/>
  <c r="J102" i="5"/>
  <c r="V102" i="5" s="1"/>
  <c r="DC102" i="5"/>
  <c r="DK101" i="5" s="1"/>
  <c r="DM101" i="5" s="1"/>
  <c r="CW76" i="4"/>
  <c r="CX76" i="4" s="1"/>
  <c r="DF76" i="4" s="1"/>
  <c r="CA76" i="4"/>
  <c r="CY77" i="4"/>
  <c r="CS78" i="4" s="1"/>
  <c r="BP77" i="4"/>
  <c r="BI77" i="4"/>
  <c r="X77" i="4"/>
  <c r="K96" i="4" s="1"/>
  <c r="CT77" i="4"/>
  <c r="CZ76" i="4" s="1"/>
  <c r="CV77" i="4"/>
  <c r="DL103" i="5"/>
  <c r="DZ103" i="5"/>
  <c r="H101" i="5"/>
  <c r="T101" i="5" s="1"/>
  <c r="CX103" i="5"/>
  <c r="CY100" i="5"/>
  <c r="CZ100" i="5"/>
  <c r="G101" i="5" s="1"/>
  <c r="S101" i="5" s="1"/>
  <c r="N103" i="5"/>
  <c r="DB75" i="4"/>
  <c r="DC75" i="4" s="1"/>
  <c r="DQ102" i="5"/>
  <c r="DY101" i="5" s="1"/>
  <c r="EA101" i="5" s="1"/>
  <c r="DI101" i="5"/>
  <c r="DJ101" i="5" s="1"/>
  <c r="DF102" i="5"/>
  <c r="DG102" i="5" s="1"/>
  <c r="CU101" i="5"/>
  <c r="CV101" i="5" s="1"/>
  <c r="B104" i="5"/>
  <c r="A93" i="5" s="1"/>
  <c r="DV103" i="5"/>
  <c r="CT103" i="5"/>
  <c r="BY103" i="5"/>
  <c r="AA104" i="5"/>
  <c r="DH103" i="5"/>
  <c r="AB103" i="5"/>
  <c r="K104" i="5" s="1"/>
  <c r="W104" i="5" s="1"/>
  <c r="DS103" i="5"/>
  <c r="DR103" i="5"/>
  <c r="DP103" i="5"/>
  <c r="CO103" i="5"/>
  <c r="CW102" i="5" s="1"/>
  <c r="CP103" i="5"/>
  <c r="CN103" i="5"/>
  <c r="CQ103" i="5"/>
  <c r="CR102" i="5"/>
  <c r="CS102" i="5" s="1"/>
  <c r="DW101" i="5"/>
  <c r="DX101" i="5" s="1"/>
  <c r="EB101" i="5" s="1"/>
  <c r="DD103" i="5"/>
  <c r="DE103" i="5"/>
  <c r="DB103" i="5"/>
  <c r="DE72" i="4"/>
  <c r="H91" i="4" s="1"/>
  <c r="DG75" i="4"/>
  <c r="DD73" i="4"/>
  <c r="CU77" i="4"/>
  <c r="W78" i="4"/>
  <c r="C96" i="4"/>
  <c r="AX99" i="5" l="1"/>
  <c r="AZ99" i="5" s="1"/>
  <c r="AW100" i="5"/>
  <c r="CC100" i="5"/>
  <c r="CE100" i="5" s="1"/>
  <c r="CB101" i="5"/>
  <c r="BD98" i="5"/>
  <c r="BF98" i="5" s="1"/>
  <c r="BC98" i="5"/>
  <c r="BG98" i="5" s="1"/>
  <c r="D99" i="5" s="1"/>
  <c r="P99" i="5" s="1"/>
  <c r="BO104" i="5"/>
  <c r="CF104" i="5"/>
  <c r="CI104" i="5" s="1"/>
  <c r="CJ104" i="5"/>
  <c r="AY104" i="5"/>
  <c r="BA104" i="5"/>
  <c r="AV105" i="5" s="1"/>
  <c r="BE104" i="5"/>
  <c r="CG104" i="5"/>
  <c r="CG99" i="5"/>
  <c r="CH99" i="5" s="1"/>
  <c r="CL99" i="5" s="1"/>
  <c r="CA105" i="5"/>
  <c r="BB100" i="5"/>
  <c r="AU101" i="5"/>
  <c r="AC78" i="4"/>
  <c r="BS96" i="5"/>
  <c r="BW96" i="5" s="1"/>
  <c r="E97" i="5" s="1"/>
  <c r="Q97" i="5" s="1"/>
  <c r="BR97" i="5"/>
  <c r="BS97" i="5" s="1"/>
  <c r="BW97" i="5" s="1"/>
  <c r="E98" i="5" s="1"/>
  <c r="Q98" i="5" s="1"/>
  <c r="BQ104" i="5"/>
  <c r="BK105" i="5" s="1"/>
  <c r="BL102" i="5"/>
  <c r="BT101" i="5" s="1"/>
  <c r="J96" i="4"/>
  <c r="AQ77" i="4"/>
  <c r="AD77" i="4"/>
  <c r="AF78" i="4"/>
  <c r="BN78" i="4"/>
  <c r="Y78" i="4"/>
  <c r="AA78" i="4"/>
  <c r="AT77" i="4" s="1"/>
  <c r="Z78" i="4"/>
  <c r="AE75" i="4"/>
  <c r="AG75" i="4" s="1"/>
  <c r="AB76" i="4"/>
  <c r="AW76" i="4"/>
  <c r="BM99" i="5"/>
  <c r="BV97" i="5"/>
  <c r="BK73" i="4"/>
  <c r="CD71" i="4"/>
  <c r="BJ78" i="4"/>
  <c r="AI104" i="5"/>
  <c r="BU104" i="5"/>
  <c r="AK104" i="5"/>
  <c r="AO104" i="5"/>
  <c r="CQ45" i="4"/>
  <c r="G64" i="4" s="1"/>
  <c r="CH47" i="4"/>
  <c r="CI47" i="4" s="1"/>
  <c r="CJ47" i="4" s="1"/>
  <c r="CF48" i="4" s="1"/>
  <c r="CM46" i="4"/>
  <c r="CP46" i="4"/>
  <c r="BV47" i="4"/>
  <c r="BX47" i="4" s="1"/>
  <c r="F98" i="5"/>
  <c r="R98" i="5" s="1"/>
  <c r="AD107" i="5"/>
  <c r="AC108" i="5"/>
  <c r="BJ108" i="5"/>
  <c r="DT103" i="5"/>
  <c r="DU103" i="5" s="1"/>
  <c r="DA76" i="4"/>
  <c r="J103" i="5"/>
  <c r="V103" i="5" s="1"/>
  <c r="CV78" i="4"/>
  <c r="DC103" i="5"/>
  <c r="DK102" i="5" s="1"/>
  <c r="DM102" i="5" s="1"/>
  <c r="CW77" i="4"/>
  <c r="CX77" i="4" s="1"/>
  <c r="DF77" i="4" s="1"/>
  <c r="CA77" i="4"/>
  <c r="CY78" i="4"/>
  <c r="CS79" i="4" s="1"/>
  <c r="BP78" i="4"/>
  <c r="BI78" i="4"/>
  <c r="X78" i="4"/>
  <c r="K97" i="4" s="1"/>
  <c r="CT78" i="4"/>
  <c r="CZ77" i="4" s="1"/>
  <c r="DL104" i="5"/>
  <c r="DZ104" i="5"/>
  <c r="I102" i="5"/>
  <c r="U102" i="5" s="1"/>
  <c r="DN101" i="5"/>
  <c r="H102" i="5" s="1"/>
  <c r="T102" i="5" s="1"/>
  <c r="CY101" i="5"/>
  <c r="CZ101" i="5"/>
  <c r="G102" i="5" s="1"/>
  <c r="S102" i="5" s="1"/>
  <c r="CX104" i="5"/>
  <c r="N104" i="5"/>
  <c r="DB76" i="4"/>
  <c r="DC76" i="4" s="1"/>
  <c r="DQ103" i="5"/>
  <c r="DY102" i="5" s="1"/>
  <c r="EA102" i="5" s="1"/>
  <c r="CR103" i="5"/>
  <c r="CS103" i="5" s="1"/>
  <c r="DF103" i="5"/>
  <c r="DG103" i="5" s="1"/>
  <c r="CP104" i="5"/>
  <c r="CO104" i="5"/>
  <c r="CW103" i="5" s="1"/>
  <c r="CN104" i="5"/>
  <c r="CU102" i="5"/>
  <c r="CV102" i="5" s="1"/>
  <c r="DR104" i="5"/>
  <c r="DP104" i="5"/>
  <c r="DW102" i="5"/>
  <c r="DX102" i="5" s="1"/>
  <c r="B105" i="5"/>
  <c r="DV104" i="5"/>
  <c r="CT104" i="5"/>
  <c r="DH104" i="5"/>
  <c r="BY104" i="5"/>
  <c r="CD104" i="5" s="1"/>
  <c r="AA105" i="5"/>
  <c r="AB104" i="5"/>
  <c r="K105" i="5" s="1"/>
  <c r="W105" i="5" s="1"/>
  <c r="DI102" i="5"/>
  <c r="DJ102" i="5" s="1"/>
  <c r="DN102" i="5" s="1"/>
  <c r="DD104" i="5"/>
  <c r="DB104" i="5"/>
  <c r="DE73" i="4"/>
  <c r="H92" i="4" s="1"/>
  <c r="DH73" i="4"/>
  <c r="I92" i="4" s="1"/>
  <c r="DG76" i="4"/>
  <c r="DD74" i="4"/>
  <c r="C97" i="4"/>
  <c r="W79" i="4"/>
  <c r="CU78" i="4"/>
  <c r="CC101" i="5" l="1"/>
  <c r="CE101" i="5" s="1"/>
  <c r="CB102" i="5"/>
  <c r="BZ105" i="5"/>
  <c r="CG105" i="5" s="1"/>
  <c r="CG100" i="5"/>
  <c r="CH100" i="5" s="1"/>
  <c r="CL100" i="5" s="1"/>
  <c r="AX100" i="5"/>
  <c r="AZ100" i="5" s="1"/>
  <c r="AW101" i="5"/>
  <c r="BD99" i="5"/>
  <c r="BF99" i="5" s="1"/>
  <c r="BC99" i="5"/>
  <c r="BG99" i="5" s="1"/>
  <c r="D100" i="5" s="1"/>
  <c r="P100" i="5" s="1"/>
  <c r="BO105" i="5"/>
  <c r="CJ105" i="5"/>
  <c r="BA105" i="5"/>
  <c r="AY105" i="5"/>
  <c r="CF105" i="5"/>
  <c r="CI105" i="5" s="1"/>
  <c r="BE105" i="5"/>
  <c r="BB101" i="5"/>
  <c r="AU102" i="5"/>
  <c r="J97" i="4"/>
  <c r="BP98" i="5"/>
  <c r="BR98" i="5" s="1"/>
  <c r="BS98" i="5" s="1"/>
  <c r="BW98" i="5" s="1"/>
  <c r="E99" i="5" s="1"/>
  <c r="Q99" i="5" s="1"/>
  <c r="BQ105" i="5"/>
  <c r="BK106" i="5" s="1"/>
  <c r="BL103" i="5"/>
  <c r="BT102" i="5" s="1"/>
  <c r="AQ78" i="4"/>
  <c r="AD78" i="4"/>
  <c r="AW77" i="4"/>
  <c r="Z79" i="4"/>
  <c r="AA79" i="4"/>
  <c r="AT78" i="4" s="1"/>
  <c r="AE76" i="4"/>
  <c r="AG76" i="4" s="1"/>
  <c r="AB77" i="4"/>
  <c r="AF79" i="4"/>
  <c r="AU79" i="4"/>
  <c r="CE79" i="4"/>
  <c r="Y79" i="4"/>
  <c r="BV98" i="5"/>
  <c r="BM100" i="5"/>
  <c r="BK74" i="4"/>
  <c r="BU105" i="5"/>
  <c r="AO105" i="5"/>
  <c r="AK105" i="5"/>
  <c r="AI105" i="5"/>
  <c r="CQ46" i="4"/>
  <c r="G65" i="4" s="1"/>
  <c r="CC59" i="4"/>
  <c r="BZ59" i="4"/>
  <c r="CB59" i="4" s="1"/>
  <c r="F99" i="5"/>
  <c r="R99" i="5" s="1"/>
  <c r="CG48" i="4"/>
  <c r="CH48" i="4" s="1"/>
  <c r="CI48" i="4" s="1"/>
  <c r="CJ48" i="4" s="1"/>
  <c r="CF49" i="4" s="1"/>
  <c r="CN46" i="4"/>
  <c r="F65" i="4" s="1"/>
  <c r="BY47" i="4"/>
  <c r="CO47" i="4" s="1"/>
  <c r="CK47" i="4"/>
  <c r="CL47" i="4" s="1"/>
  <c r="BR48" i="4"/>
  <c r="BS60" i="4" s="1"/>
  <c r="BT72" i="4" s="1"/>
  <c r="BU84" i="4" s="1"/>
  <c r="AD108" i="5"/>
  <c r="AC109" i="5"/>
  <c r="BJ109" i="5"/>
  <c r="DF104" i="5"/>
  <c r="DA77" i="4"/>
  <c r="J104" i="5"/>
  <c r="V104" i="5" s="1"/>
  <c r="N105" i="5"/>
  <c r="DC104" i="5"/>
  <c r="DK103" i="5" s="1"/>
  <c r="DM103" i="5" s="1"/>
  <c r="CW78" i="4"/>
  <c r="CX78" i="4" s="1"/>
  <c r="DF78" i="4" s="1"/>
  <c r="CA78" i="4"/>
  <c r="CY79" i="4"/>
  <c r="CS80" i="4" s="1"/>
  <c r="BP79" i="4"/>
  <c r="BI79" i="4"/>
  <c r="BN79" i="4" s="1"/>
  <c r="X79" i="4"/>
  <c r="K98" i="4" s="1"/>
  <c r="CT79" i="4"/>
  <c r="CZ78" i="4" s="1"/>
  <c r="DL105" i="5"/>
  <c r="DZ105" i="5"/>
  <c r="EB102" i="5"/>
  <c r="I103" i="5" s="1"/>
  <c r="U103" i="5" s="1"/>
  <c r="H103" i="5"/>
  <c r="T103" i="5" s="1"/>
  <c r="CZ102" i="5"/>
  <c r="G103" i="5" s="1"/>
  <c r="S103" i="5" s="1"/>
  <c r="CY102" i="5"/>
  <c r="CX105" i="5"/>
  <c r="DQ104" i="5"/>
  <c r="DY103" i="5" s="1"/>
  <c r="EA103" i="5" s="1"/>
  <c r="DE104" i="5"/>
  <c r="DI103" i="5"/>
  <c r="DJ103" i="5" s="1"/>
  <c r="DT104" i="5"/>
  <c r="DW103" i="5"/>
  <c r="DX103" i="5" s="1"/>
  <c r="CU103" i="5"/>
  <c r="CV103" i="5" s="1"/>
  <c r="CR104" i="5"/>
  <c r="DD105" i="5"/>
  <c r="DB105" i="5"/>
  <c r="DS104" i="5"/>
  <c r="B106" i="5"/>
  <c r="DV105" i="5"/>
  <c r="AA106" i="5"/>
  <c r="DH105" i="5"/>
  <c r="CT105" i="5"/>
  <c r="BY105" i="5"/>
  <c r="CD105" i="5" s="1"/>
  <c r="AB105" i="5"/>
  <c r="K106" i="5" s="1"/>
  <c r="W106" i="5" s="1"/>
  <c r="CN105" i="5"/>
  <c r="CP105" i="5"/>
  <c r="CO105" i="5"/>
  <c r="CW104" i="5" s="1"/>
  <c r="DR105" i="5"/>
  <c r="DP105" i="5"/>
  <c r="CQ104" i="5"/>
  <c r="DG77" i="4"/>
  <c r="DH74" i="4"/>
  <c r="I93" i="4" s="1"/>
  <c r="DE74" i="4"/>
  <c r="H93" i="4" s="1"/>
  <c r="DB77" i="4"/>
  <c r="DC77" i="4" s="1"/>
  <c r="DD75" i="4"/>
  <c r="DD76" i="4" s="1"/>
  <c r="CU79" i="4"/>
  <c r="W80" i="4"/>
  <c r="C98" i="4"/>
  <c r="B97" i="4" s="1"/>
  <c r="BO106" i="5" l="1"/>
  <c r="CJ106" i="5"/>
  <c r="BA106" i="5"/>
  <c r="CF106" i="5"/>
  <c r="CI106" i="5" s="1"/>
  <c r="AY106" i="5"/>
  <c r="BE106" i="5"/>
  <c r="CC102" i="5"/>
  <c r="CE102" i="5" s="1"/>
  <c r="CB103" i="5"/>
  <c r="BZ106" i="5"/>
  <c r="CG106" i="5" s="1"/>
  <c r="AX101" i="5"/>
  <c r="AZ101" i="5" s="1"/>
  <c r="AW102" i="5"/>
  <c r="CG101" i="5"/>
  <c r="CH101" i="5" s="1"/>
  <c r="CL101" i="5" s="1"/>
  <c r="BD100" i="5"/>
  <c r="BF100" i="5" s="1"/>
  <c r="BC100" i="5"/>
  <c r="BG100" i="5" s="1"/>
  <c r="D101" i="5" s="1"/>
  <c r="P101" i="5" s="1"/>
  <c r="CA106" i="5"/>
  <c r="CA107" i="5" s="1"/>
  <c r="BB102" i="5"/>
  <c r="AU103" i="5"/>
  <c r="AV106" i="5"/>
  <c r="AV107" i="5" s="1"/>
  <c r="BP99" i="5"/>
  <c r="BR99" i="5" s="1"/>
  <c r="BS99" i="5" s="1"/>
  <c r="BW99" i="5" s="1"/>
  <c r="E100" i="5" s="1"/>
  <c r="Q100" i="5" s="1"/>
  <c r="BQ106" i="5"/>
  <c r="BK107" i="5" s="1"/>
  <c r="BL104" i="5"/>
  <c r="BT103" i="5" s="1"/>
  <c r="AQ79" i="4"/>
  <c r="AD79" i="4"/>
  <c r="Z80" i="4"/>
  <c r="AA80" i="4"/>
  <c r="AT79" i="4" s="1"/>
  <c r="AU80" i="4"/>
  <c r="AF80" i="4"/>
  <c r="CE80" i="4"/>
  <c r="Y80" i="4"/>
  <c r="AE77" i="4"/>
  <c r="AG77" i="4" s="1"/>
  <c r="AB78" i="4"/>
  <c r="BM101" i="5"/>
  <c r="BV99" i="5"/>
  <c r="CD73" i="4"/>
  <c r="BK75" i="4"/>
  <c r="BU106" i="5"/>
  <c r="AK106" i="5"/>
  <c r="AO106" i="5"/>
  <c r="AI106" i="5"/>
  <c r="CG49" i="4"/>
  <c r="CM47" i="4"/>
  <c r="CN47" i="4" s="1"/>
  <c r="F66" i="4" s="1"/>
  <c r="CP47" i="4"/>
  <c r="BR49" i="4"/>
  <c r="BS61" i="4" s="1"/>
  <c r="BT73" i="4" s="1"/>
  <c r="BU85" i="4" s="1"/>
  <c r="BV48" i="4"/>
  <c r="BX48" i="4" s="1"/>
  <c r="F100" i="5"/>
  <c r="R100" i="5" s="1"/>
  <c r="AD109" i="5"/>
  <c r="AC110" i="5"/>
  <c r="BJ110" i="5"/>
  <c r="DG104" i="5"/>
  <c r="DI104" i="5" s="1"/>
  <c r="DJ104" i="5" s="1"/>
  <c r="DN104" i="5" s="1"/>
  <c r="DA78" i="4"/>
  <c r="J105" i="5"/>
  <c r="V105" i="5" s="1"/>
  <c r="J98" i="4"/>
  <c r="DC105" i="5"/>
  <c r="DK104" i="5" s="1"/>
  <c r="DM104" i="5" s="1"/>
  <c r="CW79" i="4"/>
  <c r="CA79" i="4"/>
  <c r="CT80" i="4"/>
  <c r="CZ79" i="4" s="1"/>
  <c r="BP80" i="4"/>
  <c r="CY80" i="4"/>
  <c r="CS81" i="4" s="1"/>
  <c r="BI80" i="4"/>
  <c r="CA80" i="4" s="1"/>
  <c r="X80" i="4"/>
  <c r="K99" i="4" s="1"/>
  <c r="DL106" i="5"/>
  <c r="DZ106" i="5"/>
  <c r="EB103" i="5"/>
  <c r="I104" i="5" s="1"/>
  <c r="U104" i="5" s="1"/>
  <c r="DN103" i="5"/>
  <c r="H104" i="5" s="1"/>
  <c r="T104" i="5" s="1"/>
  <c r="CX106" i="5"/>
  <c r="CY103" i="5"/>
  <c r="CZ103" i="5"/>
  <c r="G104" i="5" s="1"/>
  <c r="S104" i="5" s="1"/>
  <c r="N106" i="5"/>
  <c r="CV79" i="4"/>
  <c r="CV80" i="4" s="1"/>
  <c r="DG78" i="4"/>
  <c r="DQ105" i="5"/>
  <c r="DY104" i="5" s="1"/>
  <c r="EA104" i="5" s="1"/>
  <c r="DE105" i="5"/>
  <c r="DU104" i="5"/>
  <c r="DW104" i="5" s="1"/>
  <c r="DX104" i="5" s="1"/>
  <c r="DS105" i="5"/>
  <c r="DS106" i="5" s="1"/>
  <c r="CS104" i="5"/>
  <c r="CU104" i="5" s="1"/>
  <c r="CV104" i="5" s="1"/>
  <c r="DF105" i="5"/>
  <c r="CR105" i="5"/>
  <c r="DT105" i="5"/>
  <c r="DD106" i="5"/>
  <c r="DB106" i="5"/>
  <c r="B107" i="5"/>
  <c r="AA107" i="5"/>
  <c r="DV106" i="5"/>
  <c r="CT106" i="5"/>
  <c r="DH106" i="5"/>
  <c r="BY106" i="5"/>
  <c r="CD106" i="5" s="1"/>
  <c r="AB106" i="5"/>
  <c r="K107" i="5" s="1"/>
  <c r="W107" i="5" s="1"/>
  <c r="CQ105" i="5"/>
  <c r="DP106" i="5"/>
  <c r="DR106" i="5"/>
  <c r="CN106" i="5"/>
  <c r="CP106" i="5"/>
  <c r="CO106" i="5"/>
  <c r="CW105" i="5" s="1"/>
  <c r="DD77" i="4"/>
  <c r="DE77" i="4" s="1"/>
  <c r="H96" i="4" s="1"/>
  <c r="DE76" i="4"/>
  <c r="H95" i="4" s="1"/>
  <c r="DH76" i="4"/>
  <c r="I95" i="4" s="1"/>
  <c r="DB78" i="4"/>
  <c r="DC78" i="4" s="1"/>
  <c r="DE75" i="4"/>
  <c r="H94" i="4" s="1"/>
  <c r="DH75" i="4"/>
  <c r="I94" i="4" s="1"/>
  <c r="W81" i="4"/>
  <c r="C99" i="4"/>
  <c r="CU80" i="4"/>
  <c r="BB103" i="5" l="1"/>
  <c r="AU104" i="5"/>
  <c r="BD101" i="5"/>
  <c r="BF101" i="5" s="1"/>
  <c r="BC101" i="5"/>
  <c r="BG101" i="5" s="1"/>
  <c r="D102" i="5" s="1"/>
  <c r="P102" i="5" s="1"/>
  <c r="CC103" i="5"/>
  <c r="CE103" i="5" s="1"/>
  <c r="CI103" i="5" s="1"/>
  <c r="CB104" i="5"/>
  <c r="BZ107" i="5"/>
  <c r="CG107" i="5" s="1"/>
  <c r="CG102" i="5"/>
  <c r="CH102" i="5" s="1"/>
  <c r="CL102" i="5" s="1"/>
  <c r="BO107" i="5"/>
  <c r="CJ107" i="5"/>
  <c r="CF107" i="5"/>
  <c r="BE107" i="5"/>
  <c r="BA107" i="5"/>
  <c r="AV108" i="5" s="1"/>
  <c r="AY107" i="5"/>
  <c r="AX102" i="5"/>
  <c r="AZ102" i="5" s="1"/>
  <c r="AW103" i="5"/>
  <c r="BP100" i="5"/>
  <c r="BR100" i="5" s="1"/>
  <c r="BS100" i="5" s="1"/>
  <c r="BW100" i="5" s="1"/>
  <c r="E101" i="5" s="1"/>
  <c r="Q101" i="5" s="1"/>
  <c r="BQ107" i="5"/>
  <c r="BK108" i="5" s="1"/>
  <c r="BL105" i="5"/>
  <c r="BT104" i="5" s="1"/>
  <c r="AQ80" i="4"/>
  <c r="AD80" i="4"/>
  <c r="AE78" i="4"/>
  <c r="AB79" i="4"/>
  <c r="Z81" i="4"/>
  <c r="AA81" i="4"/>
  <c r="AT80" i="4" s="1"/>
  <c r="AF81" i="4"/>
  <c r="CE81" i="4"/>
  <c r="AU81" i="4"/>
  <c r="Y81" i="4"/>
  <c r="AW79" i="4"/>
  <c r="BN80" i="4"/>
  <c r="BV100" i="5"/>
  <c r="BM102" i="5"/>
  <c r="CD74" i="4"/>
  <c r="BK76" i="4"/>
  <c r="DA79" i="4"/>
  <c r="BU107" i="5"/>
  <c r="AO107" i="5"/>
  <c r="AK107" i="5"/>
  <c r="AI107" i="5"/>
  <c r="CC60" i="4"/>
  <c r="BZ60" i="4"/>
  <c r="CB60" i="4" s="1"/>
  <c r="CH49" i="4"/>
  <c r="CI49" i="4" s="1"/>
  <c r="CJ49" i="4" s="1"/>
  <c r="CF50" i="4" s="1"/>
  <c r="F101" i="5"/>
  <c r="R101" i="5" s="1"/>
  <c r="BV49" i="4"/>
  <c r="BX49" i="4" s="1"/>
  <c r="BY48" i="4"/>
  <c r="CO48" i="4" s="1"/>
  <c r="CK48" i="4"/>
  <c r="CL48" i="4" s="1"/>
  <c r="CQ47" i="4"/>
  <c r="G66" i="4" s="1"/>
  <c r="DE106" i="5"/>
  <c r="DE107" i="5" s="1"/>
  <c r="AD110" i="5"/>
  <c r="AC111" i="5"/>
  <c r="BJ111" i="5"/>
  <c r="CR106" i="5"/>
  <c r="J99" i="4"/>
  <c r="J106" i="5"/>
  <c r="V106" i="5" s="1"/>
  <c r="DC106" i="5"/>
  <c r="DK105" i="5" s="1"/>
  <c r="DM105" i="5" s="1"/>
  <c r="CT81" i="4"/>
  <c r="CZ80" i="4" s="1"/>
  <c r="CV81" i="4"/>
  <c r="BP81" i="4"/>
  <c r="CY81" i="4"/>
  <c r="CS82" i="4" s="1"/>
  <c r="BI81" i="4"/>
  <c r="BN81" i="4" s="1"/>
  <c r="X81" i="4"/>
  <c r="K100" i="4" s="1"/>
  <c r="CW80" i="4"/>
  <c r="CX80" i="4" s="1"/>
  <c r="DF80" i="4" s="1"/>
  <c r="DL107" i="5"/>
  <c r="DZ107" i="5"/>
  <c r="EB104" i="5"/>
  <c r="I105" i="5" s="1"/>
  <c r="U105" i="5" s="1"/>
  <c r="H105" i="5"/>
  <c r="T105" i="5" s="1"/>
  <c r="CX107" i="5"/>
  <c r="CY104" i="5"/>
  <c r="CZ104" i="5"/>
  <c r="G105" i="5" s="1"/>
  <c r="S105" i="5" s="1"/>
  <c r="DQ106" i="5"/>
  <c r="DY105" i="5" s="1"/>
  <c r="EA105" i="5" s="1"/>
  <c r="N107" i="5"/>
  <c r="DG105" i="5"/>
  <c r="DI105" i="5" s="1"/>
  <c r="DJ105" i="5" s="1"/>
  <c r="DN105" i="5" s="1"/>
  <c r="CS105" i="5"/>
  <c r="CU105" i="5" s="1"/>
  <c r="CV105" i="5" s="1"/>
  <c r="DU105" i="5"/>
  <c r="DW105" i="5" s="1"/>
  <c r="DX105" i="5" s="1"/>
  <c r="DT106" i="5"/>
  <c r="DU106" i="5" s="1"/>
  <c r="DF106" i="5"/>
  <c r="CQ106" i="5"/>
  <c r="DD107" i="5"/>
  <c r="DB107" i="5"/>
  <c r="B108" i="5"/>
  <c r="AA108" i="5"/>
  <c r="DV107" i="5"/>
  <c r="CT107" i="5"/>
  <c r="DH107" i="5"/>
  <c r="BY107" i="5"/>
  <c r="CD107" i="5" s="1"/>
  <c r="AB107" i="5"/>
  <c r="K108" i="5" s="1"/>
  <c r="W108" i="5" s="1"/>
  <c r="CO107" i="5"/>
  <c r="CW106" i="5" s="1"/>
  <c r="CN107" i="5"/>
  <c r="CP107" i="5"/>
  <c r="DP107" i="5"/>
  <c r="DR107" i="5"/>
  <c r="DS107" i="5"/>
  <c r="DH77" i="4"/>
  <c r="I96" i="4" s="1"/>
  <c r="CX79" i="4"/>
  <c r="DF79" i="4" s="1"/>
  <c r="DD78" i="4"/>
  <c r="DE78" i="4" s="1"/>
  <c r="H97" i="4" s="1"/>
  <c r="CU81" i="4"/>
  <c r="W82" i="4"/>
  <c r="C100" i="4"/>
  <c r="CA108" i="5" l="1"/>
  <c r="CI107" i="5"/>
  <c r="CG103" i="5"/>
  <c r="CH103" i="5" s="1"/>
  <c r="CL103" i="5" s="1"/>
  <c r="CK103" i="5"/>
  <c r="BO108" i="5"/>
  <c r="CF108" i="5"/>
  <c r="CI108" i="5" s="1"/>
  <c r="AY108" i="5"/>
  <c r="BA108" i="5"/>
  <c r="CJ108" i="5"/>
  <c r="BE108" i="5"/>
  <c r="AX103" i="5"/>
  <c r="AZ103" i="5" s="1"/>
  <c r="AW104" i="5"/>
  <c r="BZ108" i="5"/>
  <c r="CG108" i="5" s="1"/>
  <c r="BB104" i="5"/>
  <c r="AU105" i="5"/>
  <c r="BD102" i="5"/>
  <c r="BF102" i="5" s="1"/>
  <c r="BC102" i="5"/>
  <c r="BG102" i="5" s="1"/>
  <c r="D103" i="5" s="1"/>
  <c r="P103" i="5" s="1"/>
  <c r="CC104" i="5"/>
  <c r="CE104" i="5" s="1"/>
  <c r="CH104" i="5" s="1"/>
  <c r="CB105" i="5"/>
  <c r="AG78" i="4"/>
  <c r="AC79" i="4"/>
  <c r="AC80" i="4" s="1"/>
  <c r="AC81" i="4" s="1"/>
  <c r="AC82" i="4" s="1"/>
  <c r="BP101" i="5"/>
  <c r="BR101" i="5" s="1"/>
  <c r="BQ108" i="5"/>
  <c r="BK109" i="5" s="1"/>
  <c r="BL106" i="5"/>
  <c r="BT105" i="5" s="1"/>
  <c r="AQ81" i="4"/>
  <c r="AD81" i="4"/>
  <c r="DG106" i="5"/>
  <c r="DI106" i="5" s="1"/>
  <c r="DJ106" i="5" s="1"/>
  <c r="Z82" i="4"/>
  <c r="AA82" i="4"/>
  <c r="AT81" i="4" s="1"/>
  <c r="AW80" i="4"/>
  <c r="AU82" i="4"/>
  <c r="AF82" i="4"/>
  <c r="CE82" i="4"/>
  <c r="Y82" i="4"/>
  <c r="AB80" i="4"/>
  <c r="BM103" i="5"/>
  <c r="BV101" i="5"/>
  <c r="CD75" i="4"/>
  <c r="BK77" i="4"/>
  <c r="DA80" i="4"/>
  <c r="BU108" i="5"/>
  <c r="AO108" i="5"/>
  <c r="AK108" i="5"/>
  <c r="AI108" i="5"/>
  <c r="BR50" i="4"/>
  <c r="BS62" i="4" s="1"/>
  <c r="BT74" i="4" s="1"/>
  <c r="BU86" i="4" s="1"/>
  <c r="CC61" i="4"/>
  <c r="BZ61" i="4"/>
  <c r="CB61" i="4" s="1"/>
  <c r="BY49" i="4"/>
  <c r="CO49" i="4" s="1"/>
  <c r="CK49" i="4"/>
  <c r="CL49" i="4" s="1"/>
  <c r="CM48" i="4"/>
  <c r="CN48" i="4" s="1"/>
  <c r="F67" i="4" s="1"/>
  <c r="CP48" i="4"/>
  <c r="F102" i="5"/>
  <c r="R102" i="5" s="1"/>
  <c r="CG50" i="4"/>
  <c r="AD111" i="5"/>
  <c r="AC112" i="5"/>
  <c r="CS106" i="5"/>
  <c r="CU106" i="5" s="1"/>
  <c r="CV106" i="5" s="1"/>
  <c r="BJ112" i="5"/>
  <c r="DC107" i="5"/>
  <c r="DK106" i="5" s="1"/>
  <c r="DM106" i="5" s="1"/>
  <c r="J107" i="5"/>
  <c r="V107" i="5" s="1"/>
  <c r="J100" i="4"/>
  <c r="CW81" i="4"/>
  <c r="CX81" i="4" s="1"/>
  <c r="DF81" i="4" s="1"/>
  <c r="CA81" i="4"/>
  <c r="CV82" i="4"/>
  <c r="CT82" i="4"/>
  <c r="CZ81" i="4" s="1"/>
  <c r="CY82" i="4"/>
  <c r="CS83" i="4" s="1"/>
  <c r="BP82" i="4"/>
  <c r="BI82" i="4"/>
  <c r="BN82" i="4" s="1"/>
  <c r="X82" i="4"/>
  <c r="K101" i="4" s="1"/>
  <c r="DL108" i="5"/>
  <c r="DZ108" i="5"/>
  <c r="EB105" i="5"/>
  <c r="I106" i="5" s="1"/>
  <c r="U106" i="5" s="1"/>
  <c r="H106" i="5"/>
  <c r="T106" i="5" s="1"/>
  <c r="CY105" i="5"/>
  <c r="CZ105" i="5"/>
  <c r="G106" i="5" s="1"/>
  <c r="S106" i="5" s="1"/>
  <c r="CX108" i="5"/>
  <c r="DQ107" i="5"/>
  <c r="DY106" i="5" s="1"/>
  <c r="EA106" i="5" s="1"/>
  <c r="N108" i="5"/>
  <c r="DG80" i="4"/>
  <c r="DG79" i="4"/>
  <c r="DF107" i="5"/>
  <c r="DG107" i="5" s="1"/>
  <c r="CQ107" i="5"/>
  <c r="DT107" i="5"/>
  <c r="DU107" i="5" s="1"/>
  <c r="CP108" i="5"/>
  <c r="CO108" i="5"/>
  <c r="CW107" i="5" s="1"/>
  <c r="CN108" i="5"/>
  <c r="DE108" i="5"/>
  <c r="DD108" i="5"/>
  <c r="DB108" i="5"/>
  <c r="CR107" i="5"/>
  <c r="DR108" i="5"/>
  <c r="DP108" i="5"/>
  <c r="DS108" i="5"/>
  <c r="DW106" i="5"/>
  <c r="DX106" i="5" s="1"/>
  <c r="B109" i="5"/>
  <c r="DH108" i="5"/>
  <c r="BY108" i="5"/>
  <c r="CD108" i="5" s="1"/>
  <c r="AA109" i="5"/>
  <c r="DV108" i="5"/>
  <c r="CT108" i="5"/>
  <c r="AB108" i="5"/>
  <c r="K109" i="5" s="1"/>
  <c r="W109" i="5" s="1"/>
  <c r="DH78" i="4"/>
  <c r="I97" i="4" s="1"/>
  <c r="DB79" i="4"/>
  <c r="DC79" i="4" s="1"/>
  <c r="DB80" i="4"/>
  <c r="DC80" i="4" s="1"/>
  <c r="CU82" i="4"/>
  <c r="W83" i="4"/>
  <c r="C101" i="4"/>
  <c r="CK104" i="5" l="1"/>
  <c r="CL104" i="5"/>
  <c r="AE79" i="4"/>
  <c r="AG79" i="4" s="1"/>
  <c r="BB105" i="5"/>
  <c r="AU106" i="5"/>
  <c r="BZ109" i="5"/>
  <c r="CG109" i="5" s="1"/>
  <c r="CC105" i="5"/>
  <c r="CE105" i="5" s="1"/>
  <c r="CH105" i="5" s="1"/>
  <c r="CB106" i="5"/>
  <c r="AX104" i="5"/>
  <c r="AZ104" i="5" s="1"/>
  <c r="AW105" i="5"/>
  <c r="BD103" i="5"/>
  <c r="BF103" i="5" s="1"/>
  <c r="BC103" i="5"/>
  <c r="BG103" i="5" s="1"/>
  <c r="D104" i="5" s="1"/>
  <c r="P104" i="5" s="1"/>
  <c r="AV109" i="5"/>
  <c r="BO109" i="5"/>
  <c r="BA109" i="5"/>
  <c r="CF109" i="5"/>
  <c r="CI109" i="5" s="1"/>
  <c r="AY109" i="5"/>
  <c r="CJ109" i="5"/>
  <c r="BE109" i="5"/>
  <c r="CA109" i="5"/>
  <c r="CA110" i="5" s="1"/>
  <c r="AC83" i="4"/>
  <c r="BP102" i="5"/>
  <c r="BR102" i="5" s="1"/>
  <c r="BS102" i="5" s="1"/>
  <c r="BW102" i="5" s="1"/>
  <c r="E103" i="5" s="1"/>
  <c r="Q103" i="5" s="1"/>
  <c r="BS101" i="5"/>
  <c r="BW101" i="5" s="1"/>
  <c r="E102" i="5" s="1"/>
  <c r="Q102" i="5" s="1"/>
  <c r="BQ109" i="5"/>
  <c r="BL107" i="5"/>
  <c r="BT106" i="5" s="1"/>
  <c r="AQ82" i="4"/>
  <c r="AD82" i="4"/>
  <c r="DA81" i="4"/>
  <c r="AW81" i="4"/>
  <c r="Z83" i="4"/>
  <c r="AA83" i="4"/>
  <c r="AT82" i="4" s="1"/>
  <c r="AE80" i="4"/>
  <c r="AG80" i="4" s="1"/>
  <c r="AB81" i="4"/>
  <c r="AU83" i="4"/>
  <c r="AF83" i="4"/>
  <c r="CE83" i="4"/>
  <c r="Y83" i="4"/>
  <c r="BV102" i="5"/>
  <c r="BP103" i="5"/>
  <c r="BN104" i="5" s="1"/>
  <c r="BN105" i="5" s="1"/>
  <c r="BN106" i="5" s="1"/>
  <c r="BN107" i="5" s="1"/>
  <c r="BN108" i="5" s="1"/>
  <c r="BN109" i="5" s="1"/>
  <c r="BM104" i="5"/>
  <c r="CD76" i="4"/>
  <c r="BK78" i="4"/>
  <c r="CD77" i="4" s="1"/>
  <c r="BV50" i="4"/>
  <c r="BX50" i="4" s="1"/>
  <c r="CK50" i="4" s="1"/>
  <c r="CL50" i="4" s="1"/>
  <c r="J101" i="4"/>
  <c r="CC62" i="4"/>
  <c r="BU109" i="5"/>
  <c r="AK109" i="5"/>
  <c r="AO109" i="5"/>
  <c r="AI109" i="5"/>
  <c r="CQ48" i="4"/>
  <c r="G67" i="4" s="1"/>
  <c r="F103" i="5"/>
  <c r="R103" i="5" s="1"/>
  <c r="CH50" i="4"/>
  <c r="CI50" i="4" s="1"/>
  <c r="CJ50" i="4" s="1"/>
  <c r="CF51" i="4" s="1"/>
  <c r="CM49" i="4"/>
  <c r="CN49" i="4" s="1"/>
  <c r="F68" i="4" s="1"/>
  <c r="CP49" i="4"/>
  <c r="AD112" i="5"/>
  <c r="AC113" i="5"/>
  <c r="BJ113" i="5"/>
  <c r="CR108" i="5"/>
  <c r="DC108" i="5"/>
  <c r="DK107" i="5" s="1"/>
  <c r="DM107" i="5" s="1"/>
  <c r="J108" i="5"/>
  <c r="V108" i="5" s="1"/>
  <c r="CY83" i="4"/>
  <c r="CS84" i="4" s="1"/>
  <c r="BP83" i="4"/>
  <c r="BI83" i="4"/>
  <c r="X83" i="4"/>
  <c r="K102" i="4" s="1"/>
  <c r="CT83" i="4"/>
  <c r="CZ82" i="4" s="1"/>
  <c r="CV83" i="4"/>
  <c r="CW82" i="4"/>
  <c r="CX82" i="4" s="1"/>
  <c r="DF82" i="4" s="1"/>
  <c r="CA82" i="4"/>
  <c r="DL109" i="5"/>
  <c r="DZ109" i="5"/>
  <c r="EB106" i="5"/>
  <c r="I107" i="5" s="1"/>
  <c r="U107" i="5" s="1"/>
  <c r="DN106" i="5"/>
  <c r="H107" i="5" s="1"/>
  <c r="T107" i="5" s="1"/>
  <c r="CX109" i="5"/>
  <c r="CY106" i="5"/>
  <c r="CZ106" i="5"/>
  <c r="G107" i="5" s="1"/>
  <c r="S107" i="5" s="1"/>
  <c r="DQ108" i="5"/>
  <c r="DY107" i="5" s="1"/>
  <c r="EA107" i="5" s="1"/>
  <c r="N109" i="5"/>
  <c r="DD79" i="4"/>
  <c r="DB81" i="4"/>
  <c r="DC81" i="4" s="1"/>
  <c r="DF108" i="5"/>
  <c r="DG108" i="5" s="1"/>
  <c r="DT108" i="5"/>
  <c r="DU108" i="5" s="1"/>
  <c r="CP109" i="5"/>
  <c r="CO109" i="5"/>
  <c r="CW108" i="5" s="1"/>
  <c r="CN109" i="5"/>
  <c r="DH109" i="5"/>
  <c r="BY109" i="5"/>
  <c r="CD109" i="5" s="1"/>
  <c r="B110" i="5"/>
  <c r="AA110" i="5"/>
  <c r="DV109" i="5"/>
  <c r="CT109" i="5"/>
  <c r="AB109" i="5"/>
  <c r="K110" i="5" s="1"/>
  <c r="W110" i="5" s="1"/>
  <c r="DR109" i="5"/>
  <c r="DP109" i="5"/>
  <c r="DS109" i="5"/>
  <c r="DE109" i="5"/>
  <c r="DD109" i="5"/>
  <c r="DB109" i="5"/>
  <c r="CS107" i="5"/>
  <c r="DW107" i="5"/>
  <c r="DX107" i="5" s="1"/>
  <c r="EB107" i="5" s="1"/>
  <c r="DI107" i="5"/>
  <c r="DJ107" i="5" s="1"/>
  <c r="CQ108" i="5"/>
  <c r="DG81" i="4"/>
  <c r="CU83" i="4"/>
  <c r="C102" i="4"/>
  <c r="W84" i="4"/>
  <c r="AV110" i="5" l="1"/>
  <c r="CK105" i="5"/>
  <c r="CL105" i="5"/>
  <c r="BZ110" i="5"/>
  <c r="CG110" i="5" s="1"/>
  <c r="BB106" i="5"/>
  <c r="AU107" i="5"/>
  <c r="AX105" i="5"/>
  <c r="AZ105" i="5" s="1"/>
  <c r="AW106" i="5"/>
  <c r="BD104" i="5"/>
  <c r="BF104" i="5" s="1"/>
  <c r="BC104" i="5"/>
  <c r="BG104" i="5" s="1"/>
  <c r="D105" i="5" s="1"/>
  <c r="P105" i="5" s="1"/>
  <c r="CF110" i="5"/>
  <c r="CI110" i="5" s="1"/>
  <c r="BA110" i="5"/>
  <c r="AV111" i="5" s="1"/>
  <c r="AY110" i="5"/>
  <c r="BE110" i="5"/>
  <c r="CJ110" i="5"/>
  <c r="CC106" i="5"/>
  <c r="CE106" i="5" s="1"/>
  <c r="CH106" i="5" s="1"/>
  <c r="CB107" i="5"/>
  <c r="BQ110" i="5"/>
  <c r="BO110" i="5"/>
  <c r="BN110" i="5"/>
  <c r="AC84" i="4"/>
  <c r="BK110" i="5"/>
  <c r="BR103" i="5"/>
  <c r="BS103" i="5" s="1"/>
  <c r="BW103" i="5" s="1"/>
  <c r="BL108" i="5"/>
  <c r="BT107" i="5" s="1"/>
  <c r="AQ83" i="4"/>
  <c r="AD83" i="4"/>
  <c r="DA82" i="4"/>
  <c r="J102" i="4"/>
  <c r="BY50" i="4"/>
  <c r="CO50" i="4" s="1"/>
  <c r="CP50" i="4" s="1"/>
  <c r="BN83" i="4"/>
  <c r="CE84" i="4"/>
  <c r="AF84" i="4"/>
  <c r="AU84" i="4"/>
  <c r="Y84" i="4"/>
  <c r="AE81" i="4"/>
  <c r="AG81" i="4" s="1"/>
  <c r="AB82" i="4"/>
  <c r="Z84" i="4"/>
  <c r="AA84" i="4"/>
  <c r="AT83" i="4" s="1"/>
  <c r="AW82" i="4"/>
  <c r="BP104" i="5"/>
  <c r="BM105" i="5"/>
  <c r="BV103" i="5"/>
  <c r="BZ62" i="4"/>
  <c r="CB62" i="4" s="1"/>
  <c r="BU110" i="5"/>
  <c r="AK110" i="5"/>
  <c r="AO110" i="5"/>
  <c r="AI110" i="5"/>
  <c r="CQ49" i="4"/>
  <c r="G68" i="4" s="1"/>
  <c r="CM50" i="4"/>
  <c r="CG51" i="4"/>
  <c r="BR51" i="4"/>
  <c r="BS63" i="4" s="1"/>
  <c r="BT75" i="4" s="1"/>
  <c r="BU87" i="4" s="1"/>
  <c r="CS108" i="5"/>
  <c r="CU108" i="5" s="1"/>
  <c r="CV108" i="5" s="1"/>
  <c r="AD113" i="5"/>
  <c r="AC114" i="5"/>
  <c r="BJ114" i="5"/>
  <c r="CR109" i="5"/>
  <c r="DC109" i="5"/>
  <c r="DK108" i="5" s="1"/>
  <c r="DM108" i="5" s="1"/>
  <c r="J109" i="5"/>
  <c r="V109" i="5" s="1"/>
  <c r="CW83" i="4"/>
  <c r="CX83" i="4" s="1"/>
  <c r="DF83" i="4" s="1"/>
  <c r="CA83" i="4"/>
  <c r="CV84" i="4"/>
  <c r="CY84" i="4"/>
  <c r="CS85" i="4" s="1"/>
  <c r="BP84" i="4"/>
  <c r="BI84" i="4"/>
  <c r="BN84" i="4" s="1"/>
  <c r="X84" i="4"/>
  <c r="K103" i="4" s="1"/>
  <c r="CT84" i="4"/>
  <c r="CZ83" i="4" s="1"/>
  <c r="DL110" i="5"/>
  <c r="DZ110" i="5"/>
  <c r="I108" i="5"/>
  <c r="U108" i="5" s="1"/>
  <c r="DN107" i="5"/>
  <c r="H108" i="5" s="1"/>
  <c r="T108" i="5" s="1"/>
  <c r="CY107" i="5"/>
  <c r="CX110" i="5"/>
  <c r="DQ109" i="5"/>
  <c r="DY108" i="5" s="1"/>
  <c r="EA108" i="5" s="1"/>
  <c r="N110" i="5"/>
  <c r="DE79" i="4"/>
  <c r="H98" i="4" s="1"/>
  <c r="DD80" i="4"/>
  <c r="DH80" i="4" s="1"/>
  <c r="I99" i="4" s="1"/>
  <c r="DH79" i="4"/>
  <c r="I98" i="4" s="1"/>
  <c r="DG82" i="4"/>
  <c r="DF109" i="5"/>
  <c r="DG109" i="5" s="1"/>
  <c r="DT109" i="5"/>
  <c r="DU109" i="5" s="1"/>
  <c r="DW109" i="5" s="1"/>
  <c r="DX109" i="5" s="1"/>
  <c r="DW108" i="5"/>
  <c r="DX108" i="5" s="1"/>
  <c r="CP110" i="5"/>
  <c r="CO110" i="5"/>
  <c r="CW109" i="5" s="1"/>
  <c r="CN110" i="5"/>
  <c r="B111" i="5"/>
  <c r="DH110" i="5"/>
  <c r="BY110" i="5"/>
  <c r="CD110" i="5" s="1"/>
  <c r="AA111" i="5"/>
  <c r="CT110" i="5"/>
  <c r="DV110" i="5"/>
  <c r="AB110" i="5"/>
  <c r="K111" i="5" s="1"/>
  <c r="W111" i="5" s="1"/>
  <c r="DS110" i="5"/>
  <c r="DR110" i="5"/>
  <c r="DP110" i="5"/>
  <c r="CQ109" i="5"/>
  <c r="CU107" i="5"/>
  <c r="CV107" i="5" s="1"/>
  <c r="DE110" i="5"/>
  <c r="DB110" i="5"/>
  <c r="DD110" i="5"/>
  <c r="DI108" i="5"/>
  <c r="DJ108" i="5" s="1"/>
  <c r="DN108" i="5" s="1"/>
  <c r="DB82" i="4"/>
  <c r="DC82" i="4" s="1"/>
  <c r="W85" i="4"/>
  <c r="C103" i="4"/>
  <c r="CU84" i="4"/>
  <c r="CK106" i="5" l="1"/>
  <c r="CL106" i="5"/>
  <c r="BZ111" i="5"/>
  <c r="CG111" i="5" s="1"/>
  <c r="AX106" i="5"/>
  <c r="AZ106" i="5" s="1"/>
  <c r="AW107" i="5"/>
  <c r="CA111" i="5"/>
  <c r="BD105" i="5"/>
  <c r="BF105" i="5" s="1"/>
  <c r="BC105" i="5"/>
  <c r="BG105" i="5" s="1"/>
  <c r="D106" i="5" s="1"/>
  <c r="P106" i="5" s="1"/>
  <c r="BB107" i="5"/>
  <c r="AU108" i="5"/>
  <c r="BO111" i="5"/>
  <c r="CF111" i="5"/>
  <c r="CI111" i="5" s="1"/>
  <c r="CJ111" i="5"/>
  <c r="BE111" i="5"/>
  <c r="AY111" i="5"/>
  <c r="BA111" i="5"/>
  <c r="CC107" i="5"/>
  <c r="CE107" i="5" s="1"/>
  <c r="CH107" i="5" s="1"/>
  <c r="CB108" i="5"/>
  <c r="BK111" i="5"/>
  <c r="BN111" i="5"/>
  <c r="AC85" i="4"/>
  <c r="BQ111" i="5"/>
  <c r="BL109" i="5"/>
  <c r="BT108" i="5" s="1"/>
  <c r="J103" i="4"/>
  <c r="AQ84" i="4"/>
  <c r="AD84" i="4"/>
  <c r="DA83" i="4"/>
  <c r="CS109" i="5"/>
  <c r="CU109" i="5" s="1"/>
  <c r="CV109" i="5" s="1"/>
  <c r="AE82" i="4"/>
  <c r="AG82" i="4" s="1"/>
  <c r="AB83" i="4"/>
  <c r="Z85" i="4"/>
  <c r="AA85" i="4"/>
  <c r="AT84" i="4" s="1"/>
  <c r="AW83" i="4"/>
  <c r="AF85" i="4"/>
  <c r="AU85" i="4"/>
  <c r="CE85" i="4"/>
  <c r="Y85" i="4"/>
  <c r="E104" i="5"/>
  <c r="Q104" i="5" s="1"/>
  <c r="E13" i="5"/>
  <c r="E29" i="5" s="1"/>
  <c r="BV104" i="5"/>
  <c r="BP105" i="5"/>
  <c r="BM106" i="5"/>
  <c r="AO111" i="5"/>
  <c r="BU111" i="5"/>
  <c r="AK111" i="5"/>
  <c r="AI111" i="5"/>
  <c r="F104" i="5"/>
  <c r="R104" i="5" s="1"/>
  <c r="CQ50" i="4"/>
  <c r="G69" i="4" s="1"/>
  <c r="BV51" i="4"/>
  <c r="BX51" i="4" s="1"/>
  <c r="CH51" i="4"/>
  <c r="CI51" i="4" s="1"/>
  <c r="CJ51" i="4" s="1"/>
  <c r="CF52" i="4" s="1"/>
  <c r="CN50" i="4"/>
  <c r="F69" i="4" s="1"/>
  <c r="AD114" i="5"/>
  <c r="AC115" i="5"/>
  <c r="BJ115" i="5"/>
  <c r="CR110" i="5"/>
  <c r="DC110" i="5"/>
  <c r="DK109" i="5" s="1"/>
  <c r="DM109" i="5" s="1"/>
  <c r="J110" i="5"/>
  <c r="V110" i="5" s="1"/>
  <c r="CA84" i="4"/>
  <c r="CT85" i="4"/>
  <c r="CZ84" i="4" s="1"/>
  <c r="CV85" i="4"/>
  <c r="CY85" i="4"/>
  <c r="CS86" i="4" s="1"/>
  <c r="BP85" i="4"/>
  <c r="BI85" i="4"/>
  <c r="BN85" i="4" s="1"/>
  <c r="X85" i="4"/>
  <c r="K104" i="4" s="1"/>
  <c r="CW84" i="4"/>
  <c r="CX84" i="4" s="1"/>
  <c r="DF84" i="4" s="1"/>
  <c r="DL111" i="5"/>
  <c r="DZ111" i="5"/>
  <c r="EB109" i="5"/>
  <c r="I110" i="5" s="1"/>
  <c r="U110" i="5" s="1"/>
  <c r="EB108" i="5"/>
  <c r="I109" i="5" s="1"/>
  <c r="U109" i="5" s="1"/>
  <c r="H109" i="5"/>
  <c r="T109" i="5" s="1"/>
  <c r="CZ107" i="5"/>
  <c r="G108" i="5" s="1"/>
  <c r="S108" i="5" s="1"/>
  <c r="CZ108" i="5"/>
  <c r="G109" i="5" s="1"/>
  <c r="S109" i="5" s="1"/>
  <c r="CY108" i="5"/>
  <c r="CX111" i="5"/>
  <c r="DQ110" i="5"/>
  <c r="DY109" i="5" s="1"/>
  <c r="EA109" i="5" s="1"/>
  <c r="N111" i="5"/>
  <c r="DE80" i="4"/>
  <c r="H99" i="4" s="1"/>
  <c r="DD81" i="4"/>
  <c r="DE81" i="4" s="1"/>
  <c r="H100" i="4" s="1"/>
  <c r="DF110" i="5"/>
  <c r="DG110" i="5" s="1"/>
  <c r="DI109" i="5"/>
  <c r="DJ109" i="5" s="1"/>
  <c r="DN109" i="5" s="1"/>
  <c r="CP111" i="5"/>
  <c r="CO111" i="5"/>
  <c r="CW110" i="5" s="1"/>
  <c r="CN111" i="5"/>
  <c r="B112" i="5"/>
  <c r="DH111" i="5"/>
  <c r="BY111" i="5"/>
  <c r="CD111" i="5" s="1"/>
  <c r="CT111" i="5"/>
  <c r="AA112" i="5"/>
  <c r="DV111" i="5"/>
  <c r="AB111" i="5"/>
  <c r="K112" i="5" s="1"/>
  <c r="W112" i="5" s="1"/>
  <c r="DT110" i="5"/>
  <c r="DU110" i="5" s="1"/>
  <c r="DB111" i="5"/>
  <c r="DE111" i="5"/>
  <c r="DD111" i="5"/>
  <c r="CQ110" i="5"/>
  <c r="DS111" i="5"/>
  <c r="DR111" i="5"/>
  <c r="DP111" i="5"/>
  <c r="DG83" i="4"/>
  <c r="DB83" i="4"/>
  <c r="DC83" i="4" s="1"/>
  <c r="CU85" i="4"/>
  <c r="W86" i="4"/>
  <c r="C104" i="4"/>
  <c r="CL107" i="5" l="1"/>
  <c r="CK107" i="5"/>
  <c r="AX107" i="5"/>
  <c r="AZ107" i="5" s="1"/>
  <c r="AW108" i="5"/>
  <c r="BZ112" i="5"/>
  <c r="CG112" i="5" s="1"/>
  <c r="BD106" i="5"/>
  <c r="BF106" i="5" s="1"/>
  <c r="BC106" i="5"/>
  <c r="BG106" i="5" s="1"/>
  <c r="D107" i="5" s="1"/>
  <c r="P107" i="5" s="1"/>
  <c r="BB108" i="5"/>
  <c r="AU109" i="5"/>
  <c r="AV112" i="5"/>
  <c r="BO112" i="5"/>
  <c r="CJ112" i="5"/>
  <c r="CF112" i="5"/>
  <c r="CI112" i="5" s="1"/>
  <c r="AY112" i="5"/>
  <c r="BA112" i="5"/>
  <c r="BE112" i="5"/>
  <c r="CC108" i="5"/>
  <c r="CE108" i="5" s="1"/>
  <c r="CH108" i="5" s="1"/>
  <c r="CB109" i="5"/>
  <c r="CA112" i="5"/>
  <c r="BK112" i="5"/>
  <c r="BN112" i="5"/>
  <c r="J104" i="4"/>
  <c r="AC86" i="4"/>
  <c r="BR104" i="5"/>
  <c r="BS104" i="5" s="1"/>
  <c r="BW104" i="5" s="1"/>
  <c r="E105" i="5" s="1"/>
  <c r="Q105" i="5" s="1"/>
  <c r="BQ112" i="5"/>
  <c r="BL110" i="5"/>
  <c r="BT109" i="5" s="1"/>
  <c r="DA84" i="4"/>
  <c r="AQ85" i="4"/>
  <c r="AD85" i="4"/>
  <c r="AE83" i="4"/>
  <c r="AG83" i="4" s="1"/>
  <c r="AB84" i="4"/>
  <c r="Z86" i="4"/>
  <c r="AA86" i="4"/>
  <c r="AT85" i="4" s="1"/>
  <c r="AU86" i="4"/>
  <c r="AF86" i="4"/>
  <c r="CE86" i="4"/>
  <c r="Y86" i="4"/>
  <c r="BM107" i="5"/>
  <c r="BP106" i="5"/>
  <c r="BV105" i="5"/>
  <c r="AK112" i="5"/>
  <c r="AO112" i="5"/>
  <c r="BU112" i="5"/>
  <c r="AI112" i="5"/>
  <c r="CG52" i="4"/>
  <c r="CH52" i="4" s="1"/>
  <c r="CI52" i="4" s="1"/>
  <c r="CJ52" i="4" s="1"/>
  <c r="CF53" i="4" s="1"/>
  <c r="BR52" i="4"/>
  <c r="BS64" i="4" s="1"/>
  <c r="BT76" i="4" s="1"/>
  <c r="BU88" i="4" s="1"/>
  <c r="F105" i="5"/>
  <c r="R105" i="5" s="1"/>
  <c r="CC63" i="4"/>
  <c r="BZ63" i="4"/>
  <c r="CB63" i="4" s="1"/>
  <c r="BY51" i="4"/>
  <c r="CO51" i="4" s="1"/>
  <c r="CK51" i="4"/>
  <c r="CL51" i="4" s="1"/>
  <c r="AD115" i="5"/>
  <c r="AC116" i="5"/>
  <c r="CS110" i="5"/>
  <c r="CU110" i="5" s="1"/>
  <c r="CV110" i="5" s="1"/>
  <c r="BJ116" i="5"/>
  <c r="DT111" i="5"/>
  <c r="DU111" i="5" s="1"/>
  <c r="DC111" i="5"/>
  <c r="DK110" i="5" s="1"/>
  <c r="DM110" i="5" s="1"/>
  <c r="J111" i="5"/>
  <c r="V111" i="5" s="1"/>
  <c r="CV86" i="4"/>
  <c r="CT86" i="4"/>
  <c r="CZ85" i="4" s="1"/>
  <c r="CW85" i="4"/>
  <c r="CX85" i="4" s="1"/>
  <c r="DF85" i="4" s="1"/>
  <c r="CA85" i="4"/>
  <c r="CY86" i="4"/>
  <c r="CS87" i="4" s="1"/>
  <c r="BP86" i="4"/>
  <c r="BI86" i="4"/>
  <c r="X86" i="4"/>
  <c r="K105" i="4" s="1"/>
  <c r="DL112" i="5"/>
  <c r="DZ112" i="5"/>
  <c r="H110" i="5"/>
  <c r="T110" i="5" s="1"/>
  <c r="CX112" i="5"/>
  <c r="CY109" i="5"/>
  <c r="CZ109" i="5"/>
  <c r="G110" i="5" s="1"/>
  <c r="S110" i="5" s="1"/>
  <c r="DQ111" i="5"/>
  <c r="DY110" i="5" s="1"/>
  <c r="EA110" i="5" s="1"/>
  <c r="N112" i="5"/>
  <c r="DD82" i="4"/>
  <c r="DH82" i="4" s="1"/>
  <c r="I101" i="4" s="1"/>
  <c r="DH81" i="4"/>
  <c r="I100" i="4" s="1"/>
  <c r="DB84" i="4"/>
  <c r="DC84" i="4" s="1"/>
  <c r="DF111" i="5"/>
  <c r="DG111" i="5" s="1"/>
  <c r="DI111" i="5" s="1"/>
  <c r="DJ111" i="5" s="1"/>
  <c r="DB112" i="5"/>
  <c r="DD112" i="5"/>
  <c r="DE112" i="5"/>
  <c r="CQ111" i="5"/>
  <c r="CQ112" i="5" s="1"/>
  <c r="B113" i="5"/>
  <c r="DH112" i="5"/>
  <c r="BY112" i="5"/>
  <c r="CD112" i="5" s="1"/>
  <c r="CT112" i="5"/>
  <c r="DV112" i="5"/>
  <c r="AA113" i="5"/>
  <c r="AB112" i="5"/>
  <c r="K113" i="5" s="1"/>
  <c r="W113" i="5" s="1"/>
  <c r="CR111" i="5"/>
  <c r="CP112" i="5"/>
  <c r="CO112" i="5"/>
  <c r="CW111" i="5" s="1"/>
  <c r="CN112" i="5"/>
  <c r="DI110" i="5"/>
  <c r="DJ110" i="5" s="1"/>
  <c r="DS112" i="5"/>
  <c r="DR112" i="5"/>
  <c r="DP112" i="5"/>
  <c r="DW110" i="5"/>
  <c r="DX110" i="5" s="1"/>
  <c r="DG84" i="4"/>
  <c r="W87" i="4"/>
  <c r="C105" i="4"/>
  <c r="CU86" i="4"/>
  <c r="CA113" i="5" l="1"/>
  <c r="BK113" i="5"/>
  <c r="CL108" i="5"/>
  <c r="CK108" i="5"/>
  <c r="AV113" i="5"/>
  <c r="BB109" i="5"/>
  <c r="AU110" i="5"/>
  <c r="AX108" i="5"/>
  <c r="AZ108" i="5" s="1"/>
  <c r="AW109" i="5"/>
  <c r="BD107" i="5"/>
  <c r="BF107" i="5" s="1"/>
  <c r="BC107" i="5"/>
  <c r="BG107" i="5" s="1"/>
  <c r="D108" i="5" s="1"/>
  <c r="P108" i="5" s="1"/>
  <c r="CC109" i="5"/>
  <c r="CE109" i="5" s="1"/>
  <c r="CH109" i="5" s="1"/>
  <c r="CB110" i="5"/>
  <c r="BO113" i="5"/>
  <c r="CF113" i="5"/>
  <c r="CI113" i="5" s="1"/>
  <c r="CJ113" i="5"/>
  <c r="BA113" i="5"/>
  <c r="AY113" i="5"/>
  <c r="BE113" i="5"/>
  <c r="BZ113" i="5"/>
  <c r="CG113" i="5" s="1"/>
  <c r="J105" i="4"/>
  <c r="DA85" i="4"/>
  <c r="AC87" i="4"/>
  <c r="BN113" i="5"/>
  <c r="BR105" i="5"/>
  <c r="BS105" i="5" s="1"/>
  <c r="BW105" i="5" s="1"/>
  <c r="E106" i="5" s="1"/>
  <c r="Q106" i="5" s="1"/>
  <c r="BQ113" i="5"/>
  <c r="BK114" i="5" s="1"/>
  <c r="BL111" i="5"/>
  <c r="BT110" i="5" s="1"/>
  <c r="AQ86" i="4"/>
  <c r="AD86" i="4"/>
  <c r="BV106" i="5"/>
  <c r="BN86" i="4"/>
  <c r="Z87" i="4"/>
  <c r="AA87" i="4"/>
  <c r="AT86" i="4" s="1"/>
  <c r="AW85" i="4"/>
  <c r="AF87" i="4"/>
  <c r="CE87" i="4"/>
  <c r="AU87" i="4"/>
  <c r="Y87" i="4"/>
  <c r="AE84" i="4"/>
  <c r="AB85" i="4"/>
  <c r="BM108" i="5"/>
  <c r="BP107" i="5"/>
  <c r="BU113" i="5"/>
  <c r="AK113" i="5"/>
  <c r="AO113" i="5"/>
  <c r="AI113" i="5"/>
  <c r="CG53" i="4"/>
  <c r="CM51" i="4"/>
  <c r="CN51" i="4" s="1"/>
  <c r="F70" i="4" s="1"/>
  <c r="CP51" i="4"/>
  <c r="F106" i="5"/>
  <c r="R106" i="5" s="1"/>
  <c r="BR53" i="4"/>
  <c r="BS65" i="4" s="1"/>
  <c r="BT77" i="4" s="1"/>
  <c r="BU89" i="4" s="1"/>
  <c r="BV52" i="4"/>
  <c r="BX52" i="4" s="1"/>
  <c r="AD116" i="5"/>
  <c r="AC117" i="5"/>
  <c r="BJ117" i="5"/>
  <c r="DC112" i="5"/>
  <c r="DK111" i="5" s="1"/>
  <c r="DM111" i="5" s="1"/>
  <c r="J112" i="5"/>
  <c r="V112" i="5" s="1"/>
  <c r="CY87" i="4"/>
  <c r="CS88" i="4" s="1"/>
  <c r="BP87" i="4"/>
  <c r="BI87" i="4"/>
  <c r="BN87" i="4" s="1"/>
  <c r="X87" i="4"/>
  <c r="K106" i="4" s="1"/>
  <c r="CT87" i="4"/>
  <c r="CV87" i="4"/>
  <c r="CW86" i="4"/>
  <c r="CX86" i="4" s="1"/>
  <c r="DF86" i="4" s="1"/>
  <c r="CA86" i="4"/>
  <c r="DL113" i="5"/>
  <c r="DZ113" i="5"/>
  <c r="EB110" i="5"/>
  <c r="I111" i="5" s="1"/>
  <c r="U111" i="5" s="1"/>
  <c r="DN111" i="5"/>
  <c r="H112" i="5" s="1"/>
  <c r="T112" i="5" s="1"/>
  <c r="DN110" i="5"/>
  <c r="H111" i="5" s="1"/>
  <c r="T111" i="5" s="1"/>
  <c r="CZ110" i="5"/>
  <c r="G111" i="5" s="1"/>
  <c r="S111" i="5" s="1"/>
  <c r="CY110" i="5"/>
  <c r="CX113" i="5"/>
  <c r="DQ112" i="5"/>
  <c r="DY111" i="5" s="1"/>
  <c r="EA111" i="5" s="1"/>
  <c r="N113" i="5"/>
  <c r="DE82" i="4"/>
  <c r="H101" i="4" s="1"/>
  <c r="DD83" i="4"/>
  <c r="DE83" i="4" s="1"/>
  <c r="H102" i="4" s="1"/>
  <c r="DG85" i="4"/>
  <c r="DT112" i="5"/>
  <c r="DU112" i="5" s="1"/>
  <c r="CQ113" i="5"/>
  <c r="CP113" i="5"/>
  <c r="CN113" i="5"/>
  <c r="CO113" i="5"/>
  <c r="CW112" i="5" s="1"/>
  <c r="CR112" i="5"/>
  <c r="CS112" i="5" s="1"/>
  <c r="DW111" i="5"/>
  <c r="DX111" i="5" s="1"/>
  <c r="DF112" i="5"/>
  <c r="DG112" i="5" s="1"/>
  <c r="B114" i="5"/>
  <c r="DV113" i="5"/>
  <c r="CT113" i="5"/>
  <c r="DH113" i="5"/>
  <c r="BY113" i="5"/>
  <c r="CD113" i="5" s="1"/>
  <c r="AA114" i="5"/>
  <c r="AB113" i="5"/>
  <c r="K114" i="5" s="1"/>
  <c r="W114" i="5" s="1"/>
  <c r="DD113" i="5"/>
  <c r="DB113" i="5"/>
  <c r="DE113" i="5"/>
  <c r="CS111" i="5"/>
  <c r="DS113" i="5"/>
  <c r="DP113" i="5"/>
  <c r="DR113" i="5"/>
  <c r="DB85" i="4"/>
  <c r="DC85" i="4" s="1"/>
  <c r="CU87" i="4"/>
  <c r="W88" i="4"/>
  <c r="C106" i="4"/>
  <c r="J106" i="4" l="1"/>
  <c r="CK109" i="5"/>
  <c r="CL109" i="5"/>
  <c r="BZ114" i="5"/>
  <c r="CG114" i="5" s="1"/>
  <c r="BD108" i="5"/>
  <c r="BF108" i="5" s="1"/>
  <c r="BC108" i="5"/>
  <c r="BG108" i="5" s="1"/>
  <c r="D109" i="5" s="1"/>
  <c r="P109" i="5" s="1"/>
  <c r="BB110" i="5"/>
  <c r="AU111" i="5"/>
  <c r="CC110" i="5"/>
  <c r="CE110" i="5" s="1"/>
  <c r="CH110" i="5" s="1"/>
  <c r="CB111" i="5"/>
  <c r="AV114" i="5"/>
  <c r="CA114" i="5"/>
  <c r="BO114" i="5"/>
  <c r="CF114" i="5"/>
  <c r="CI114" i="5" s="1"/>
  <c r="CJ114" i="5"/>
  <c r="BA114" i="5"/>
  <c r="BE114" i="5"/>
  <c r="AY114" i="5"/>
  <c r="AX109" i="5"/>
  <c r="AZ109" i="5" s="1"/>
  <c r="AW110" i="5"/>
  <c r="BN114" i="5"/>
  <c r="AC88" i="4"/>
  <c r="AG84" i="4"/>
  <c r="BR106" i="5"/>
  <c r="BS106" i="5" s="1"/>
  <c r="BW106" i="5" s="1"/>
  <c r="E107" i="5" s="1"/>
  <c r="Q107" i="5" s="1"/>
  <c r="BQ114" i="5"/>
  <c r="BK115" i="5" s="1"/>
  <c r="BL112" i="5"/>
  <c r="BT111" i="5" s="1"/>
  <c r="AQ87" i="4"/>
  <c r="AD87" i="4"/>
  <c r="BV107" i="5"/>
  <c r="Z88" i="4"/>
  <c r="AA88" i="4"/>
  <c r="AT87" i="4" s="1"/>
  <c r="AW86" i="4"/>
  <c r="AU88" i="4"/>
  <c r="AF88" i="4"/>
  <c r="CE88" i="4"/>
  <c r="Y88" i="4"/>
  <c r="AE85" i="4"/>
  <c r="AG85" i="4" s="1"/>
  <c r="AB86" i="4"/>
  <c r="BP108" i="5"/>
  <c r="BM109" i="5"/>
  <c r="AO114" i="5"/>
  <c r="AK114" i="5"/>
  <c r="BU114" i="5"/>
  <c r="AI114" i="5"/>
  <c r="DC113" i="5"/>
  <c r="DK112" i="5" s="1"/>
  <c r="DM112" i="5" s="1"/>
  <c r="CQ51" i="4"/>
  <c r="G70" i="4" s="1"/>
  <c r="BY52" i="4"/>
  <c r="CO52" i="4" s="1"/>
  <c r="CK52" i="4"/>
  <c r="CL52" i="4" s="1"/>
  <c r="CH53" i="4"/>
  <c r="CI53" i="4" s="1"/>
  <c r="CJ53" i="4" s="1"/>
  <c r="CC64" i="4"/>
  <c r="BZ64" i="4"/>
  <c r="CB64" i="4" s="1"/>
  <c r="BV53" i="4"/>
  <c r="BX53" i="4" s="1"/>
  <c r="F107" i="5"/>
  <c r="R107" i="5" s="1"/>
  <c r="AD117" i="5"/>
  <c r="AC118" i="5"/>
  <c r="BJ118" i="5"/>
  <c r="DF113" i="5"/>
  <c r="DG113" i="5" s="1"/>
  <c r="CT88" i="4"/>
  <c r="CZ87" i="4" s="1"/>
  <c r="J113" i="5"/>
  <c r="V113" i="5" s="1"/>
  <c r="CW87" i="4"/>
  <c r="CX87" i="4" s="1"/>
  <c r="DF87" i="4" s="1"/>
  <c r="CA87" i="4"/>
  <c r="CZ86" i="4"/>
  <c r="DA86" i="4" s="1"/>
  <c r="BP88" i="4"/>
  <c r="CY88" i="4"/>
  <c r="CS89" i="4" s="1"/>
  <c r="BI88" i="4"/>
  <c r="CA88" i="4" s="1"/>
  <c r="X88" i="4"/>
  <c r="K107" i="4" s="1"/>
  <c r="CV88" i="4"/>
  <c r="DL114" i="5"/>
  <c r="DZ114" i="5"/>
  <c r="EB111" i="5"/>
  <c r="I112" i="5" s="1"/>
  <c r="U112" i="5" s="1"/>
  <c r="CY111" i="5"/>
  <c r="CX114" i="5"/>
  <c r="DQ113" i="5"/>
  <c r="DY112" i="5" s="1"/>
  <c r="EA112" i="5" s="1"/>
  <c r="N114" i="5"/>
  <c r="DH83" i="4"/>
  <c r="I102" i="4" s="1"/>
  <c r="DD84" i="4"/>
  <c r="DE84" i="4" s="1"/>
  <c r="H103" i="4" s="1"/>
  <c r="DG86" i="4"/>
  <c r="DT113" i="5"/>
  <c r="DU113" i="5" s="1"/>
  <c r="DI112" i="5"/>
  <c r="DJ112" i="5" s="1"/>
  <c r="DN112" i="5" s="1"/>
  <c r="CU112" i="5"/>
  <c r="CV112" i="5" s="1"/>
  <c r="CR113" i="5"/>
  <c r="CS113" i="5" s="1"/>
  <c r="DW112" i="5"/>
  <c r="DX112" i="5" s="1"/>
  <c r="DE114" i="5"/>
  <c r="DD114" i="5"/>
  <c r="DB114" i="5"/>
  <c r="CQ114" i="5"/>
  <c r="CN114" i="5"/>
  <c r="CO114" i="5"/>
  <c r="CW113" i="5" s="1"/>
  <c r="CP114" i="5"/>
  <c r="DP114" i="5"/>
  <c r="DS114" i="5"/>
  <c r="DR114" i="5"/>
  <c r="CU111" i="5"/>
  <c r="CV111" i="5" s="1"/>
  <c r="B115" i="5"/>
  <c r="DV114" i="5"/>
  <c r="CT114" i="5"/>
  <c r="AA115" i="5"/>
  <c r="BY114" i="5"/>
  <c r="CD114" i="5" s="1"/>
  <c r="DH114" i="5"/>
  <c r="AB114" i="5"/>
  <c r="K115" i="5" s="1"/>
  <c r="W115" i="5" s="1"/>
  <c r="DB86" i="4"/>
  <c r="DC86" i="4" s="1"/>
  <c r="CU88" i="4"/>
  <c r="W89" i="4"/>
  <c r="C107" i="4"/>
  <c r="J107" i="4" s="1"/>
  <c r="CA115" i="5" l="1"/>
  <c r="AV115" i="5"/>
  <c r="CL110" i="5"/>
  <c r="CK110" i="5"/>
  <c r="BB111" i="5"/>
  <c r="AU112" i="5"/>
  <c r="AX110" i="5"/>
  <c r="AZ110" i="5" s="1"/>
  <c r="AW111" i="5"/>
  <c r="CC111" i="5"/>
  <c r="CE111" i="5" s="1"/>
  <c r="CH111" i="5" s="1"/>
  <c r="CB112" i="5"/>
  <c r="BD109" i="5"/>
  <c r="BF109" i="5" s="1"/>
  <c r="BC109" i="5"/>
  <c r="BG109" i="5" s="1"/>
  <c r="D110" i="5" s="1"/>
  <c r="P110" i="5" s="1"/>
  <c r="CJ115" i="5"/>
  <c r="CF115" i="5"/>
  <c r="BB115" i="5"/>
  <c r="BE115" i="5"/>
  <c r="BA115" i="5"/>
  <c r="AY115" i="5"/>
  <c r="BZ115" i="5"/>
  <c r="CG115" i="5" s="1"/>
  <c r="BQ115" i="5"/>
  <c r="BO115" i="5"/>
  <c r="AC89" i="4"/>
  <c r="BN115" i="5"/>
  <c r="BR107" i="5"/>
  <c r="BS107" i="5" s="1"/>
  <c r="BW107" i="5" s="1"/>
  <c r="E108" i="5" s="1"/>
  <c r="Q108" i="5" s="1"/>
  <c r="BL113" i="5"/>
  <c r="BT112" i="5" s="1"/>
  <c r="BR115" i="5"/>
  <c r="AL115" i="5"/>
  <c r="AQ88" i="4"/>
  <c r="AD88" i="4"/>
  <c r="BV108" i="5"/>
  <c r="AE86" i="4"/>
  <c r="AG86" i="4" s="1"/>
  <c r="AB87" i="4"/>
  <c r="Z89" i="4"/>
  <c r="AA89" i="4"/>
  <c r="AT88" i="4" s="1"/>
  <c r="AW87" i="4"/>
  <c r="BN88" i="4"/>
  <c r="AF89" i="4"/>
  <c r="CE89" i="4"/>
  <c r="AU89" i="4"/>
  <c r="Y89" i="4"/>
  <c r="AW84" i="4"/>
  <c r="BM110" i="5"/>
  <c r="BP109" i="5"/>
  <c r="BU115" i="5"/>
  <c r="AK115" i="5"/>
  <c r="AO115" i="5"/>
  <c r="AI115" i="5"/>
  <c r="DC114" i="5"/>
  <c r="DK113" i="5" s="1"/>
  <c r="DM113" i="5" s="1"/>
  <c r="CM52" i="4"/>
  <c r="CP52" i="4"/>
  <c r="BR54" i="4"/>
  <c r="BS66" i="4" s="1"/>
  <c r="BT78" i="4" s="1"/>
  <c r="BU90" i="4" s="1"/>
  <c r="BY53" i="4"/>
  <c r="CO53" i="4" s="1"/>
  <c r="CK53" i="4"/>
  <c r="CL53" i="4" s="1"/>
  <c r="CC65" i="4"/>
  <c r="BZ65" i="4"/>
  <c r="CB65" i="4" s="1"/>
  <c r="F108" i="5"/>
  <c r="R108" i="5" s="1"/>
  <c r="AD118" i="5"/>
  <c r="AC119" i="5"/>
  <c r="BJ119" i="5"/>
  <c r="CR114" i="5"/>
  <c r="CS114" i="5" s="1"/>
  <c r="J114" i="5"/>
  <c r="V114" i="5" s="1"/>
  <c r="DA87" i="4"/>
  <c r="CV89" i="4"/>
  <c r="CT89" i="4"/>
  <c r="CZ88" i="4" s="1"/>
  <c r="CW88" i="4"/>
  <c r="CX88" i="4" s="1"/>
  <c r="DF88" i="4" s="1"/>
  <c r="BP89" i="4"/>
  <c r="CY89" i="4"/>
  <c r="CS90" i="4" s="1"/>
  <c r="BI89" i="4"/>
  <c r="BN89" i="4" s="1"/>
  <c r="X89" i="4"/>
  <c r="K108" i="4" s="1"/>
  <c r="DL115" i="5"/>
  <c r="DZ115" i="5"/>
  <c r="EB112" i="5"/>
  <c r="I113" i="5" s="1"/>
  <c r="U113" i="5" s="1"/>
  <c r="H113" i="5"/>
  <c r="T113" i="5" s="1"/>
  <c r="CX115" i="5"/>
  <c r="CZ111" i="5"/>
  <c r="G112" i="5" s="1"/>
  <c r="S112" i="5" s="1"/>
  <c r="CY112" i="5"/>
  <c r="CZ112" i="5"/>
  <c r="G113" i="5" s="1"/>
  <c r="S113" i="5" s="1"/>
  <c r="DQ114" i="5"/>
  <c r="DY113" i="5" s="1"/>
  <c r="EA113" i="5" s="1"/>
  <c r="N115" i="5"/>
  <c r="DH84" i="4"/>
  <c r="I103" i="4" s="1"/>
  <c r="DD85" i="4"/>
  <c r="DE85" i="4" s="1"/>
  <c r="H104" i="4" s="1"/>
  <c r="DG87" i="4"/>
  <c r="DT114" i="5"/>
  <c r="DU114" i="5" s="1"/>
  <c r="DI113" i="5"/>
  <c r="DJ113" i="5" s="1"/>
  <c r="CN115" i="5"/>
  <c r="CO115" i="5"/>
  <c r="CW114" i="5" s="1"/>
  <c r="CP115" i="5"/>
  <c r="CQ115" i="5"/>
  <c r="DF114" i="5"/>
  <c r="DG114" i="5" s="1"/>
  <c r="DP115" i="5"/>
  <c r="DR115" i="5"/>
  <c r="DS115" i="5"/>
  <c r="B116" i="5"/>
  <c r="A105" i="5" s="1"/>
  <c r="AA116" i="5"/>
  <c r="DV115" i="5"/>
  <c r="CT115" i="5"/>
  <c r="DI115" i="5"/>
  <c r="DH115" i="5"/>
  <c r="BY115" i="5"/>
  <c r="CD115" i="5" s="1"/>
  <c r="AB115" i="5"/>
  <c r="K116" i="5" s="1"/>
  <c r="W116" i="5" s="1"/>
  <c r="CU113" i="5"/>
  <c r="CV113" i="5" s="1"/>
  <c r="DE115" i="5"/>
  <c r="DD115" i="5"/>
  <c r="DB115" i="5"/>
  <c r="DW113" i="5"/>
  <c r="DX113" i="5" s="1"/>
  <c r="DB87" i="4"/>
  <c r="DC87" i="4" s="1"/>
  <c r="C108" i="4"/>
  <c r="J108" i="4" s="1"/>
  <c r="W90" i="4"/>
  <c r="AG90" i="4" s="1"/>
  <c r="CU89" i="4"/>
  <c r="CL111" i="5" l="1"/>
  <c r="CK111" i="5"/>
  <c r="BB112" i="5"/>
  <c r="AU113" i="5"/>
  <c r="BZ116" i="5"/>
  <c r="CG116" i="5" s="1"/>
  <c r="BO116" i="5"/>
  <c r="CF116" i="5"/>
  <c r="CI116" i="5" s="1"/>
  <c r="BA116" i="5"/>
  <c r="AY116" i="5"/>
  <c r="CJ116" i="5"/>
  <c r="BE116" i="5"/>
  <c r="CC112" i="5"/>
  <c r="CE112" i="5" s="1"/>
  <c r="CH112" i="5" s="1"/>
  <c r="CB113" i="5"/>
  <c r="CA116" i="5"/>
  <c r="AX111" i="5"/>
  <c r="AZ111" i="5" s="1"/>
  <c r="AW112" i="5"/>
  <c r="BD110" i="5"/>
  <c r="BF110" i="5" s="1"/>
  <c r="BC110" i="5"/>
  <c r="BG110" i="5" s="1"/>
  <c r="D111" i="5" s="1"/>
  <c r="P111" i="5" s="1"/>
  <c r="AC90" i="4"/>
  <c r="BR108" i="5"/>
  <c r="BS108" i="5" s="1"/>
  <c r="BW108" i="5" s="1"/>
  <c r="E109" i="5" s="1"/>
  <c r="Q109" i="5" s="1"/>
  <c r="BQ116" i="5"/>
  <c r="BL114" i="5"/>
  <c r="BT113" i="5" s="1"/>
  <c r="AQ89" i="4"/>
  <c r="AD89" i="4"/>
  <c r="AF90" i="4"/>
  <c r="Y90" i="4"/>
  <c r="Z90" i="4"/>
  <c r="AA90" i="4"/>
  <c r="AT89" i="4" s="1"/>
  <c r="AW88" i="4"/>
  <c r="AE87" i="4"/>
  <c r="AG87" i="4" s="1"/>
  <c r="AB88" i="4"/>
  <c r="BP110" i="5"/>
  <c r="BM111" i="5"/>
  <c r="AI116" i="5"/>
  <c r="BU116" i="5"/>
  <c r="AO116" i="5"/>
  <c r="AK116" i="5"/>
  <c r="CQ52" i="4"/>
  <c r="G71" i="4" s="1"/>
  <c r="DC115" i="5"/>
  <c r="DK114" i="5" s="1"/>
  <c r="DM114" i="5" s="1"/>
  <c r="BV54" i="4"/>
  <c r="BX54" i="4" s="1"/>
  <c r="CE54" i="4" s="1"/>
  <c r="F109" i="5"/>
  <c r="R109" i="5" s="1"/>
  <c r="CM53" i="4"/>
  <c r="CP53" i="4"/>
  <c r="CN52" i="4"/>
  <c r="F71" i="4" s="1"/>
  <c r="AD119" i="5"/>
  <c r="AC120" i="5"/>
  <c r="BJ120" i="5"/>
  <c r="DF115" i="5"/>
  <c r="DG115" i="5" s="1"/>
  <c r="DJ115" i="5" s="1"/>
  <c r="DB116" i="5" s="1"/>
  <c r="J115" i="5"/>
  <c r="V115" i="5" s="1"/>
  <c r="DA88" i="4"/>
  <c r="CV90" i="4"/>
  <c r="CW89" i="4"/>
  <c r="CX89" i="4" s="1"/>
  <c r="DF89" i="4" s="1"/>
  <c r="CA89" i="4"/>
  <c r="CY90" i="4"/>
  <c r="CS91" i="4" s="1"/>
  <c r="BP90" i="4"/>
  <c r="BI90" i="4"/>
  <c r="X90" i="4"/>
  <c r="K109" i="4" s="1"/>
  <c r="CT90" i="4"/>
  <c r="CZ89" i="4" s="1"/>
  <c r="DL116" i="5"/>
  <c r="DZ116" i="5"/>
  <c r="EB113" i="5"/>
  <c r="I114" i="5" s="1"/>
  <c r="U114" i="5" s="1"/>
  <c r="DN113" i="5"/>
  <c r="H114" i="5" s="1"/>
  <c r="T114" i="5" s="1"/>
  <c r="CY113" i="5"/>
  <c r="CZ113" i="5"/>
  <c r="G114" i="5" s="1"/>
  <c r="S114" i="5" s="1"/>
  <c r="CX116" i="5"/>
  <c r="DQ115" i="5"/>
  <c r="DY114" i="5" s="1"/>
  <c r="EA114" i="5" s="1"/>
  <c r="DD86" i="4"/>
  <c r="DH86" i="4" s="1"/>
  <c r="I105" i="4" s="1"/>
  <c r="DH85" i="4"/>
  <c r="I104" i="4" s="1"/>
  <c r="N116" i="5"/>
  <c r="DG88" i="4"/>
  <c r="DT115" i="5"/>
  <c r="DU115" i="5" s="1"/>
  <c r="CR115" i="5"/>
  <c r="CS115" i="5" s="1"/>
  <c r="CQ116" i="5" s="1"/>
  <c r="DI114" i="5"/>
  <c r="DJ114" i="5" s="1"/>
  <c r="B117" i="5"/>
  <c r="AA117" i="5"/>
  <c r="DF116" i="5"/>
  <c r="DV116" i="5"/>
  <c r="CT116" i="5"/>
  <c r="DH116" i="5"/>
  <c r="BY116" i="5"/>
  <c r="CR116" i="5" s="1"/>
  <c r="AB116" i="5"/>
  <c r="K117" i="5" s="1"/>
  <c r="W117" i="5" s="1"/>
  <c r="CO116" i="5"/>
  <c r="CW115" i="5" s="1"/>
  <c r="CN116" i="5"/>
  <c r="CP116" i="5"/>
  <c r="CU114" i="5"/>
  <c r="CV114" i="5" s="1"/>
  <c r="DP116" i="5"/>
  <c r="DR116" i="5"/>
  <c r="DW114" i="5"/>
  <c r="DX114" i="5" s="1"/>
  <c r="DB88" i="4"/>
  <c r="DC88" i="4" s="1"/>
  <c r="W91" i="4"/>
  <c r="AD91" i="4" s="1"/>
  <c r="C109" i="4"/>
  <c r="J109" i="4" s="1"/>
  <c r="CU90" i="4"/>
  <c r="CA117" i="5" l="1"/>
  <c r="CL112" i="5"/>
  <c r="CK112" i="5"/>
  <c r="AX112" i="5"/>
  <c r="AZ112" i="5" s="1"/>
  <c r="AW113" i="5"/>
  <c r="BD111" i="5"/>
  <c r="BF111" i="5" s="1"/>
  <c r="BC111" i="5"/>
  <c r="BG111" i="5" s="1"/>
  <c r="D112" i="5" s="1"/>
  <c r="P112" i="5" s="1"/>
  <c r="BO117" i="5"/>
  <c r="CF117" i="5"/>
  <c r="CI117" i="5" s="1"/>
  <c r="AY117" i="5"/>
  <c r="CJ117" i="5"/>
  <c r="BA117" i="5"/>
  <c r="BE117" i="5"/>
  <c r="CC113" i="5"/>
  <c r="CE113" i="5" s="1"/>
  <c r="CH113" i="5" s="1"/>
  <c r="CB114" i="5"/>
  <c r="BB113" i="5"/>
  <c r="AU114" i="5"/>
  <c r="CD116" i="5"/>
  <c r="BZ117" i="5"/>
  <c r="CG117" i="5" s="1"/>
  <c r="BV109" i="5"/>
  <c r="BV110" i="5" s="1"/>
  <c r="BV111" i="5" s="1"/>
  <c r="BV112" i="5" s="1"/>
  <c r="BR109" i="5"/>
  <c r="BS109" i="5" s="1"/>
  <c r="BW109" i="5" s="1"/>
  <c r="E110" i="5" s="1"/>
  <c r="Q110" i="5" s="1"/>
  <c r="BQ117" i="5"/>
  <c r="BL115" i="5"/>
  <c r="BT114" i="5" s="1"/>
  <c r="AQ90" i="4"/>
  <c r="AD90" i="4"/>
  <c r="BN90" i="4"/>
  <c r="AW89" i="4"/>
  <c r="AE88" i="4"/>
  <c r="AG88" i="4" s="1"/>
  <c r="AB89" i="4"/>
  <c r="AF91" i="4"/>
  <c r="CE91" i="4"/>
  <c r="AU91" i="4"/>
  <c r="Y91" i="4"/>
  <c r="AQ91" i="4" s="1"/>
  <c r="BP111" i="5"/>
  <c r="BM112" i="5"/>
  <c r="BU117" i="5"/>
  <c r="AK117" i="5"/>
  <c r="AO117" i="5"/>
  <c r="AI117" i="5"/>
  <c r="CQ53" i="4"/>
  <c r="G72" i="4" s="1"/>
  <c r="CN53" i="4"/>
  <c r="F72" i="4" s="1"/>
  <c r="BY54" i="4"/>
  <c r="CO54" i="4" s="1"/>
  <c r="CF54" i="4"/>
  <c r="CG54" i="4" s="1"/>
  <c r="CK54" i="4"/>
  <c r="CL54" i="4" s="1"/>
  <c r="CC66" i="4"/>
  <c r="BZ66" i="4"/>
  <c r="CB66" i="4" s="1"/>
  <c r="F110" i="5"/>
  <c r="R110" i="5" s="1"/>
  <c r="AD120" i="5"/>
  <c r="AC121" i="5"/>
  <c r="BJ121" i="5"/>
  <c r="DA89" i="4"/>
  <c r="J116" i="5"/>
  <c r="V116" i="5" s="1"/>
  <c r="N117" i="5"/>
  <c r="DE86" i="4"/>
  <c r="H105" i="4" s="1"/>
  <c r="CY91" i="4"/>
  <c r="CS92" i="4" s="1"/>
  <c r="BP91" i="4"/>
  <c r="BI91" i="4"/>
  <c r="BN91" i="4" s="1"/>
  <c r="X91" i="4"/>
  <c r="K110" i="4" s="1"/>
  <c r="CW90" i="4"/>
  <c r="CX90" i="4" s="1"/>
  <c r="DF90" i="4" s="1"/>
  <c r="CA90" i="4"/>
  <c r="CT91" i="4"/>
  <c r="CZ90" i="4" s="1"/>
  <c r="DL117" i="5"/>
  <c r="DZ117" i="5"/>
  <c r="EB114" i="5"/>
  <c r="I115" i="5" s="1"/>
  <c r="U115" i="5" s="1"/>
  <c r="DN115" i="5"/>
  <c r="H116" i="5" s="1"/>
  <c r="T116" i="5" s="1"/>
  <c r="DN114" i="5"/>
  <c r="H115" i="5" s="1"/>
  <c r="T115" i="5" s="1"/>
  <c r="CX117" i="5"/>
  <c r="CZ114" i="5"/>
  <c r="G115" i="5" s="1"/>
  <c r="S115" i="5" s="1"/>
  <c r="CY114" i="5"/>
  <c r="DQ116" i="5"/>
  <c r="DY115" i="5" s="1"/>
  <c r="EA115" i="5" s="1"/>
  <c r="DD87" i="4"/>
  <c r="DE87" i="4" s="1"/>
  <c r="H106" i="4" s="1"/>
  <c r="DB89" i="4"/>
  <c r="DC89" i="4" s="1"/>
  <c r="DT116" i="5"/>
  <c r="DD116" i="5"/>
  <c r="DE116" i="5" s="1"/>
  <c r="DC116" i="5"/>
  <c r="DK115" i="5" s="1"/>
  <c r="DM115" i="5" s="1"/>
  <c r="DR117" i="5"/>
  <c r="DP117" i="5"/>
  <c r="CU115" i="5"/>
  <c r="CV115" i="5" s="1"/>
  <c r="DW115" i="5"/>
  <c r="DX115" i="5" s="1"/>
  <c r="EB115" i="5" s="1"/>
  <c r="DS116" i="5"/>
  <c r="DB117" i="5"/>
  <c r="B118" i="5"/>
  <c r="DH117" i="5"/>
  <c r="BY117" i="5"/>
  <c r="CR117" i="5" s="1"/>
  <c r="AA118" i="5"/>
  <c r="DF117" i="5"/>
  <c r="CT117" i="5"/>
  <c r="DV117" i="5"/>
  <c r="AB117" i="5"/>
  <c r="K118" i="5" s="1"/>
  <c r="W118" i="5" s="1"/>
  <c r="CS116" i="5"/>
  <c r="CP117" i="5"/>
  <c r="CO117" i="5"/>
  <c r="CW116" i="5" s="1"/>
  <c r="CN117" i="5"/>
  <c r="CQ117" i="5"/>
  <c r="DG89" i="4"/>
  <c r="CU91" i="4"/>
  <c r="W92" i="4"/>
  <c r="AD92" i="4" s="1"/>
  <c r="C110" i="4"/>
  <c r="B109" i="4" s="1"/>
  <c r="CA118" i="5" l="1"/>
  <c r="CL113" i="5"/>
  <c r="CK113" i="5"/>
  <c r="BB114" i="5"/>
  <c r="AU115" i="5"/>
  <c r="BO118" i="5"/>
  <c r="AY118" i="5"/>
  <c r="CF118" i="5"/>
  <c r="CJ118" i="5"/>
  <c r="BE118" i="5"/>
  <c r="BA118" i="5"/>
  <c r="AX113" i="5"/>
  <c r="AZ113" i="5" s="1"/>
  <c r="AW114" i="5"/>
  <c r="CC114" i="5"/>
  <c r="CE114" i="5" s="1"/>
  <c r="CH114" i="5" s="1"/>
  <c r="CB115" i="5"/>
  <c r="CD117" i="5"/>
  <c r="BD112" i="5"/>
  <c r="BF112" i="5" s="1"/>
  <c r="BC112" i="5"/>
  <c r="BG112" i="5" s="1"/>
  <c r="D113" i="5" s="1"/>
  <c r="P113" i="5" s="1"/>
  <c r="BZ118" i="5"/>
  <c r="CG118" i="5" s="1"/>
  <c r="BR110" i="5"/>
  <c r="BS110" i="5" s="1"/>
  <c r="BW110" i="5" s="1"/>
  <c r="E111" i="5" s="1"/>
  <c r="Q111" i="5" s="1"/>
  <c r="BQ118" i="5"/>
  <c r="BV113" i="5"/>
  <c r="BV114" i="5" s="1"/>
  <c r="AU92" i="4"/>
  <c r="CE92" i="4"/>
  <c r="AF92" i="4"/>
  <c r="Y92" i="4"/>
  <c r="AQ92" i="4" s="1"/>
  <c r="AE89" i="4"/>
  <c r="AG89" i="4" s="1"/>
  <c r="AB90" i="4"/>
  <c r="AE90" i="4" s="1"/>
  <c r="BP112" i="5"/>
  <c r="BM113" i="5"/>
  <c r="BU118" i="5"/>
  <c r="AO118" i="5"/>
  <c r="AK118" i="5"/>
  <c r="AI118" i="5"/>
  <c r="CM54" i="4"/>
  <c r="CN54" i="4" s="1"/>
  <c r="F73" i="4" s="1"/>
  <c r="CP54" i="4"/>
  <c r="CH54" i="4"/>
  <c r="CI54" i="4" s="1"/>
  <c r="CJ54" i="4" s="1"/>
  <c r="CF55" i="4" s="1"/>
  <c r="F111" i="5"/>
  <c r="R111" i="5" s="1"/>
  <c r="DG116" i="5"/>
  <c r="DI116" i="5" s="1"/>
  <c r="DJ116" i="5" s="1"/>
  <c r="AD121" i="5"/>
  <c r="AC122" i="5"/>
  <c r="BJ122" i="5"/>
  <c r="DA90" i="4"/>
  <c r="J117" i="5"/>
  <c r="V117" i="5" s="1"/>
  <c r="J110" i="4"/>
  <c r="CT92" i="4"/>
  <c r="CZ91" i="4" s="1"/>
  <c r="CW91" i="4"/>
  <c r="CA91" i="4"/>
  <c r="CY92" i="4"/>
  <c r="CS93" i="4" s="1"/>
  <c r="BP92" i="4"/>
  <c r="BI92" i="4"/>
  <c r="CA92" i="4" s="1"/>
  <c r="X92" i="4"/>
  <c r="K111" i="4" s="1"/>
  <c r="DL118" i="5"/>
  <c r="DZ118" i="5"/>
  <c r="I116" i="5"/>
  <c r="U116" i="5" s="1"/>
  <c r="CY115" i="5"/>
  <c r="CZ115" i="5"/>
  <c r="G116" i="5" s="1"/>
  <c r="S116" i="5" s="1"/>
  <c r="CX118" i="5"/>
  <c r="DQ117" i="5"/>
  <c r="DY116" i="5" s="1"/>
  <c r="EA116" i="5" s="1"/>
  <c r="DD88" i="4"/>
  <c r="DE88" i="4" s="1"/>
  <c r="H107" i="4" s="1"/>
  <c r="DH87" i="4"/>
  <c r="I106" i="4" s="1"/>
  <c r="N118" i="5"/>
  <c r="DC117" i="5"/>
  <c r="DK116" i="5" s="1"/>
  <c r="DM116" i="5" s="1"/>
  <c r="CV91" i="4"/>
  <c r="CV92" i="4" s="1"/>
  <c r="DG90" i="4"/>
  <c r="DD117" i="5"/>
  <c r="DD118" i="5" s="1"/>
  <c r="DE117" i="5"/>
  <c r="DU116" i="5"/>
  <c r="DW116" i="5" s="1"/>
  <c r="DX116" i="5" s="1"/>
  <c r="EB116" i="5" s="1"/>
  <c r="DT117" i="5"/>
  <c r="DB118" i="5"/>
  <c r="DR118" i="5"/>
  <c r="DP118" i="5"/>
  <c r="CQ118" i="5"/>
  <c r="CP118" i="5"/>
  <c r="CO118" i="5"/>
  <c r="CW117" i="5" s="1"/>
  <c r="CN118" i="5"/>
  <c r="CU116" i="5"/>
  <c r="CV116" i="5" s="1"/>
  <c r="CS117" i="5"/>
  <c r="DH118" i="5"/>
  <c r="BY118" i="5"/>
  <c r="CD118" i="5" s="1"/>
  <c r="DF118" i="5"/>
  <c r="B119" i="5"/>
  <c r="DV118" i="5"/>
  <c r="AA119" i="5"/>
  <c r="CT118" i="5"/>
  <c r="AB118" i="5"/>
  <c r="K119" i="5" s="1"/>
  <c r="W119" i="5" s="1"/>
  <c r="DS117" i="5"/>
  <c r="DB90" i="4"/>
  <c r="DC90" i="4" s="1"/>
  <c r="W93" i="4"/>
  <c r="AD93" i="4" s="1"/>
  <c r="C111" i="4"/>
  <c r="CU92" i="4"/>
  <c r="CA119" i="5" l="1"/>
  <c r="CI118" i="5"/>
  <c r="CL114" i="5"/>
  <c r="CK114" i="5"/>
  <c r="BD113" i="5"/>
  <c r="BF113" i="5" s="1"/>
  <c r="BC113" i="5"/>
  <c r="BG113" i="5" s="1"/>
  <c r="D114" i="5" s="1"/>
  <c r="P114" i="5" s="1"/>
  <c r="CC115" i="5"/>
  <c r="CE115" i="5" s="1"/>
  <c r="CI115" i="5" s="1"/>
  <c r="CB116" i="5"/>
  <c r="BO119" i="5"/>
  <c r="CF119" i="5"/>
  <c r="CI119" i="5" s="1"/>
  <c r="CJ119" i="5"/>
  <c r="BA119" i="5"/>
  <c r="BE119" i="5"/>
  <c r="AY119" i="5"/>
  <c r="AX114" i="5"/>
  <c r="AZ114" i="5" s="1"/>
  <c r="AW115" i="5"/>
  <c r="AX115" i="5" s="1"/>
  <c r="AZ115" i="5" s="1"/>
  <c r="BZ119" i="5"/>
  <c r="CG119" i="5" s="1"/>
  <c r="BR111" i="5"/>
  <c r="BS111" i="5" s="1"/>
  <c r="BW111" i="5" s="1"/>
  <c r="E112" i="5" s="1"/>
  <c r="Q112" i="5" s="1"/>
  <c r="BQ119" i="5"/>
  <c r="Z91" i="4"/>
  <c r="BN92" i="4"/>
  <c r="AF93" i="4"/>
  <c r="CE93" i="4"/>
  <c r="AU93" i="4"/>
  <c r="Y93" i="4"/>
  <c r="AQ93" i="4" s="1"/>
  <c r="BM114" i="5"/>
  <c r="BP113" i="5"/>
  <c r="BU119" i="5"/>
  <c r="AK119" i="5"/>
  <c r="AO119" i="5"/>
  <c r="AI119" i="5"/>
  <c r="CQ54" i="4"/>
  <c r="G73" i="4" s="1"/>
  <c r="BR55" i="4"/>
  <c r="BS67" i="4" s="1"/>
  <c r="BT79" i="4" s="1"/>
  <c r="BU91" i="4" s="1"/>
  <c r="CG55" i="4"/>
  <c r="F112" i="5"/>
  <c r="R112" i="5" s="1"/>
  <c r="DG117" i="5"/>
  <c r="DI117" i="5" s="1"/>
  <c r="DJ117" i="5" s="1"/>
  <c r="AD122" i="5"/>
  <c r="AC123" i="5"/>
  <c r="BJ123" i="5"/>
  <c r="DA91" i="4"/>
  <c r="J111" i="4"/>
  <c r="J118" i="5"/>
  <c r="V118" i="5" s="1"/>
  <c r="CW92" i="4"/>
  <c r="CX92" i="4" s="1"/>
  <c r="DF92" i="4" s="1"/>
  <c r="CV93" i="4"/>
  <c r="DQ118" i="5"/>
  <c r="DY117" i="5" s="1"/>
  <c r="EA117" i="5" s="1"/>
  <c r="CY93" i="4"/>
  <c r="CS94" i="4" s="1"/>
  <c r="BP93" i="4"/>
  <c r="BI93" i="4"/>
  <c r="BN93" i="4" s="1"/>
  <c r="X93" i="4"/>
  <c r="K112" i="4" s="1"/>
  <c r="CT93" i="4"/>
  <c r="CZ92" i="4" s="1"/>
  <c r="DL119" i="5"/>
  <c r="DZ119" i="5"/>
  <c r="I117" i="5"/>
  <c r="U117" i="5" s="1"/>
  <c r="DN116" i="5"/>
  <c r="H117" i="5" s="1"/>
  <c r="T117" i="5" s="1"/>
  <c r="CX119" i="5"/>
  <c r="CZ116" i="5"/>
  <c r="G117" i="5" s="1"/>
  <c r="S117" i="5" s="1"/>
  <c r="CY116" i="5"/>
  <c r="DD89" i="4"/>
  <c r="DE89" i="4" s="1"/>
  <c r="H108" i="4" s="1"/>
  <c r="DH88" i="4"/>
  <c r="I107" i="4" s="1"/>
  <c r="N119" i="5"/>
  <c r="DC118" i="5"/>
  <c r="DK117" i="5" s="1"/>
  <c r="DM117" i="5" s="1"/>
  <c r="DE118" i="5"/>
  <c r="DU117" i="5"/>
  <c r="DW117" i="5" s="1"/>
  <c r="DX117" i="5" s="1"/>
  <c r="DP119" i="5"/>
  <c r="DR119" i="5"/>
  <c r="CR118" i="5"/>
  <c r="CS118" i="5" s="1"/>
  <c r="DB119" i="5"/>
  <c r="DD119" i="5"/>
  <c r="DT118" i="5"/>
  <c r="CQ119" i="5"/>
  <c r="CN119" i="5"/>
  <c r="CO119" i="5"/>
  <c r="CW118" i="5" s="1"/>
  <c r="CP119" i="5"/>
  <c r="CU117" i="5"/>
  <c r="CV117" i="5" s="1"/>
  <c r="DS118" i="5"/>
  <c r="AA120" i="5"/>
  <c r="DF119" i="5"/>
  <c r="B120" i="5"/>
  <c r="DV119" i="5"/>
  <c r="DH119" i="5"/>
  <c r="BY119" i="5"/>
  <c r="CD119" i="5" s="1"/>
  <c r="CT119" i="5"/>
  <c r="AB119" i="5"/>
  <c r="K120" i="5" s="1"/>
  <c r="W120" i="5" s="1"/>
  <c r="CX91" i="4"/>
  <c r="DF91" i="4" s="1"/>
  <c r="CU93" i="4"/>
  <c r="C112" i="4"/>
  <c r="W94" i="4"/>
  <c r="AD94" i="4" s="1"/>
  <c r="CC116" i="5" l="1"/>
  <c r="CE116" i="5" s="1"/>
  <c r="CH116" i="5" s="1"/>
  <c r="CB117" i="5"/>
  <c r="CK115" i="5"/>
  <c r="CH115" i="5"/>
  <c r="CL115" i="5" s="1"/>
  <c r="BD115" i="5"/>
  <c r="BC115" i="5"/>
  <c r="BO120" i="5"/>
  <c r="CF120" i="5"/>
  <c r="CI120" i="5" s="1"/>
  <c r="CJ120" i="5"/>
  <c r="BA120" i="5"/>
  <c r="AY120" i="5"/>
  <c r="BE120" i="5"/>
  <c r="BD114" i="5"/>
  <c r="BF114" i="5" s="1"/>
  <c r="BC114" i="5"/>
  <c r="BG114" i="5" s="1"/>
  <c r="D115" i="5" s="1"/>
  <c r="P115" i="5" s="1"/>
  <c r="BZ120" i="5"/>
  <c r="CG120" i="5" s="1"/>
  <c r="CA120" i="5"/>
  <c r="BR112" i="5"/>
  <c r="BS112" i="5" s="1"/>
  <c r="BW112" i="5" s="1"/>
  <c r="E113" i="5" s="1"/>
  <c r="Q113" i="5" s="1"/>
  <c r="BQ120" i="5"/>
  <c r="AB91" i="4"/>
  <c r="AC91" i="4" s="1"/>
  <c r="AC92" i="4" s="1"/>
  <c r="AC93" i="4" s="1"/>
  <c r="AC94" i="4" s="1"/>
  <c r="AA91" i="4"/>
  <c r="AT90" i="4" s="1"/>
  <c r="Z92" i="4"/>
  <c r="Z93" i="4" s="1"/>
  <c r="Z94" i="4" s="1"/>
  <c r="AU94" i="4"/>
  <c r="AF94" i="4"/>
  <c r="CE94" i="4"/>
  <c r="Y94" i="4"/>
  <c r="AQ94" i="4" s="1"/>
  <c r="BP114" i="5"/>
  <c r="BM115" i="5"/>
  <c r="BP115" i="5" s="1"/>
  <c r="BU120" i="5"/>
  <c r="AO120" i="5"/>
  <c r="AK120" i="5"/>
  <c r="AI120" i="5"/>
  <c r="F113" i="5"/>
  <c r="R113" i="5" s="1"/>
  <c r="BV55" i="4"/>
  <c r="BX55" i="4" s="1"/>
  <c r="CK55" i="4" s="1"/>
  <c r="CL55" i="4" s="1"/>
  <c r="CH55" i="4"/>
  <c r="CI55" i="4" s="1"/>
  <c r="CJ55" i="4" s="1"/>
  <c r="CF56" i="4" s="1"/>
  <c r="AD123" i="5"/>
  <c r="AC124" i="5"/>
  <c r="DE119" i="5"/>
  <c r="BJ124" i="5"/>
  <c r="DA92" i="4"/>
  <c r="J112" i="4"/>
  <c r="J119" i="5"/>
  <c r="V119" i="5" s="1"/>
  <c r="DQ119" i="5"/>
  <c r="DY118" i="5" s="1"/>
  <c r="EA118" i="5" s="1"/>
  <c r="CW93" i="4"/>
  <c r="CX93" i="4" s="1"/>
  <c r="DF93" i="4" s="1"/>
  <c r="CA93" i="4"/>
  <c r="CY94" i="4"/>
  <c r="CS95" i="4" s="1"/>
  <c r="BP94" i="4"/>
  <c r="BI94" i="4"/>
  <c r="BN94" i="4" s="1"/>
  <c r="X94" i="4"/>
  <c r="K113" i="4" s="1"/>
  <c r="CT94" i="4"/>
  <c r="CZ93" i="4" s="1"/>
  <c r="CV94" i="4"/>
  <c r="DL120" i="5"/>
  <c r="DZ120" i="5"/>
  <c r="EB117" i="5"/>
  <c r="I118" i="5" s="1"/>
  <c r="U118" i="5" s="1"/>
  <c r="DN117" i="5"/>
  <c r="H118" i="5" s="1"/>
  <c r="T118" i="5" s="1"/>
  <c r="CX120" i="5"/>
  <c r="CZ117" i="5"/>
  <c r="G118" i="5" s="1"/>
  <c r="S118" i="5" s="1"/>
  <c r="CY117" i="5"/>
  <c r="DD90" i="4"/>
  <c r="DE90" i="4" s="1"/>
  <c r="H109" i="4" s="1"/>
  <c r="DH89" i="4"/>
  <c r="I108" i="4" s="1"/>
  <c r="N120" i="5"/>
  <c r="DC119" i="5"/>
  <c r="DK118" i="5" s="1"/>
  <c r="DM118" i="5" s="1"/>
  <c r="DG118" i="5"/>
  <c r="DI118" i="5" s="1"/>
  <c r="DJ118" i="5" s="1"/>
  <c r="DU118" i="5"/>
  <c r="DW118" i="5" s="1"/>
  <c r="DX118" i="5" s="1"/>
  <c r="DT119" i="5"/>
  <c r="DB120" i="5"/>
  <c r="DD120" i="5"/>
  <c r="DR120" i="5"/>
  <c r="DP120" i="5"/>
  <c r="CQ120" i="5"/>
  <c r="CP120" i="5"/>
  <c r="CO120" i="5"/>
  <c r="CW119" i="5" s="1"/>
  <c r="CN120" i="5"/>
  <c r="CR119" i="5"/>
  <c r="CS119" i="5" s="1"/>
  <c r="CU118" i="5"/>
  <c r="CV118" i="5" s="1"/>
  <c r="DH120" i="5"/>
  <c r="BY120" i="5"/>
  <c r="DT120" i="5" s="1"/>
  <c r="AA121" i="5"/>
  <c r="DV120" i="5"/>
  <c r="CT120" i="5"/>
  <c r="B121" i="5"/>
  <c r="DF120" i="5"/>
  <c r="AB120" i="5"/>
  <c r="K121" i="5" s="1"/>
  <c r="W121" i="5" s="1"/>
  <c r="DS119" i="5"/>
  <c r="DG92" i="4"/>
  <c r="DB92" i="4"/>
  <c r="DC92" i="4" s="1"/>
  <c r="DG91" i="4"/>
  <c r="DB91" i="4"/>
  <c r="DC91" i="4" s="1"/>
  <c r="W95" i="4"/>
  <c r="AD95" i="4" s="1"/>
  <c r="C113" i="4"/>
  <c r="CU94" i="4"/>
  <c r="CK116" i="5" l="1"/>
  <c r="CK117" i="5" s="1"/>
  <c r="CL116" i="5"/>
  <c r="BG115" i="5"/>
  <c r="D116" i="5" s="1"/>
  <c r="P116" i="5" s="1"/>
  <c r="BF115" i="5"/>
  <c r="AV116" i="5" s="1"/>
  <c r="AV117" i="5" s="1"/>
  <c r="AV118" i="5" s="1"/>
  <c r="AV119" i="5" s="1"/>
  <c r="AV120" i="5" s="1"/>
  <c r="AV121" i="5" s="1"/>
  <c r="AV122" i="5" s="1"/>
  <c r="BO121" i="5"/>
  <c r="CJ121" i="5"/>
  <c r="AY121" i="5"/>
  <c r="CF121" i="5"/>
  <c r="CI121" i="5" s="1"/>
  <c r="BA121" i="5"/>
  <c r="BE121" i="5"/>
  <c r="AC95" i="4"/>
  <c r="CD120" i="5"/>
  <c r="BZ121" i="5"/>
  <c r="CG121" i="5" s="1"/>
  <c r="CC117" i="5"/>
  <c r="CE117" i="5" s="1"/>
  <c r="CH117" i="5" s="1"/>
  <c r="CB118" i="5"/>
  <c r="CA121" i="5"/>
  <c r="CA122" i="5" s="1"/>
  <c r="BR113" i="5"/>
  <c r="BS113" i="5" s="1"/>
  <c r="BW113" i="5" s="1"/>
  <c r="E114" i="5" s="1"/>
  <c r="Q114" i="5" s="1"/>
  <c r="BQ121" i="5"/>
  <c r="BS115" i="5"/>
  <c r="Z95" i="4"/>
  <c r="AA92" i="4"/>
  <c r="AT91" i="4" s="1"/>
  <c r="AF95" i="4"/>
  <c r="AU95" i="4"/>
  <c r="CE95" i="4"/>
  <c r="Y95" i="4"/>
  <c r="AQ95" i="4" s="1"/>
  <c r="AE91" i="4"/>
  <c r="AG91" i="4" s="1"/>
  <c r="AB92" i="4"/>
  <c r="BU121" i="5"/>
  <c r="AK121" i="5"/>
  <c r="AO121" i="5"/>
  <c r="AI121" i="5"/>
  <c r="BR56" i="4"/>
  <c r="BS68" i="4" s="1"/>
  <c r="BT80" i="4" s="1"/>
  <c r="BU92" i="4" s="1"/>
  <c r="CG56" i="4"/>
  <c r="CH56" i="4" s="1"/>
  <c r="CI56" i="4" s="1"/>
  <c r="CJ56" i="4" s="1"/>
  <c r="CF57" i="4" s="1"/>
  <c r="F114" i="5"/>
  <c r="R114" i="5" s="1"/>
  <c r="CC67" i="4"/>
  <c r="BZ67" i="4"/>
  <c r="CB67" i="4" s="1"/>
  <c r="BY55" i="4"/>
  <c r="CO55" i="4" s="1"/>
  <c r="CP55" i="4" s="1"/>
  <c r="CM55" i="4"/>
  <c r="DG119" i="5"/>
  <c r="DI119" i="5" s="1"/>
  <c r="DJ119" i="5" s="1"/>
  <c r="DN119" i="5" s="1"/>
  <c r="DQ120" i="5"/>
  <c r="DY119" i="5" s="1"/>
  <c r="EA119" i="5" s="1"/>
  <c r="AD124" i="5"/>
  <c r="AC125" i="5"/>
  <c r="DE120" i="5"/>
  <c r="DE121" i="5" s="1"/>
  <c r="BJ125" i="5"/>
  <c r="DA93" i="4"/>
  <c r="J113" i="4"/>
  <c r="J120" i="5"/>
  <c r="V120" i="5" s="1"/>
  <c r="CW94" i="4"/>
  <c r="CX94" i="4" s="1"/>
  <c r="DF94" i="4" s="1"/>
  <c r="CA94" i="4"/>
  <c r="CV95" i="4"/>
  <c r="CT95" i="4"/>
  <c r="CZ94" i="4" s="1"/>
  <c r="CY95" i="4"/>
  <c r="CS96" i="4" s="1"/>
  <c r="BP95" i="4"/>
  <c r="BI95" i="4"/>
  <c r="BN95" i="4" s="1"/>
  <c r="X95" i="4"/>
  <c r="K114" i="4" s="1"/>
  <c r="DL121" i="5"/>
  <c r="DZ121" i="5"/>
  <c r="EB118" i="5"/>
  <c r="I119" i="5" s="1"/>
  <c r="U119" i="5" s="1"/>
  <c r="DN118" i="5"/>
  <c r="H119" i="5" s="1"/>
  <c r="T119" i="5" s="1"/>
  <c r="CX121" i="5"/>
  <c r="CY118" i="5"/>
  <c r="CZ118" i="5"/>
  <c r="G119" i="5" s="1"/>
  <c r="S119" i="5" s="1"/>
  <c r="DH90" i="4"/>
  <c r="I109" i="4" s="1"/>
  <c r="N121" i="5"/>
  <c r="DC120" i="5"/>
  <c r="DK119" i="5" s="1"/>
  <c r="DM119" i="5" s="1"/>
  <c r="DD91" i="4"/>
  <c r="DB93" i="4"/>
  <c r="DC93" i="4" s="1"/>
  <c r="DU119" i="5"/>
  <c r="DW119" i="5" s="1"/>
  <c r="DX119" i="5" s="1"/>
  <c r="CU119" i="5"/>
  <c r="CV119" i="5" s="1"/>
  <c r="CQ121" i="5"/>
  <c r="CP121" i="5"/>
  <c r="CO121" i="5"/>
  <c r="CW120" i="5" s="1"/>
  <c r="CN121" i="5"/>
  <c r="DB121" i="5"/>
  <c r="DD121" i="5"/>
  <c r="DR121" i="5"/>
  <c r="DP121" i="5"/>
  <c r="CR120" i="5"/>
  <c r="CS120" i="5" s="1"/>
  <c r="DH121" i="5"/>
  <c r="BY121" i="5"/>
  <c r="CR121" i="5" s="1"/>
  <c r="DV121" i="5"/>
  <c r="B122" i="5"/>
  <c r="AA122" i="5"/>
  <c r="CT121" i="5"/>
  <c r="DF121" i="5"/>
  <c r="AB121" i="5"/>
  <c r="K122" i="5" s="1"/>
  <c r="W122" i="5" s="1"/>
  <c r="DS120" i="5"/>
  <c r="DU120" i="5" s="1"/>
  <c r="DG93" i="4"/>
  <c r="CU95" i="4"/>
  <c r="W96" i="4"/>
  <c r="AD96" i="4" s="1"/>
  <c r="C114" i="4"/>
  <c r="CK118" i="5" l="1"/>
  <c r="CL117" i="5"/>
  <c r="AC96" i="4"/>
  <c r="CC118" i="5"/>
  <c r="CE118" i="5" s="1"/>
  <c r="CH118" i="5" s="1"/>
  <c r="CL118" i="5" s="1"/>
  <c r="CB119" i="5"/>
  <c r="CD121" i="5"/>
  <c r="BO122" i="5"/>
  <c r="CJ122" i="5"/>
  <c r="AY122" i="5"/>
  <c r="CF122" i="5"/>
  <c r="CI122" i="5" s="1"/>
  <c r="BE122" i="5"/>
  <c r="BA122" i="5"/>
  <c r="AV123" i="5" s="1"/>
  <c r="BZ122" i="5"/>
  <c r="CG122" i="5" s="1"/>
  <c r="AU116" i="5"/>
  <c r="CA123" i="5"/>
  <c r="BR114" i="5"/>
  <c r="BS114" i="5" s="1"/>
  <c r="BW114" i="5" s="1"/>
  <c r="E115" i="5" s="1"/>
  <c r="Q115" i="5" s="1"/>
  <c r="BQ122" i="5"/>
  <c r="DQ121" i="5"/>
  <c r="DY120" i="5" s="1"/>
  <c r="EA120" i="5" s="1"/>
  <c r="BW115" i="5"/>
  <c r="BK116" i="5"/>
  <c r="Z96" i="4"/>
  <c r="AE92" i="4"/>
  <c r="AG92" i="4" s="1"/>
  <c r="AB93" i="4"/>
  <c r="AA93" i="4"/>
  <c r="AT92" i="4" s="1"/>
  <c r="AU96" i="4"/>
  <c r="CE96" i="4"/>
  <c r="AF96" i="4"/>
  <c r="Y96" i="4"/>
  <c r="AQ96" i="4" s="1"/>
  <c r="BV56" i="4"/>
  <c r="BX56" i="4" s="1"/>
  <c r="CK56" i="4" s="1"/>
  <c r="CL56" i="4" s="1"/>
  <c r="CM56" i="4" s="1"/>
  <c r="CC68" i="4"/>
  <c r="J114" i="4"/>
  <c r="AO122" i="5"/>
  <c r="BU122" i="5"/>
  <c r="AK122" i="5"/>
  <c r="AI122" i="5"/>
  <c r="CQ55" i="4"/>
  <c r="G74" i="4" s="1"/>
  <c r="BR57" i="4"/>
  <c r="BS69" i="4" s="1"/>
  <c r="BT81" i="4" s="1"/>
  <c r="BU93" i="4" s="1"/>
  <c r="CN55" i="4"/>
  <c r="F74" i="4" s="1"/>
  <c r="F115" i="5"/>
  <c r="R115" i="5" s="1"/>
  <c r="CG57" i="4"/>
  <c r="DG120" i="5"/>
  <c r="DI120" i="5" s="1"/>
  <c r="DJ120" i="5" s="1"/>
  <c r="AD125" i="5"/>
  <c r="AC126" i="5"/>
  <c r="BJ126" i="5"/>
  <c r="DA94" i="4"/>
  <c r="J121" i="5"/>
  <c r="V121" i="5" s="1"/>
  <c r="CT96" i="4"/>
  <c r="CV96" i="4"/>
  <c r="CW95" i="4"/>
  <c r="CX95" i="4" s="1"/>
  <c r="DF95" i="4" s="1"/>
  <c r="CA95" i="4"/>
  <c r="BP96" i="4"/>
  <c r="CY96" i="4"/>
  <c r="CS97" i="4" s="1"/>
  <c r="BI96" i="4"/>
  <c r="CA96" i="4" s="1"/>
  <c r="X96" i="4"/>
  <c r="K115" i="4" s="1"/>
  <c r="DL122" i="5"/>
  <c r="DZ122" i="5"/>
  <c r="EB119" i="5"/>
  <c r="I120" i="5" s="1"/>
  <c r="U120" i="5" s="1"/>
  <c r="H120" i="5"/>
  <c r="T120" i="5" s="1"/>
  <c r="CX122" i="5"/>
  <c r="CY119" i="5"/>
  <c r="CZ119" i="5"/>
  <c r="G120" i="5" s="1"/>
  <c r="S120" i="5" s="1"/>
  <c r="DC121" i="5"/>
  <c r="DK120" i="5" s="1"/>
  <c r="DM120" i="5" s="1"/>
  <c r="N122" i="5"/>
  <c r="DE91" i="4"/>
  <c r="H110" i="4" s="1"/>
  <c r="DH91" i="4"/>
  <c r="I110" i="4" s="1"/>
  <c r="DD92" i="4"/>
  <c r="DE92" i="4" s="1"/>
  <c r="H111" i="4" s="1"/>
  <c r="DG94" i="4"/>
  <c r="DT121" i="5"/>
  <c r="CU120" i="5"/>
  <c r="CV120" i="5" s="1"/>
  <c r="DS121" i="5"/>
  <c r="CQ122" i="5"/>
  <c r="CP122" i="5"/>
  <c r="CN122" i="5"/>
  <c r="CO122" i="5"/>
  <c r="CW121" i="5" s="1"/>
  <c r="B123" i="5"/>
  <c r="DH122" i="5"/>
  <c r="BY122" i="5"/>
  <c r="CD122" i="5" s="1"/>
  <c r="AA123" i="5"/>
  <c r="DF122" i="5"/>
  <c r="DV122" i="5"/>
  <c r="CT122" i="5"/>
  <c r="AB122" i="5"/>
  <c r="K123" i="5" s="1"/>
  <c r="W123" i="5" s="1"/>
  <c r="DB122" i="5"/>
  <c r="DE122" i="5"/>
  <c r="DD122" i="5"/>
  <c r="CS121" i="5"/>
  <c r="DW120" i="5"/>
  <c r="DX120" i="5" s="1"/>
  <c r="EB120" i="5" s="1"/>
  <c r="DR122" i="5"/>
  <c r="DP122" i="5"/>
  <c r="DG121" i="5"/>
  <c r="DB94" i="4"/>
  <c r="DC94" i="4" s="1"/>
  <c r="W97" i="4"/>
  <c r="C115" i="4"/>
  <c r="CU96" i="4"/>
  <c r="CK119" i="5" l="1"/>
  <c r="AC97" i="4"/>
  <c r="AU117" i="5"/>
  <c r="AW116" i="5"/>
  <c r="CC119" i="5"/>
  <c r="CE119" i="5" s="1"/>
  <c r="CH119" i="5" s="1"/>
  <c r="CL119" i="5" s="1"/>
  <c r="CB120" i="5"/>
  <c r="BO123" i="5"/>
  <c r="CJ123" i="5"/>
  <c r="CF123" i="5"/>
  <c r="CI123" i="5" s="1"/>
  <c r="BA123" i="5"/>
  <c r="BE123" i="5"/>
  <c r="AY123" i="5"/>
  <c r="BZ123" i="5"/>
  <c r="CG123" i="5" s="1"/>
  <c r="DQ122" i="5"/>
  <c r="DY121" i="5" s="1"/>
  <c r="EA121" i="5" s="1"/>
  <c r="BQ123" i="5"/>
  <c r="BK117" i="5"/>
  <c r="BK118" i="5" s="1"/>
  <c r="BK119" i="5" s="1"/>
  <c r="BK120" i="5" s="1"/>
  <c r="BK121" i="5" s="1"/>
  <c r="BK122" i="5" s="1"/>
  <c r="BK123" i="5" s="1"/>
  <c r="BL116" i="5"/>
  <c r="BT115" i="5" s="1"/>
  <c r="BV115" i="5" s="1"/>
  <c r="BM116" i="5"/>
  <c r="BN116" i="5" s="1"/>
  <c r="BN117" i="5" s="1"/>
  <c r="BN118" i="5" s="1"/>
  <c r="BN119" i="5" s="1"/>
  <c r="BN120" i="5" s="1"/>
  <c r="BN121" i="5" s="1"/>
  <c r="BN122" i="5" s="1"/>
  <c r="BN123" i="5" s="1"/>
  <c r="E14" i="5"/>
  <c r="E30" i="5" s="1"/>
  <c r="E116" i="5"/>
  <c r="Q116" i="5" s="1"/>
  <c r="AW91" i="4"/>
  <c r="AE93" i="4"/>
  <c r="AG93" i="4" s="1"/>
  <c r="AB94" i="4"/>
  <c r="AF97" i="4"/>
  <c r="AU97" i="4"/>
  <c r="CE97" i="4"/>
  <c r="Y97" i="4"/>
  <c r="BN96" i="4"/>
  <c r="J115" i="4"/>
  <c r="AA94" i="4"/>
  <c r="AT93" i="4" s="1"/>
  <c r="Z97" i="4"/>
  <c r="BY56" i="4"/>
  <c r="CO56" i="4" s="1"/>
  <c r="CP56" i="4" s="1"/>
  <c r="BZ68" i="4"/>
  <c r="CB68" i="4" s="1"/>
  <c r="BU123" i="5"/>
  <c r="AK123" i="5"/>
  <c r="AO123" i="5"/>
  <c r="AI123" i="5"/>
  <c r="CN56" i="4"/>
  <c r="F75" i="4" s="1"/>
  <c r="F116" i="5"/>
  <c r="R116" i="5" s="1"/>
  <c r="CH57" i="4"/>
  <c r="CI57" i="4" s="1"/>
  <c r="CJ57" i="4" s="1"/>
  <c r="CF58" i="4" s="1"/>
  <c r="BV57" i="4"/>
  <c r="BX57" i="4" s="1"/>
  <c r="CK57" i="4" s="1"/>
  <c r="CL57" i="4" s="1"/>
  <c r="AD126" i="5"/>
  <c r="AC127" i="5"/>
  <c r="BJ127" i="5"/>
  <c r="DT122" i="5"/>
  <c r="J122" i="5"/>
  <c r="V122" i="5" s="1"/>
  <c r="BP97" i="4"/>
  <c r="CY97" i="4"/>
  <c r="CS98" i="4" s="1"/>
  <c r="BI97" i="4"/>
  <c r="BN97" i="4" s="1"/>
  <c r="X97" i="4"/>
  <c r="K116" i="4" s="1"/>
  <c r="CV97" i="4"/>
  <c r="CW96" i="4"/>
  <c r="CX96" i="4" s="1"/>
  <c r="DF96" i="4" s="1"/>
  <c r="CT97" i="4"/>
  <c r="CZ96" i="4" s="1"/>
  <c r="CZ95" i="4"/>
  <c r="DA95" i="4" s="1"/>
  <c r="DL123" i="5"/>
  <c r="DZ123" i="5"/>
  <c r="I121" i="5"/>
  <c r="U121" i="5" s="1"/>
  <c r="DN120" i="5"/>
  <c r="H121" i="5" s="1"/>
  <c r="T121" i="5" s="1"/>
  <c r="CY120" i="5"/>
  <c r="CZ120" i="5"/>
  <c r="G121" i="5" s="1"/>
  <c r="S121" i="5" s="1"/>
  <c r="CX123" i="5"/>
  <c r="DC122" i="5"/>
  <c r="DK121" i="5" s="1"/>
  <c r="DM121" i="5" s="1"/>
  <c r="N123" i="5"/>
  <c r="DD93" i="4"/>
  <c r="DE93" i="4" s="1"/>
  <c r="H112" i="4" s="1"/>
  <c r="DH92" i="4"/>
  <c r="I111" i="4" s="1"/>
  <c r="DG95" i="4"/>
  <c r="DU121" i="5"/>
  <c r="DW121" i="5" s="1"/>
  <c r="DX121" i="5" s="1"/>
  <c r="EB121" i="5" s="1"/>
  <c r="DS122" i="5"/>
  <c r="DS123" i="5" s="1"/>
  <c r="DG122" i="5"/>
  <c r="DI122" i="5" s="1"/>
  <c r="DJ122" i="5" s="1"/>
  <c r="CR122" i="5"/>
  <c r="CS122" i="5" s="1"/>
  <c r="DR123" i="5"/>
  <c r="DP123" i="5"/>
  <c r="DI121" i="5"/>
  <c r="DJ121" i="5" s="1"/>
  <c r="B124" i="5"/>
  <c r="DV123" i="5"/>
  <c r="CT123" i="5"/>
  <c r="DF123" i="5"/>
  <c r="BY123" i="5"/>
  <c r="CD123" i="5" s="1"/>
  <c r="DH123" i="5"/>
  <c r="AA124" i="5"/>
  <c r="AB123" i="5"/>
  <c r="K124" i="5" s="1"/>
  <c r="W124" i="5" s="1"/>
  <c r="CU121" i="5"/>
  <c r="CV121" i="5" s="1"/>
  <c r="CQ123" i="5"/>
  <c r="CO123" i="5"/>
  <c r="CW122" i="5" s="1"/>
  <c r="CN123" i="5"/>
  <c r="CP123" i="5"/>
  <c r="DD123" i="5"/>
  <c r="DB123" i="5"/>
  <c r="DE123" i="5"/>
  <c r="DB95" i="4"/>
  <c r="DC95" i="4" s="1"/>
  <c r="W98" i="4"/>
  <c r="C116" i="4"/>
  <c r="CU97" i="4"/>
  <c r="CK120" i="5" l="1"/>
  <c r="BZ124" i="5"/>
  <c r="CG124" i="5" s="1"/>
  <c r="AX116" i="5"/>
  <c r="AZ116" i="5" s="1"/>
  <c r="AW117" i="5"/>
  <c r="BB117" i="5"/>
  <c r="AU118" i="5"/>
  <c r="AV124" i="5"/>
  <c r="CA124" i="5"/>
  <c r="BO124" i="5"/>
  <c r="BA124" i="5"/>
  <c r="CF124" i="5"/>
  <c r="CI124" i="5" s="1"/>
  <c r="CJ124" i="5"/>
  <c r="AY124" i="5"/>
  <c r="BE124" i="5"/>
  <c r="AC98" i="4"/>
  <c r="CC120" i="5"/>
  <c r="CE120" i="5" s="1"/>
  <c r="CH120" i="5" s="1"/>
  <c r="CL120" i="5" s="1"/>
  <c r="CB121" i="5"/>
  <c r="DQ123" i="5"/>
  <c r="DY122" i="5" s="1"/>
  <c r="EA122" i="5" s="1"/>
  <c r="BN124" i="5"/>
  <c r="BK124" i="5"/>
  <c r="BQ124" i="5"/>
  <c r="BP116" i="5"/>
  <c r="BM117" i="5"/>
  <c r="BL117" i="5"/>
  <c r="BT116" i="5" s="1"/>
  <c r="J116" i="4"/>
  <c r="AQ97" i="4"/>
  <c r="AD97" i="4"/>
  <c r="CQ56" i="4"/>
  <c r="G75" i="4" s="1"/>
  <c r="CE98" i="4"/>
  <c r="AU98" i="4"/>
  <c r="AF98" i="4"/>
  <c r="Y98" i="4"/>
  <c r="Z98" i="4"/>
  <c r="AA95" i="4"/>
  <c r="AT94" i="4" s="1"/>
  <c r="AW92" i="4"/>
  <c r="AE94" i="4"/>
  <c r="AG94" i="4" s="1"/>
  <c r="AB95" i="4"/>
  <c r="BU124" i="5"/>
  <c r="AK124" i="5"/>
  <c r="AO124" i="5"/>
  <c r="AI124" i="5"/>
  <c r="BR58" i="4"/>
  <c r="BS70" i="4" s="1"/>
  <c r="BT82" i="4" s="1"/>
  <c r="BU94" i="4" s="1"/>
  <c r="BY57" i="4"/>
  <c r="CO57" i="4" s="1"/>
  <c r="CP57" i="4" s="1"/>
  <c r="CM57" i="4"/>
  <c r="CN57" i="4" s="1"/>
  <c r="F76" i="4" s="1"/>
  <c r="CC69" i="4"/>
  <c r="BZ69" i="4"/>
  <c r="CB69" i="4" s="1"/>
  <c r="CG58" i="4"/>
  <c r="AD127" i="5"/>
  <c r="AC128" i="5"/>
  <c r="BJ128" i="5"/>
  <c r="J123" i="5"/>
  <c r="V123" i="5" s="1"/>
  <c r="DA96" i="4"/>
  <c r="CT98" i="4"/>
  <c r="CZ97" i="4" s="1"/>
  <c r="CV98" i="4"/>
  <c r="CW97" i="4"/>
  <c r="CX97" i="4" s="1"/>
  <c r="DF97" i="4" s="1"/>
  <c r="CA97" i="4"/>
  <c r="BP98" i="4"/>
  <c r="CY98" i="4"/>
  <c r="CS99" i="4" s="1"/>
  <c r="BI98" i="4"/>
  <c r="BN98" i="4" s="1"/>
  <c r="X98" i="4"/>
  <c r="K117" i="4" s="1"/>
  <c r="DL124" i="5"/>
  <c r="DZ124" i="5"/>
  <c r="I122" i="5"/>
  <c r="U122" i="5" s="1"/>
  <c r="DN122" i="5"/>
  <c r="H123" i="5" s="1"/>
  <c r="T123" i="5" s="1"/>
  <c r="DN121" i="5"/>
  <c r="H122" i="5" s="1"/>
  <c r="T122" i="5" s="1"/>
  <c r="CZ121" i="5"/>
  <c r="G122" i="5" s="1"/>
  <c r="S122" i="5" s="1"/>
  <c r="CY121" i="5"/>
  <c r="CX124" i="5"/>
  <c r="DC123" i="5"/>
  <c r="DK122" i="5" s="1"/>
  <c r="DM122" i="5" s="1"/>
  <c r="N124" i="5"/>
  <c r="DH93" i="4"/>
  <c r="I112" i="4" s="1"/>
  <c r="DD94" i="4"/>
  <c r="DH94" i="4" s="1"/>
  <c r="I113" i="4" s="1"/>
  <c r="DG96" i="4"/>
  <c r="DU122" i="5"/>
  <c r="DW122" i="5" s="1"/>
  <c r="DX122" i="5" s="1"/>
  <c r="DR124" i="5"/>
  <c r="DS124" i="5"/>
  <c r="DP124" i="5"/>
  <c r="CU122" i="5"/>
  <c r="CV122" i="5" s="1"/>
  <c r="B125" i="5"/>
  <c r="DV124" i="5"/>
  <c r="CT124" i="5"/>
  <c r="DH124" i="5"/>
  <c r="BY124" i="5"/>
  <c r="CD124" i="5" s="1"/>
  <c r="DF124" i="5"/>
  <c r="AA125" i="5"/>
  <c r="AB124" i="5"/>
  <c r="K125" i="5" s="1"/>
  <c r="W125" i="5" s="1"/>
  <c r="DE124" i="5"/>
  <c r="DD124" i="5"/>
  <c r="DB124" i="5"/>
  <c r="CR123" i="5"/>
  <c r="CS123" i="5" s="1"/>
  <c r="DG123" i="5"/>
  <c r="DT123" i="5"/>
  <c r="DU123" i="5" s="1"/>
  <c r="CP124" i="5"/>
  <c r="CO124" i="5"/>
  <c r="CW123" i="5" s="1"/>
  <c r="CN124" i="5"/>
  <c r="CQ124" i="5"/>
  <c r="DB96" i="4"/>
  <c r="DC96" i="4" s="1"/>
  <c r="CU98" i="4"/>
  <c r="W99" i="4"/>
  <c r="C117" i="4"/>
  <c r="BK125" i="5" l="1"/>
  <c r="CA125" i="5"/>
  <c r="CK121" i="5"/>
  <c r="DQ124" i="5"/>
  <c r="DY123" i="5" s="1"/>
  <c r="EA123" i="5" s="1"/>
  <c r="BO125" i="5"/>
  <c r="CF125" i="5"/>
  <c r="CI125" i="5" s="1"/>
  <c r="AY125" i="5"/>
  <c r="CJ125" i="5"/>
  <c r="BA125" i="5"/>
  <c r="BE125" i="5"/>
  <c r="AX117" i="5"/>
  <c r="AZ117" i="5" s="1"/>
  <c r="AW118" i="5"/>
  <c r="BB116" i="5"/>
  <c r="BC116" i="5" s="1"/>
  <c r="BG116" i="5" s="1"/>
  <c r="D117" i="5" s="1"/>
  <c r="P117" i="5" s="1"/>
  <c r="BD116" i="5"/>
  <c r="BF116" i="5" s="1"/>
  <c r="CA126" i="5"/>
  <c r="AV125" i="5"/>
  <c r="BB118" i="5"/>
  <c r="AU119" i="5"/>
  <c r="AC99" i="4"/>
  <c r="CC121" i="5"/>
  <c r="CE121" i="5" s="1"/>
  <c r="CH121" i="5" s="1"/>
  <c r="CL121" i="5" s="1"/>
  <c r="CB122" i="5"/>
  <c r="BZ125" i="5"/>
  <c r="CG125" i="5" s="1"/>
  <c r="BN125" i="5"/>
  <c r="J117" i="4"/>
  <c r="BQ125" i="5"/>
  <c r="BK126" i="5" s="1"/>
  <c r="BV116" i="5"/>
  <c r="BL118" i="5"/>
  <c r="BT117" i="5" s="1"/>
  <c r="BM118" i="5"/>
  <c r="BP117" i="5"/>
  <c r="BR116" i="5"/>
  <c r="AQ98" i="4"/>
  <c r="AD98" i="4"/>
  <c r="Z99" i="4"/>
  <c r="AF99" i="4"/>
  <c r="AU99" i="4"/>
  <c r="CE99" i="4"/>
  <c r="Y99" i="4"/>
  <c r="AE95" i="4"/>
  <c r="AG95" i="4" s="1"/>
  <c r="AB96" i="4"/>
  <c r="AA96" i="4"/>
  <c r="AT95" i="4" s="1"/>
  <c r="AW93" i="4"/>
  <c r="BU125" i="5"/>
  <c r="AK125" i="5"/>
  <c r="AO125" i="5"/>
  <c r="AI125" i="5"/>
  <c r="CQ57" i="4"/>
  <c r="G76" i="4" s="1"/>
  <c r="BV58" i="4"/>
  <c r="BX58" i="4" s="1"/>
  <c r="CK58" i="4" s="1"/>
  <c r="CL58" i="4" s="1"/>
  <c r="CH58" i="4"/>
  <c r="CI58" i="4" s="1"/>
  <c r="CJ58" i="4" s="1"/>
  <c r="CF59" i="4" s="1"/>
  <c r="F117" i="5"/>
  <c r="R117" i="5" s="1"/>
  <c r="AD128" i="5"/>
  <c r="AC129" i="5"/>
  <c r="BJ129" i="5"/>
  <c r="DA97" i="4"/>
  <c r="J124" i="5"/>
  <c r="V124" i="5" s="1"/>
  <c r="CW98" i="4"/>
  <c r="CX98" i="4" s="1"/>
  <c r="DF98" i="4" s="1"/>
  <c r="CA98" i="4"/>
  <c r="CV99" i="4"/>
  <c r="CY99" i="4"/>
  <c r="CS100" i="4" s="1"/>
  <c r="BP99" i="4"/>
  <c r="BI99" i="4"/>
  <c r="BN99" i="4" s="1"/>
  <c r="X99" i="4"/>
  <c r="K118" i="4" s="1"/>
  <c r="CT99" i="4"/>
  <c r="DL125" i="5"/>
  <c r="DZ125" i="5"/>
  <c r="EB122" i="5"/>
  <c r="I123" i="5" s="1"/>
  <c r="U123" i="5" s="1"/>
  <c r="CY122" i="5"/>
  <c r="CZ122" i="5"/>
  <c r="G123" i="5" s="1"/>
  <c r="S123" i="5" s="1"/>
  <c r="CX125" i="5"/>
  <c r="DC124" i="5"/>
  <c r="DK123" i="5" s="1"/>
  <c r="DM123" i="5" s="1"/>
  <c r="N125" i="5"/>
  <c r="DD95" i="4"/>
  <c r="DH95" i="4" s="1"/>
  <c r="I114" i="4" s="1"/>
  <c r="DE94" i="4"/>
  <c r="H113" i="4" s="1"/>
  <c r="DB97" i="4"/>
  <c r="DC97" i="4" s="1"/>
  <c r="DG124" i="5"/>
  <c r="DI124" i="5" s="1"/>
  <c r="DW123" i="5"/>
  <c r="DX123" i="5" s="1"/>
  <c r="CU123" i="5"/>
  <c r="CV123" i="5" s="1"/>
  <c r="DE125" i="5"/>
  <c r="DD125" i="5"/>
  <c r="DB125" i="5"/>
  <c r="AA126" i="5"/>
  <c r="DF125" i="5"/>
  <c r="DV125" i="5"/>
  <c r="CT125" i="5"/>
  <c r="B126" i="5"/>
  <c r="DH125" i="5"/>
  <c r="BY125" i="5"/>
  <c r="CD125" i="5" s="1"/>
  <c r="AB125" i="5"/>
  <c r="K126" i="5" s="1"/>
  <c r="W126" i="5" s="1"/>
  <c r="CR124" i="5"/>
  <c r="CS124" i="5" s="1"/>
  <c r="DT124" i="5"/>
  <c r="DU124" i="5" s="1"/>
  <c r="CN125" i="5"/>
  <c r="CQ125" i="5"/>
  <c r="CO125" i="5"/>
  <c r="CW124" i="5" s="1"/>
  <c r="CP125" i="5"/>
  <c r="DI123" i="5"/>
  <c r="DJ123" i="5" s="1"/>
  <c r="DP125" i="5"/>
  <c r="DS125" i="5"/>
  <c r="DR125" i="5"/>
  <c r="DG97" i="4"/>
  <c r="W100" i="4"/>
  <c r="C118" i="4"/>
  <c r="CU99" i="4"/>
  <c r="DQ125" i="5" l="1"/>
  <c r="DY124" i="5" s="1"/>
  <c r="CK122" i="5"/>
  <c r="AC100" i="4"/>
  <c r="CC122" i="5"/>
  <c r="CE122" i="5" s="1"/>
  <c r="CH122" i="5" s="1"/>
  <c r="CL122" i="5" s="1"/>
  <c r="CB123" i="5"/>
  <c r="BO126" i="5"/>
  <c r="CF126" i="5"/>
  <c r="CI126" i="5" s="1"/>
  <c r="AY126" i="5"/>
  <c r="BE126" i="5"/>
  <c r="BA126" i="5"/>
  <c r="CJ126" i="5"/>
  <c r="AX118" i="5"/>
  <c r="AZ118" i="5" s="1"/>
  <c r="AW119" i="5"/>
  <c r="BD117" i="5"/>
  <c r="BF117" i="5" s="1"/>
  <c r="BC117" i="5"/>
  <c r="BG117" i="5" s="1"/>
  <c r="D118" i="5" s="1"/>
  <c r="P118" i="5" s="1"/>
  <c r="BB119" i="5"/>
  <c r="AU120" i="5"/>
  <c r="BZ126" i="5"/>
  <c r="CG126" i="5" s="1"/>
  <c r="AV126" i="5"/>
  <c r="AV127" i="5" s="1"/>
  <c r="BN126" i="5"/>
  <c r="J118" i="4"/>
  <c r="BQ126" i="5"/>
  <c r="BK127" i="5" s="1"/>
  <c r="BS116" i="5"/>
  <c r="BW116" i="5" s="1"/>
  <c r="E117" i="5" s="1"/>
  <c r="Q117" i="5" s="1"/>
  <c r="BP118" i="5"/>
  <c r="BM119" i="5"/>
  <c r="BL119" i="5"/>
  <c r="BT118" i="5" s="1"/>
  <c r="BV117" i="5"/>
  <c r="AQ99" i="4"/>
  <c r="AD99" i="4"/>
  <c r="AA97" i="4"/>
  <c r="AW94" i="4"/>
  <c r="AU100" i="4"/>
  <c r="CE100" i="4"/>
  <c r="AF100" i="4"/>
  <c r="Y100" i="4"/>
  <c r="AE96" i="4"/>
  <c r="AG96" i="4" s="1"/>
  <c r="AB97" i="4"/>
  <c r="Z100" i="4"/>
  <c r="BU126" i="5"/>
  <c r="AK126" i="5"/>
  <c r="AO126" i="5"/>
  <c r="AI126" i="5"/>
  <c r="BY58" i="4"/>
  <c r="CO58" i="4" s="1"/>
  <c r="CP58" i="4" s="1"/>
  <c r="F118" i="5"/>
  <c r="R118" i="5" s="1"/>
  <c r="CM58" i="4"/>
  <c r="CN58" i="4" s="1"/>
  <c r="F77" i="4" s="1"/>
  <c r="CC70" i="4"/>
  <c r="BZ70" i="4"/>
  <c r="CB70" i="4" s="1"/>
  <c r="CG59" i="4"/>
  <c r="BR59" i="4"/>
  <c r="BS71" i="4" s="1"/>
  <c r="BT83" i="4" s="1"/>
  <c r="BU95" i="4" s="1"/>
  <c r="AD129" i="5"/>
  <c r="AC130" i="5"/>
  <c r="BJ130" i="5"/>
  <c r="J125" i="5"/>
  <c r="V125" i="5" s="1"/>
  <c r="CV100" i="4"/>
  <c r="CT100" i="4"/>
  <c r="CZ99" i="4" s="1"/>
  <c r="CZ98" i="4"/>
  <c r="DA98" i="4" s="1"/>
  <c r="CW99" i="4"/>
  <c r="CX99" i="4" s="1"/>
  <c r="DF99" i="4" s="1"/>
  <c r="CA99" i="4"/>
  <c r="CY100" i="4"/>
  <c r="CS101" i="4" s="1"/>
  <c r="BP100" i="4"/>
  <c r="BI100" i="4"/>
  <c r="CA100" i="4" s="1"/>
  <c r="X100" i="4"/>
  <c r="K119" i="4" s="1"/>
  <c r="DL126" i="5"/>
  <c r="DZ126" i="5"/>
  <c r="EA124" i="5"/>
  <c r="EB123" i="5"/>
  <c r="I124" i="5" s="1"/>
  <c r="U124" i="5" s="1"/>
  <c r="DN123" i="5"/>
  <c r="H124" i="5" s="1"/>
  <c r="T124" i="5" s="1"/>
  <c r="CY123" i="5"/>
  <c r="CZ123" i="5"/>
  <c r="G124" i="5" s="1"/>
  <c r="S124" i="5" s="1"/>
  <c r="CX126" i="5"/>
  <c r="DC125" i="5"/>
  <c r="DK124" i="5" s="1"/>
  <c r="DM124" i="5" s="1"/>
  <c r="N126" i="5"/>
  <c r="DE95" i="4"/>
  <c r="H114" i="4" s="1"/>
  <c r="DD96" i="4"/>
  <c r="DH96" i="4" s="1"/>
  <c r="I115" i="4" s="1"/>
  <c r="DG98" i="4"/>
  <c r="DJ124" i="5"/>
  <c r="DG125" i="5"/>
  <c r="DI125" i="5" s="1"/>
  <c r="DJ125" i="5" s="1"/>
  <c r="DW124" i="5"/>
  <c r="DX124" i="5" s="1"/>
  <c r="EB124" i="5" s="1"/>
  <c r="B127" i="5"/>
  <c r="AA127" i="5"/>
  <c r="DF126" i="5"/>
  <c r="DV126" i="5"/>
  <c r="CT126" i="5"/>
  <c r="DH126" i="5"/>
  <c r="BY126" i="5"/>
  <c r="CD126" i="5" s="1"/>
  <c r="AB126" i="5"/>
  <c r="K127" i="5" s="1"/>
  <c r="W127" i="5" s="1"/>
  <c r="CR125" i="5"/>
  <c r="CS125" i="5" s="1"/>
  <c r="CO126" i="5"/>
  <c r="CW125" i="5" s="1"/>
  <c r="CN126" i="5"/>
  <c r="CQ126" i="5"/>
  <c r="CP126" i="5"/>
  <c r="DT125" i="5"/>
  <c r="DU125" i="5" s="1"/>
  <c r="DQ126" i="5"/>
  <c r="DY125" i="5" s="1"/>
  <c r="DP126" i="5"/>
  <c r="DS126" i="5"/>
  <c r="DR126" i="5"/>
  <c r="CU124" i="5"/>
  <c r="CV124" i="5" s="1"/>
  <c r="DE126" i="5"/>
  <c r="DD126" i="5"/>
  <c r="DB126" i="5"/>
  <c r="DB98" i="4"/>
  <c r="DC98" i="4" s="1"/>
  <c r="W101" i="4"/>
  <c r="C119" i="4"/>
  <c r="CU100" i="4"/>
  <c r="CK123" i="5" l="1"/>
  <c r="CJ127" i="5"/>
  <c r="CF127" i="5"/>
  <c r="BA127" i="5"/>
  <c r="BE127" i="5"/>
  <c r="AY127" i="5"/>
  <c r="BD118" i="5"/>
  <c r="BF118" i="5" s="1"/>
  <c r="BC118" i="5"/>
  <c r="BG118" i="5" s="1"/>
  <c r="D119" i="5" s="1"/>
  <c r="P119" i="5" s="1"/>
  <c r="BZ127" i="5"/>
  <c r="CG127" i="5" s="1"/>
  <c r="BB120" i="5"/>
  <c r="AU121" i="5"/>
  <c r="CC123" i="5"/>
  <c r="CE123" i="5" s="1"/>
  <c r="CH123" i="5" s="1"/>
  <c r="CL123" i="5" s="1"/>
  <c r="CB124" i="5"/>
  <c r="AC101" i="4"/>
  <c r="CA127" i="5"/>
  <c r="CA128" i="5" s="1"/>
  <c r="AX119" i="5"/>
  <c r="AZ119" i="5" s="1"/>
  <c r="AW120" i="5"/>
  <c r="J119" i="4"/>
  <c r="BQ127" i="5"/>
  <c r="BK128" i="5" s="1"/>
  <c r="BO127" i="5"/>
  <c r="BN127" i="5"/>
  <c r="AA98" i="4"/>
  <c r="AT97" i="4" s="1"/>
  <c r="AT96" i="4"/>
  <c r="BL120" i="5"/>
  <c r="BT119" i="5" s="1"/>
  <c r="BV118" i="5"/>
  <c r="BP119" i="5"/>
  <c r="BM120" i="5"/>
  <c r="BR117" i="5"/>
  <c r="BS117" i="5" s="1"/>
  <c r="BW117" i="5" s="1"/>
  <c r="E118" i="5" s="1"/>
  <c r="Q118" i="5" s="1"/>
  <c r="AL127" i="5"/>
  <c r="AQ100" i="4"/>
  <c r="AD100" i="4"/>
  <c r="AF101" i="4"/>
  <c r="CE101" i="4"/>
  <c r="AU101" i="4"/>
  <c r="Y101" i="4"/>
  <c r="AE97" i="4"/>
  <c r="AG97" i="4" s="1"/>
  <c r="AB98" i="4"/>
  <c r="BN100" i="4"/>
  <c r="Z101" i="4"/>
  <c r="AW95" i="4"/>
  <c r="BU127" i="5"/>
  <c r="AK127" i="5"/>
  <c r="AO127" i="5"/>
  <c r="AI127" i="5"/>
  <c r="CQ58" i="4"/>
  <c r="G77" i="4" s="1"/>
  <c r="CH59" i="4"/>
  <c r="CI59" i="4" s="1"/>
  <c r="CJ59" i="4" s="1"/>
  <c r="CF60" i="4" s="1"/>
  <c r="F119" i="5"/>
  <c r="R119" i="5" s="1"/>
  <c r="BV59" i="4"/>
  <c r="BX59" i="4" s="1"/>
  <c r="CK59" i="4" s="1"/>
  <c r="CL59" i="4" s="1"/>
  <c r="AD130" i="5"/>
  <c r="AC131" i="5"/>
  <c r="BJ131" i="5"/>
  <c r="DT126" i="5"/>
  <c r="DU126" i="5" s="1"/>
  <c r="J126" i="5"/>
  <c r="V126" i="5" s="1"/>
  <c r="DA99" i="4"/>
  <c r="CY101" i="4"/>
  <c r="CS102" i="4" s="1"/>
  <c r="BP101" i="4"/>
  <c r="BI101" i="4"/>
  <c r="X101" i="4"/>
  <c r="K120" i="4" s="1"/>
  <c r="CW100" i="4"/>
  <c r="CX100" i="4" s="1"/>
  <c r="DF100" i="4" s="1"/>
  <c r="CT101" i="4"/>
  <c r="CV101" i="4"/>
  <c r="DL127" i="5"/>
  <c r="DZ127" i="5"/>
  <c r="EA125" i="5"/>
  <c r="I125" i="5"/>
  <c r="U125" i="5" s="1"/>
  <c r="DN125" i="5"/>
  <c r="H126" i="5" s="1"/>
  <c r="T126" i="5" s="1"/>
  <c r="DN124" i="5"/>
  <c r="H125" i="5" s="1"/>
  <c r="T125" i="5" s="1"/>
  <c r="CX127" i="5"/>
  <c r="CY124" i="5"/>
  <c r="CZ124" i="5"/>
  <c r="G125" i="5" s="1"/>
  <c r="S125" i="5" s="1"/>
  <c r="DC126" i="5"/>
  <c r="DK125" i="5" s="1"/>
  <c r="DM125" i="5" s="1"/>
  <c r="N127" i="5"/>
  <c r="DE96" i="4"/>
  <c r="H115" i="4" s="1"/>
  <c r="DD97" i="4"/>
  <c r="DE97" i="4" s="1"/>
  <c r="H116" i="4" s="1"/>
  <c r="DG126" i="5"/>
  <c r="DI126" i="5" s="1"/>
  <c r="DJ126" i="5" s="1"/>
  <c r="CR126" i="5"/>
  <c r="CS126" i="5" s="1"/>
  <c r="B128" i="5"/>
  <c r="A117" i="5" s="1"/>
  <c r="DH127" i="5"/>
  <c r="BY127" i="5"/>
  <c r="CD127" i="5" s="1"/>
  <c r="AA128" i="5"/>
  <c r="DF127" i="5"/>
  <c r="CT127" i="5"/>
  <c r="DV127" i="5"/>
  <c r="AB127" i="5"/>
  <c r="K128" i="5" s="1"/>
  <c r="W128" i="5" s="1"/>
  <c r="CU125" i="5"/>
  <c r="CV125" i="5" s="1"/>
  <c r="CP127" i="5"/>
  <c r="CO127" i="5"/>
  <c r="CW126" i="5" s="1"/>
  <c r="CN127" i="5"/>
  <c r="CQ127" i="5"/>
  <c r="DR127" i="5"/>
  <c r="DQ127" i="5"/>
  <c r="DY126" i="5" s="1"/>
  <c r="DP127" i="5"/>
  <c r="DS127" i="5"/>
  <c r="DW125" i="5"/>
  <c r="DX125" i="5" s="1"/>
  <c r="DE127" i="5"/>
  <c r="DD127" i="5"/>
  <c r="DB127" i="5"/>
  <c r="DG99" i="4"/>
  <c r="DB99" i="4"/>
  <c r="DC99" i="4" s="1"/>
  <c r="CU101" i="4"/>
  <c r="C120" i="4"/>
  <c r="W102" i="4"/>
  <c r="CK124" i="5" l="1"/>
  <c r="CC124" i="5"/>
  <c r="CE124" i="5" s="1"/>
  <c r="CH124" i="5" s="1"/>
  <c r="CL124" i="5" s="1"/>
  <c r="CB125" i="5"/>
  <c r="BZ128" i="5"/>
  <c r="CG128" i="5" s="1"/>
  <c r="BO128" i="5"/>
  <c r="CJ128" i="5"/>
  <c r="CF128" i="5"/>
  <c r="CI128" i="5" s="1"/>
  <c r="BA128" i="5"/>
  <c r="AY128" i="5"/>
  <c r="BE128" i="5"/>
  <c r="AC102" i="4"/>
  <c r="AX120" i="5"/>
  <c r="AZ120" i="5" s="1"/>
  <c r="AW121" i="5"/>
  <c r="AV128" i="5"/>
  <c r="BD119" i="5"/>
  <c r="BF119" i="5" s="1"/>
  <c r="BC119" i="5"/>
  <c r="BG119" i="5" s="1"/>
  <c r="D120" i="5" s="1"/>
  <c r="P120" i="5" s="1"/>
  <c r="BB121" i="5"/>
  <c r="AU122" i="5"/>
  <c r="J120" i="4"/>
  <c r="AA99" i="4"/>
  <c r="AT98" i="4" s="1"/>
  <c r="BQ128" i="5"/>
  <c r="BK129" i="5" s="1"/>
  <c r="BR118" i="5"/>
  <c r="BS118" i="5" s="1"/>
  <c r="BW118" i="5" s="1"/>
  <c r="E119" i="5" s="1"/>
  <c r="Q119" i="5" s="1"/>
  <c r="BP120" i="5"/>
  <c r="BM121" i="5"/>
  <c r="BR119" i="5"/>
  <c r="BV119" i="5"/>
  <c r="BL121" i="5"/>
  <c r="BT120" i="5" s="1"/>
  <c r="AQ101" i="4"/>
  <c r="AD101" i="4"/>
  <c r="Z102" i="4"/>
  <c r="BN101" i="4"/>
  <c r="AW97" i="4"/>
  <c r="AE98" i="4"/>
  <c r="AG98" i="4" s="1"/>
  <c r="AB99" i="4"/>
  <c r="AF102" i="4"/>
  <c r="Y102" i="4"/>
  <c r="BY59" i="4"/>
  <c r="CO59" i="4" s="1"/>
  <c r="CP59" i="4" s="1"/>
  <c r="BU128" i="5"/>
  <c r="AI128" i="5"/>
  <c r="AO128" i="5"/>
  <c r="AK128" i="5"/>
  <c r="CG60" i="4"/>
  <c r="CM59" i="4"/>
  <c r="CN59" i="4" s="1"/>
  <c r="F78" i="4" s="1"/>
  <c r="BR60" i="4"/>
  <c r="BS72" i="4" s="1"/>
  <c r="BT84" i="4" s="1"/>
  <c r="BU96" i="4" s="1"/>
  <c r="CC71" i="4"/>
  <c r="BZ71" i="4"/>
  <c r="CB71" i="4" s="1"/>
  <c r="F120" i="5"/>
  <c r="R120" i="5" s="1"/>
  <c r="AD131" i="5"/>
  <c r="AC132" i="5"/>
  <c r="BJ132" i="5"/>
  <c r="J127" i="5"/>
  <c r="V127" i="5" s="1"/>
  <c r="CT102" i="4"/>
  <c r="CZ101" i="4" s="1"/>
  <c r="CZ100" i="4"/>
  <c r="DA100" i="4" s="1"/>
  <c r="CV102" i="4"/>
  <c r="CW101" i="4"/>
  <c r="CX101" i="4" s="1"/>
  <c r="DF101" i="4" s="1"/>
  <c r="CA101" i="4"/>
  <c r="CY102" i="4"/>
  <c r="CS103" i="4" s="1"/>
  <c r="BP102" i="4"/>
  <c r="BI102" i="4"/>
  <c r="X102" i="4"/>
  <c r="K121" i="4" s="1"/>
  <c r="DL128" i="5"/>
  <c r="DZ128" i="5"/>
  <c r="EA126" i="5"/>
  <c r="EB125" i="5"/>
  <c r="I126" i="5" s="1"/>
  <c r="U126" i="5" s="1"/>
  <c r="DN126" i="5"/>
  <c r="H127" i="5" s="1"/>
  <c r="T127" i="5" s="1"/>
  <c r="CX128" i="5"/>
  <c r="CY125" i="5"/>
  <c r="CZ125" i="5"/>
  <c r="G126" i="5" s="1"/>
  <c r="S126" i="5" s="1"/>
  <c r="DC127" i="5"/>
  <c r="DK126" i="5" s="1"/>
  <c r="DM126" i="5" s="1"/>
  <c r="N128" i="5"/>
  <c r="DH97" i="4"/>
  <c r="I116" i="4" s="1"/>
  <c r="DD98" i="4"/>
  <c r="DH98" i="4" s="1"/>
  <c r="I117" i="4" s="1"/>
  <c r="DG127" i="5"/>
  <c r="DI127" i="5" s="1"/>
  <c r="DJ127" i="5" s="1"/>
  <c r="CP128" i="5"/>
  <c r="CO128" i="5"/>
  <c r="CW127" i="5" s="1"/>
  <c r="CN128" i="5"/>
  <c r="CU126" i="5"/>
  <c r="CV126" i="5" s="1"/>
  <c r="DT127" i="5"/>
  <c r="DU127" i="5" s="1"/>
  <c r="B129" i="5"/>
  <c r="DH128" i="5"/>
  <c r="BY128" i="5"/>
  <c r="CD128" i="5" s="1"/>
  <c r="AA129" i="5"/>
  <c r="DV128" i="5"/>
  <c r="CT128" i="5"/>
  <c r="AB128" i="5"/>
  <c r="K129" i="5" s="1"/>
  <c r="W129" i="5" s="1"/>
  <c r="DW126" i="5"/>
  <c r="DX126" i="5" s="1"/>
  <c r="DD128" i="5"/>
  <c r="DB128" i="5"/>
  <c r="CR127" i="5"/>
  <c r="CS127" i="5" s="1"/>
  <c r="DR128" i="5"/>
  <c r="DQ128" i="5"/>
  <c r="DY127" i="5" s="1"/>
  <c r="DP128" i="5"/>
  <c r="DG100" i="4"/>
  <c r="DB100" i="4"/>
  <c r="DC100" i="4" s="1"/>
  <c r="W103" i="4"/>
  <c r="C121" i="4"/>
  <c r="CU102" i="4"/>
  <c r="AA100" i="4" l="1"/>
  <c r="AT99" i="4" s="1"/>
  <c r="AV129" i="5"/>
  <c r="CK125" i="5"/>
  <c r="J121" i="4"/>
  <c r="AX121" i="5"/>
  <c r="AZ121" i="5" s="1"/>
  <c r="AW122" i="5"/>
  <c r="BO129" i="5"/>
  <c r="CF129" i="5"/>
  <c r="CI129" i="5" s="1"/>
  <c r="CJ129" i="5"/>
  <c r="AY129" i="5"/>
  <c r="BA129" i="5"/>
  <c r="BE129" i="5"/>
  <c r="BD120" i="5"/>
  <c r="BF120" i="5" s="1"/>
  <c r="BC120" i="5"/>
  <c r="BG120" i="5" s="1"/>
  <c r="D121" i="5" s="1"/>
  <c r="P121" i="5" s="1"/>
  <c r="BZ129" i="5"/>
  <c r="CG129" i="5" s="1"/>
  <c r="CC125" i="5"/>
  <c r="CE125" i="5" s="1"/>
  <c r="CH125" i="5" s="1"/>
  <c r="CL125" i="5" s="1"/>
  <c r="CB126" i="5"/>
  <c r="BB122" i="5"/>
  <c r="AU123" i="5"/>
  <c r="CA129" i="5"/>
  <c r="BQ129" i="5"/>
  <c r="BK130" i="5" s="1"/>
  <c r="BP121" i="5"/>
  <c r="BM122" i="5"/>
  <c r="BS119" i="5"/>
  <c r="BW119" i="5" s="1"/>
  <c r="E120" i="5" s="1"/>
  <c r="Q120" i="5" s="1"/>
  <c r="BV120" i="5"/>
  <c r="BL122" i="5"/>
  <c r="BT121" i="5" s="1"/>
  <c r="AQ102" i="4"/>
  <c r="AD102" i="4"/>
  <c r="Z103" i="4"/>
  <c r="BN102" i="4"/>
  <c r="AE99" i="4"/>
  <c r="AG99" i="4" s="1"/>
  <c r="AB100" i="4"/>
  <c r="AW98" i="4"/>
  <c r="AF103" i="4"/>
  <c r="AU103" i="4"/>
  <c r="CE103" i="4"/>
  <c r="Y103" i="4"/>
  <c r="AA101" i="4"/>
  <c r="AT100" i="4" s="1"/>
  <c r="BU129" i="5"/>
  <c r="AK129" i="5"/>
  <c r="AO129" i="5"/>
  <c r="AI129" i="5"/>
  <c r="CQ59" i="4"/>
  <c r="G78" i="4" s="1"/>
  <c r="F121" i="5"/>
  <c r="R121" i="5" s="1"/>
  <c r="BV60" i="4"/>
  <c r="BX60" i="4" s="1"/>
  <c r="CK60" i="4" s="1"/>
  <c r="CL60" i="4" s="1"/>
  <c r="CH60" i="4"/>
  <c r="CI60" i="4" s="1"/>
  <c r="CJ60" i="4" s="1"/>
  <c r="CF61" i="4" s="1"/>
  <c r="AD132" i="5"/>
  <c r="AC133" i="5"/>
  <c r="BJ133" i="5"/>
  <c r="CR128" i="5"/>
  <c r="J128" i="5"/>
  <c r="V128" i="5" s="1"/>
  <c r="N129" i="5"/>
  <c r="CT103" i="4"/>
  <c r="CZ102" i="4" s="1"/>
  <c r="DA101" i="4"/>
  <c r="CW102" i="4"/>
  <c r="CX102" i="4" s="1"/>
  <c r="DF102" i="4" s="1"/>
  <c r="CA102" i="4"/>
  <c r="CY103" i="4"/>
  <c r="CS104" i="4" s="1"/>
  <c r="BP103" i="4"/>
  <c r="BI103" i="4"/>
  <c r="BN103" i="4" s="1"/>
  <c r="X103" i="4"/>
  <c r="K122" i="4" s="1"/>
  <c r="DL129" i="5"/>
  <c r="DZ129" i="5"/>
  <c r="EA127" i="5"/>
  <c r="EB126" i="5"/>
  <c r="I127" i="5" s="1"/>
  <c r="U127" i="5" s="1"/>
  <c r="DN127" i="5"/>
  <c r="H128" i="5" s="1"/>
  <c r="T128" i="5" s="1"/>
  <c r="CY126" i="5"/>
  <c r="CZ126" i="5"/>
  <c r="G127" i="5" s="1"/>
  <c r="S127" i="5" s="1"/>
  <c r="CX129" i="5"/>
  <c r="DC128" i="5"/>
  <c r="DK127" i="5" s="1"/>
  <c r="DM127" i="5" s="1"/>
  <c r="DE98" i="4"/>
  <c r="H117" i="4" s="1"/>
  <c r="DD99" i="4"/>
  <c r="DE99" i="4" s="1"/>
  <c r="H118" i="4" s="1"/>
  <c r="DE128" i="5"/>
  <c r="DF128" i="5"/>
  <c r="DT128" i="5"/>
  <c r="CU127" i="5"/>
  <c r="CV127" i="5" s="1"/>
  <c r="CQ128" i="5"/>
  <c r="CP129" i="5"/>
  <c r="CO129" i="5"/>
  <c r="CW128" i="5" s="1"/>
  <c r="CN129" i="5"/>
  <c r="DR129" i="5"/>
  <c r="DQ129" i="5"/>
  <c r="DY128" i="5" s="1"/>
  <c r="DP129" i="5"/>
  <c r="B130" i="5"/>
  <c r="DH129" i="5"/>
  <c r="BY129" i="5"/>
  <c r="CD129" i="5" s="1"/>
  <c r="DV129" i="5"/>
  <c r="CT129" i="5"/>
  <c r="AA130" i="5"/>
  <c r="AB129" i="5"/>
  <c r="K130" i="5" s="1"/>
  <c r="W130" i="5" s="1"/>
  <c r="DW127" i="5"/>
  <c r="DX127" i="5" s="1"/>
  <c r="EB127" i="5" s="1"/>
  <c r="DS128" i="5"/>
  <c r="DB129" i="5"/>
  <c r="DD129" i="5"/>
  <c r="DG101" i="4"/>
  <c r="DB101" i="4"/>
  <c r="DC101" i="4" s="1"/>
  <c r="W104" i="4"/>
  <c r="C122" i="4"/>
  <c r="B121" i="4" s="1"/>
  <c r="CU103" i="4"/>
  <c r="CA130" i="5" l="1"/>
  <c r="CK126" i="5"/>
  <c r="BB123" i="5"/>
  <c r="AU124" i="5"/>
  <c r="BZ130" i="5"/>
  <c r="CG130" i="5" s="1"/>
  <c r="BO130" i="5"/>
  <c r="CF130" i="5"/>
  <c r="CI130" i="5" s="1"/>
  <c r="CJ130" i="5"/>
  <c r="AY130" i="5"/>
  <c r="BE130" i="5"/>
  <c r="BA130" i="5"/>
  <c r="CC126" i="5"/>
  <c r="CE126" i="5" s="1"/>
  <c r="CH126" i="5" s="1"/>
  <c r="CL126" i="5" s="1"/>
  <c r="CB127" i="5"/>
  <c r="AX122" i="5"/>
  <c r="AZ122" i="5" s="1"/>
  <c r="AW123" i="5"/>
  <c r="BD121" i="5"/>
  <c r="BF121" i="5" s="1"/>
  <c r="BC121" i="5"/>
  <c r="BG121" i="5" s="1"/>
  <c r="D122" i="5" s="1"/>
  <c r="P122" i="5" s="1"/>
  <c r="AV130" i="5"/>
  <c r="BQ130" i="5"/>
  <c r="BK131" i="5" s="1"/>
  <c r="BL123" i="5"/>
  <c r="BT122" i="5" s="1"/>
  <c r="BM123" i="5"/>
  <c r="BP122" i="5"/>
  <c r="BR121" i="5"/>
  <c r="BR120" i="5"/>
  <c r="BS120" i="5" s="1"/>
  <c r="BW120" i="5" s="1"/>
  <c r="E121" i="5" s="1"/>
  <c r="Q121" i="5" s="1"/>
  <c r="AQ103" i="4"/>
  <c r="AD103" i="4"/>
  <c r="AA102" i="4"/>
  <c r="AT101" i="4" s="1"/>
  <c r="AW99" i="4"/>
  <c r="Z104" i="4"/>
  <c r="AU104" i="4"/>
  <c r="AF104" i="4"/>
  <c r="CE104" i="4"/>
  <c r="Y104" i="4"/>
  <c r="AE100" i="4"/>
  <c r="AG100" i="4" s="1"/>
  <c r="AB101" i="4"/>
  <c r="AO130" i="5"/>
  <c r="AK130" i="5"/>
  <c r="BU130" i="5"/>
  <c r="AI130" i="5"/>
  <c r="BR61" i="4"/>
  <c r="BS73" i="4" s="1"/>
  <c r="BT85" i="4" s="1"/>
  <c r="BU97" i="4" s="1"/>
  <c r="CM60" i="4"/>
  <c r="CN60" i="4" s="1"/>
  <c r="F79" i="4" s="1"/>
  <c r="F122" i="5"/>
  <c r="R122" i="5" s="1"/>
  <c r="CG61" i="4"/>
  <c r="CH61" i="4" s="1"/>
  <c r="CI61" i="4" s="1"/>
  <c r="CJ61" i="4" s="1"/>
  <c r="CF62" i="4" s="1"/>
  <c r="BY60" i="4"/>
  <c r="CO60" i="4" s="1"/>
  <c r="CP60" i="4" s="1"/>
  <c r="CC72" i="4"/>
  <c r="BZ72" i="4"/>
  <c r="CB72" i="4" s="1"/>
  <c r="DE129" i="5"/>
  <c r="DE130" i="5" s="1"/>
  <c r="AD133" i="5"/>
  <c r="AC134" i="5"/>
  <c r="BJ134" i="5"/>
  <c r="CS128" i="5"/>
  <c r="CU128" i="5" s="1"/>
  <c r="CV128" i="5" s="1"/>
  <c r="J129" i="5"/>
  <c r="V129" i="5" s="1"/>
  <c r="DA102" i="4"/>
  <c r="J122" i="4"/>
  <c r="CT104" i="4"/>
  <c r="CZ103" i="4" s="1"/>
  <c r="BP104" i="4"/>
  <c r="CY104" i="4"/>
  <c r="CS105" i="4" s="1"/>
  <c r="BI104" i="4"/>
  <c r="CA104" i="4" s="1"/>
  <c r="X104" i="4"/>
  <c r="K123" i="4" s="1"/>
  <c r="CW103" i="4"/>
  <c r="CA103" i="4"/>
  <c r="DL130" i="5"/>
  <c r="DZ130" i="5"/>
  <c r="EA128" i="5"/>
  <c r="I128" i="5"/>
  <c r="U128" i="5" s="1"/>
  <c r="CX130" i="5"/>
  <c r="CZ127" i="5"/>
  <c r="G128" i="5" s="1"/>
  <c r="S128" i="5" s="1"/>
  <c r="CY127" i="5"/>
  <c r="DC129" i="5"/>
  <c r="DK128" i="5" s="1"/>
  <c r="DM128" i="5" s="1"/>
  <c r="DH99" i="4"/>
  <c r="I118" i="4" s="1"/>
  <c r="DD100" i="4"/>
  <c r="DH100" i="4" s="1"/>
  <c r="I119" i="4" s="1"/>
  <c r="N130" i="5"/>
  <c r="CV103" i="4"/>
  <c r="CV104" i="4" s="1"/>
  <c r="DG102" i="4"/>
  <c r="DG128" i="5"/>
  <c r="DI128" i="5" s="1"/>
  <c r="DJ128" i="5" s="1"/>
  <c r="DN128" i="5" s="1"/>
  <c r="DU128" i="5"/>
  <c r="DW128" i="5" s="1"/>
  <c r="DX128" i="5" s="1"/>
  <c r="EB128" i="5" s="1"/>
  <c r="CQ129" i="5"/>
  <c r="CQ130" i="5" s="1"/>
  <c r="DF129" i="5"/>
  <c r="CR129" i="5"/>
  <c r="DT129" i="5"/>
  <c r="B131" i="5"/>
  <c r="DH130" i="5"/>
  <c r="BY130" i="5"/>
  <c r="CD130" i="5" s="1"/>
  <c r="AA131" i="5"/>
  <c r="CT130" i="5"/>
  <c r="DV130" i="5"/>
  <c r="AB130" i="5"/>
  <c r="K131" i="5" s="1"/>
  <c r="W131" i="5" s="1"/>
  <c r="CP130" i="5"/>
  <c r="CN130" i="5"/>
  <c r="CO130" i="5"/>
  <c r="CW129" i="5" s="1"/>
  <c r="DR130" i="5"/>
  <c r="DP130" i="5"/>
  <c r="DQ130" i="5"/>
  <c r="DY129" i="5" s="1"/>
  <c r="DB130" i="5"/>
  <c r="DD130" i="5"/>
  <c r="DS129" i="5"/>
  <c r="DB102" i="4"/>
  <c r="DC102" i="4" s="1"/>
  <c r="W105" i="4"/>
  <c r="C123" i="4"/>
  <c r="CU104" i="4"/>
  <c r="AV131" i="5" l="1"/>
  <c r="BZ131" i="5"/>
  <c r="CG131" i="5" s="1"/>
  <c r="AX123" i="5"/>
  <c r="AZ123" i="5" s="1"/>
  <c r="AW124" i="5"/>
  <c r="BO131" i="5"/>
  <c r="CJ131" i="5"/>
  <c r="CF131" i="5"/>
  <c r="CI131" i="5" s="1"/>
  <c r="BA131" i="5"/>
  <c r="BE131" i="5"/>
  <c r="AY131" i="5"/>
  <c r="BD122" i="5"/>
  <c r="BF122" i="5" s="1"/>
  <c r="BC122" i="5"/>
  <c r="BG122" i="5" s="1"/>
  <c r="D123" i="5" s="1"/>
  <c r="P123" i="5" s="1"/>
  <c r="BB124" i="5"/>
  <c r="AU125" i="5"/>
  <c r="AV132" i="5"/>
  <c r="CA131" i="5"/>
  <c r="CC127" i="5"/>
  <c r="CE127" i="5" s="1"/>
  <c r="CI127" i="5" s="1"/>
  <c r="CB128" i="5"/>
  <c r="BR122" i="5"/>
  <c r="BS122" i="5" s="1"/>
  <c r="BQ131" i="5"/>
  <c r="BK132" i="5" s="1"/>
  <c r="BS121" i="5"/>
  <c r="BW121" i="5" s="1"/>
  <c r="E122" i="5" s="1"/>
  <c r="Q122" i="5" s="1"/>
  <c r="BM124" i="5"/>
  <c r="BP123" i="5"/>
  <c r="BL124" i="5"/>
  <c r="BT123" i="5" s="1"/>
  <c r="BV121" i="5"/>
  <c r="BV122" i="5" s="1"/>
  <c r="AQ104" i="4"/>
  <c r="AD104" i="4"/>
  <c r="Z105" i="4"/>
  <c r="AF105" i="4"/>
  <c r="CE105" i="4"/>
  <c r="AU105" i="4"/>
  <c r="Y105" i="4"/>
  <c r="AE101" i="4"/>
  <c r="AG101" i="4" s="1"/>
  <c r="AB102" i="4"/>
  <c r="AA103" i="4"/>
  <c r="BN104" i="4"/>
  <c r="AW100" i="4"/>
  <c r="BV61" i="4"/>
  <c r="BX61" i="4" s="1"/>
  <c r="CK61" i="4" s="1"/>
  <c r="CL61" i="4" s="1"/>
  <c r="CM61" i="4" s="1"/>
  <c r="CN61" i="4" s="1"/>
  <c r="F80" i="4" s="1"/>
  <c r="BU131" i="5"/>
  <c r="AK131" i="5"/>
  <c r="AO131" i="5"/>
  <c r="AI131" i="5"/>
  <c r="DG129" i="5"/>
  <c r="DI129" i="5" s="1"/>
  <c r="DJ129" i="5" s="1"/>
  <c r="DN129" i="5" s="1"/>
  <c r="CQ60" i="4"/>
  <c r="G79" i="4" s="1"/>
  <c r="CG62" i="4"/>
  <c r="BR62" i="4"/>
  <c r="BS74" i="4" s="1"/>
  <c r="BT86" i="4" s="1"/>
  <c r="BU98" i="4" s="1"/>
  <c r="CC73" i="4"/>
  <c r="BZ73" i="4"/>
  <c r="CB73" i="4" s="1"/>
  <c r="F123" i="5"/>
  <c r="R123" i="5" s="1"/>
  <c r="AD134" i="5"/>
  <c r="AC135" i="5"/>
  <c r="BJ135" i="5"/>
  <c r="DT130" i="5"/>
  <c r="J130" i="5"/>
  <c r="V130" i="5" s="1"/>
  <c r="DA103" i="4"/>
  <c r="J123" i="4"/>
  <c r="CV105" i="4"/>
  <c r="CW104" i="4"/>
  <c r="DC130" i="5"/>
  <c r="DK129" i="5" s="1"/>
  <c r="DM129" i="5" s="1"/>
  <c r="BP105" i="4"/>
  <c r="CY105" i="4"/>
  <c r="CS106" i="4" s="1"/>
  <c r="BI105" i="4"/>
  <c r="BN105" i="4" s="1"/>
  <c r="X105" i="4"/>
  <c r="K124" i="4" s="1"/>
  <c r="CT105" i="4"/>
  <c r="CZ104" i="4" s="1"/>
  <c r="DL131" i="5"/>
  <c r="DZ131" i="5"/>
  <c r="EA129" i="5"/>
  <c r="I129" i="5"/>
  <c r="U129" i="5" s="1"/>
  <c r="H129" i="5"/>
  <c r="T129" i="5" s="1"/>
  <c r="CY128" i="5"/>
  <c r="CZ128" i="5"/>
  <c r="G129" i="5" s="1"/>
  <c r="S129" i="5" s="1"/>
  <c r="CX131" i="5"/>
  <c r="DE100" i="4"/>
  <c r="H119" i="4" s="1"/>
  <c r="DD101" i="4"/>
  <c r="DE101" i="4" s="1"/>
  <c r="H120" i="4" s="1"/>
  <c r="N131" i="5"/>
  <c r="CS129" i="5"/>
  <c r="CU129" i="5" s="1"/>
  <c r="CV129" i="5" s="1"/>
  <c r="DU129" i="5"/>
  <c r="DW129" i="5" s="1"/>
  <c r="DX129" i="5" s="1"/>
  <c r="CR130" i="5"/>
  <c r="CS130" i="5" s="1"/>
  <c r="CQ131" i="5"/>
  <c r="CO131" i="5"/>
  <c r="CW130" i="5" s="1"/>
  <c r="CP131" i="5"/>
  <c r="CN131" i="5"/>
  <c r="DD131" i="5"/>
  <c r="DB131" i="5"/>
  <c r="DE131" i="5"/>
  <c r="DS130" i="5"/>
  <c r="DF130" i="5"/>
  <c r="DG130" i="5" s="1"/>
  <c r="B132" i="5"/>
  <c r="DV131" i="5"/>
  <c r="CT131" i="5"/>
  <c r="DH131" i="5"/>
  <c r="AA132" i="5"/>
  <c r="BY131" i="5"/>
  <c r="CD131" i="5" s="1"/>
  <c r="AB131" i="5"/>
  <c r="K132" i="5" s="1"/>
  <c r="W132" i="5" s="1"/>
  <c r="DQ131" i="5"/>
  <c r="DY130" i="5" s="1"/>
  <c r="DP131" i="5"/>
  <c r="DR131" i="5"/>
  <c r="CX103" i="4"/>
  <c r="DF103" i="4" s="1"/>
  <c r="W106" i="4"/>
  <c r="C124" i="4"/>
  <c r="CU105" i="4"/>
  <c r="CA132" i="5" l="1"/>
  <c r="BB125" i="5"/>
  <c r="AU126" i="5"/>
  <c r="AX124" i="5"/>
  <c r="AZ124" i="5" s="1"/>
  <c r="AW125" i="5"/>
  <c r="BD123" i="5"/>
  <c r="BF123" i="5" s="1"/>
  <c r="BC123" i="5"/>
  <c r="BG123" i="5" s="1"/>
  <c r="D124" i="5" s="1"/>
  <c r="P124" i="5" s="1"/>
  <c r="BO132" i="5"/>
  <c r="CF132" i="5"/>
  <c r="CI132" i="5" s="1"/>
  <c r="BA132" i="5"/>
  <c r="AY132" i="5"/>
  <c r="CJ132" i="5"/>
  <c r="BE132" i="5"/>
  <c r="CC128" i="5"/>
  <c r="CE128" i="5" s="1"/>
  <c r="CH128" i="5" s="1"/>
  <c r="CB129" i="5"/>
  <c r="CK127" i="5"/>
  <c r="CH127" i="5"/>
  <c r="CL127" i="5" s="1"/>
  <c r="BZ132" i="5"/>
  <c r="CG132" i="5" s="1"/>
  <c r="AA104" i="4"/>
  <c r="AT103" i="4" s="1"/>
  <c r="AW103" i="4" s="1"/>
  <c r="AT102" i="4"/>
  <c r="BR123" i="5"/>
  <c r="BS123" i="5" s="1"/>
  <c r="BW123" i="5" s="1"/>
  <c r="E124" i="5" s="1"/>
  <c r="Q124" i="5" s="1"/>
  <c r="BQ132" i="5"/>
  <c r="BK133" i="5" s="1"/>
  <c r="BL125" i="5"/>
  <c r="BT124" i="5" s="1"/>
  <c r="BV123" i="5"/>
  <c r="BM125" i="5"/>
  <c r="BP124" i="5"/>
  <c r="BW122" i="5"/>
  <c r="E123" i="5" s="1"/>
  <c r="Q123" i="5" s="1"/>
  <c r="AQ105" i="4"/>
  <c r="AD105" i="4"/>
  <c r="AW101" i="4"/>
  <c r="AE102" i="4"/>
  <c r="AB103" i="4"/>
  <c r="AU106" i="4"/>
  <c r="AF106" i="4"/>
  <c r="CE106" i="4"/>
  <c r="Y106" i="4"/>
  <c r="Z106" i="4"/>
  <c r="BY61" i="4"/>
  <c r="CO61" i="4" s="1"/>
  <c r="CP61" i="4" s="1"/>
  <c r="BU132" i="5"/>
  <c r="AO132" i="5"/>
  <c r="AK132" i="5"/>
  <c r="AI132" i="5"/>
  <c r="CH62" i="4"/>
  <c r="CI62" i="4" s="1"/>
  <c r="CJ62" i="4" s="1"/>
  <c r="CF63" i="4" s="1"/>
  <c r="BV62" i="4"/>
  <c r="BX62" i="4" s="1"/>
  <c r="CK62" i="4" s="1"/>
  <c r="CL62" i="4" s="1"/>
  <c r="F124" i="5"/>
  <c r="R124" i="5" s="1"/>
  <c r="AD135" i="5"/>
  <c r="AC136" i="5"/>
  <c r="BJ136" i="5"/>
  <c r="DU130" i="5"/>
  <c r="DW130" i="5" s="1"/>
  <c r="DX130" i="5" s="1"/>
  <c r="DF131" i="5"/>
  <c r="DG131" i="5" s="1"/>
  <c r="J131" i="5"/>
  <c r="V131" i="5" s="1"/>
  <c r="J124" i="4"/>
  <c r="DA104" i="4"/>
  <c r="DC131" i="5"/>
  <c r="DK130" i="5" s="1"/>
  <c r="DM130" i="5" s="1"/>
  <c r="CW105" i="4"/>
  <c r="CX105" i="4" s="1"/>
  <c r="DF105" i="4" s="1"/>
  <c r="CA105" i="4"/>
  <c r="CY106" i="4"/>
  <c r="CS107" i="4" s="1"/>
  <c r="BP106" i="4"/>
  <c r="BI106" i="4"/>
  <c r="BN106" i="4" s="1"/>
  <c r="X106" i="4"/>
  <c r="K125" i="4" s="1"/>
  <c r="CT106" i="4"/>
  <c r="CZ105" i="4" s="1"/>
  <c r="CV106" i="4"/>
  <c r="DL132" i="5"/>
  <c r="DZ132" i="5"/>
  <c r="EA130" i="5"/>
  <c r="EB129" i="5"/>
  <c r="I130" i="5" s="1"/>
  <c r="U130" i="5" s="1"/>
  <c r="H130" i="5"/>
  <c r="T130" i="5" s="1"/>
  <c r="CZ129" i="5"/>
  <c r="G130" i="5" s="1"/>
  <c r="S130" i="5" s="1"/>
  <c r="CY129" i="5"/>
  <c r="CX132" i="5"/>
  <c r="DH101" i="4"/>
  <c r="I120" i="4" s="1"/>
  <c r="DD102" i="4"/>
  <c r="DE102" i="4" s="1"/>
  <c r="H121" i="4" s="1"/>
  <c r="N132" i="5"/>
  <c r="DS131" i="5"/>
  <c r="DS132" i="5" s="1"/>
  <c r="CU130" i="5"/>
  <c r="CV130" i="5" s="1"/>
  <c r="CR131" i="5"/>
  <c r="CS131" i="5" s="1"/>
  <c r="DI130" i="5"/>
  <c r="DJ130" i="5" s="1"/>
  <c r="B133" i="5"/>
  <c r="DV132" i="5"/>
  <c r="CT132" i="5"/>
  <c r="DH132" i="5"/>
  <c r="BY132" i="5"/>
  <c r="CD132" i="5" s="1"/>
  <c r="AA133" i="5"/>
  <c r="AB132" i="5"/>
  <c r="K133" i="5" s="1"/>
  <c r="W133" i="5" s="1"/>
  <c r="DT131" i="5"/>
  <c r="CP132" i="5"/>
  <c r="CQ132" i="5"/>
  <c r="CO132" i="5"/>
  <c r="CW131" i="5" s="1"/>
  <c r="CN132" i="5"/>
  <c r="DR132" i="5"/>
  <c r="DQ132" i="5"/>
  <c r="DY131" i="5" s="1"/>
  <c r="DP132" i="5"/>
  <c r="DE132" i="5"/>
  <c r="DD132" i="5"/>
  <c r="DB132" i="5"/>
  <c r="DG103" i="4"/>
  <c r="DB103" i="4"/>
  <c r="DC103" i="4" s="1"/>
  <c r="CX104" i="4"/>
  <c r="DF104" i="4" s="1"/>
  <c r="CU106" i="4"/>
  <c r="W107" i="4"/>
  <c r="C125" i="4"/>
  <c r="CK128" i="5" l="1"/>
  <c r="CL128" i="5"/>
  <c r="CC129" i="5"/>
  <c r="CE129" i="5" s="1"/>
  <c r="CH129" i="5" s="1"/>
  <c r="CB130" i="5"/>
  <c r="AX125" i="5"/>
  <c r="AZ125" i="5" s="1"/>
  <c r="AW126" i="5"/>
  <c r="BD124" i="5"/>
  <c r="BF124" i="5" s="1"/>
  <c r="BC124" i="5"/>
  <c r="BG124" i="5" s="1"/>
  <c r="D125" i="5" s="1"/>
  <c r="P125" i="5" s="1"/>
  <c r="BB126" i="5"/>
  <c r="AU127" i="5"/>
  <c r="BZ133" i="5"/>
  <c r="CG133" i="5" s="1"/>
  <c r="AV133" i="5"/>
  <c r="CA133" i="5"/>
  <c r="BO133" i="5"/>
  <c r="CF133" i="5"/>
  <c r="CI133" i="5" s="1"/>
  <c r="AY133" i="5"/>
  <c r="CJ133" i="5"/>
  <c r="BA133" i="5"/>
  <c r="BE133" i="5"/>
  <c r="AA105" i="4"/>
  <c r="AT104" i="4" s="1"/>
  <c r="AW104" i="4" s="1"/>
  <c r="AG102" i="4"/>
  <c r="AC103" i="4"/>
  <c r="AC104" i="4" s="1"/>
  <c r="AC105" i="4" s="1"/>
  <c r="AC106" i="4" s="1"/>
  <c r="AC107" i="4" s="1"/>
  <c r="BR124" i="5"/>
  <c r="BS124" i="5" s="1"/>
  <c r="BW124" i="5" s="1"/>
  <c r="E125" i="5" s="1"/>
  <c r="Q125" i="5" s="1"/>
  <c r="BQ133" i="5"/>
  <c r="BK134" i="5" s="1"/>
  <c r="BP125" i="5"/>
  <c r="BM126" i="5"/>
  <c r="BV124" i="5"/>
  <c r="BL126" i="5"/>
  <c r="BT125" i="5" s="1"/>
  <c r="AQ106" i="4"/>
  <c r="AD106" i="4"/>
  <c r="Z107" i="4"/>
  <c r="AF107" i="4"/>
  <c r="CE107" i="4"/>
  <c r="AU107" i="4"/>
  <c r="Y107" i="4"/>
  <c r="AB104" i="4"/>
  <c r="CQ61" i="4"/>
  <c r="G80" i="4" s="1"/>
  <c r="J125" i="4"/>
  <c r="BU133" i="5"/>
  <c r="AK133" i="5"/>
  <c r="AO133" i="5"/>
  <c r="AI133" i="5"/>
  <c r="BY62" i="4"/>
  <c r="CO62" i="4" s="1"/>
  <c r="CP62" i="4" s="1"/>
  <c r="CC74" i="4"/>
  <c r="BZ74" i="4"/>
  <c r="CB74" i="4" s="1"/>
  <c r="CM62" i="4"/>
  <c r="F125" i="5"/>
  <c r="R125" i="5" s="1"/>
  <c r="CG63" i="4"/>
  <c r="BR63" i="4"/>
  <c r="BS75" i="4" s="1"/>
  <c r="BT87" i="4" s="1"/>
  <c r="BU99" i="4" s="1"/>
  <c r="AD136" i="5"/>
  <c r="AC137" i="5"/>
  <c r="BJ137" i="5"/>
  <c r="J132" i="5"/>
  <c r="V132" i="5" s="1"/>
  <c r="DC132" i="5"/>
  <c r="DK131" i="5" s="1"/>
  <c r="DM131" i="5" s="1"/>
  <c r="DA105" i="4"/>
  <c r="DH102" i="4"/>
  <c r="I121" i="4" s="1"/>
  <c r="CV107" i="4"/>
  <c r="CW106" i="4"/>
  <c r="CX106" i="4" s="1"/>
  <c r="DF106" i="4" s="1"/>
  <c r="CA106" i="4"/>
  <c r="CY107" i="4"/>
  <c r="CS108" i="4" s="1"/>
  <c r="BP107" i="4"/>
  <c r="BI107" i="4"/>
  <c r="BN107" i="4" s="1"/>
  <c r="X107" i="4"/>
  <c r="K126" i="4" s="1"/>
  <c r="CT107" i="4"/>
  <c r="DL133" i="5"/>
  <c r="DZ133" i="5"/>
  <c r="EA131" i="5"/>
  <c r="EB130" i="5"/>
  <c r="I131" i="5" s="1"/>
  <c r="U131" i="5" s="1"/>
  <c r="DN130" i="5"/>
  <c r="H131" i="5" s="1"/>
  <c r="T131" i="5" s="1"/>
  <c r="CY130" i="5"/>
  <c r="CZ130" i="5"/>
  <c r="G131" i="5" s="1"/>
  <c r="S131" i="5" s="1"/>
  <c r="CX133" i="5"/>
  <c r="N133" i="5"/>
  <c r="DB105" i="4"/>
  <c r="DC105" i="4" s="1"/>
  <c r="DU131" i="5"/>
  <c r="DW131" i="5" s="1"/>
  <c r="DX131" i="5" s="1"/>
  <c r="EB131" i="5" s="1"/>
  <c r="DR133" i="5"/>
  <c r="DQ133" i="5"/>
  <c r="DY132" i="5" s="1"/>
  <c r="DP133" i="5"/>
  <c r="DS133" i="5"/>
  <c r="CU131" i="5"/>
  <c r="CV131" i="5" s="1"/>
  <c r="DI131" i="5"/>
  <c r="DJ131" i="5" s="1"/>
  <c r="DE133" i="5"/>
  <c r="DD133" i="5"/>
  <c r="DB133" i="5"/>
  <c r="DF132" i="5"/>
  <c r="DG132" i="5" s="1"/>
  <c r="CR132" i="5"/>
  <c r="CS132" i="5" s="1"/>
  <c r="B134" i="5"/>
  <c r="DV133" i="5"/>
  <c r="CT133" i="5"/>
  <c r="DH133" i="5"/>
  <c r="BY133" i="5"/>
  <c r="CD133" i="5" s="1"/>
  <c r="AA134" i="5"/>
  <c r="AB133" i="5"/>
  <c r="K134" i="5" s="1"/>
  <c r="W134" i="5" s="1"/>
  <c r="DT132" i="5"/>
  <c r="DU132" i="5" s="1"/>
  <c r="CP133" i="5"/>
  <c r="CQ133" i="5"/>
  <c r="CO133" i="5"/>
  <c r="CW132" i="5" s="1"/>
  <c r="CN133" i="5"/>
  <c r="DG104" i="4"/>
  <c r="DB104" i="4"/>
  <c r="DC104" i="4" s="1"/>
  <c r="DG105" i="4"/>
  <c r="DD103" i="4"/>
  <c r="DH103" i="4" s="1"/>
  <c r="I122" i="4" s="1"/>
  <c r="C126" i="4"/>
  <c r="W108" i="4"/>
  <c r="CU107" i="4"/>
  <c r="CK129" i="5" l="1"/>
  <c r="CL129" i="5"/>
  <c r="BO134" i="5"/>
  <c r="AY134" i="5"/>
  <c r="CF134" i="5"/>
  <c r="CI134" i="5" s="1"/>
  <c r="CJ134" i="5"/>
  <c r="BE134" i="5"/>
  <c r="BA134" i="5"/>
  <c r="AX126" i="5"/>
  <c r="AZ126" i="5" s="1"/>
  <c r="AW127" i="5"/>
  <c r="BB127" i="5"/>
  <c r="AU128" i="5"/>
  <c r="BD125" i="5"/>
  <c r="BF125" i="5" s="1"/>
  <c r="BC125" i="5"/>
  <c r="BG125" i="5" s="1"/>
  <c r="D126" i="5" s="1"/>
  <c r="P126" i="5" s="1"/>
  <c r="BZ134" i="5"/>
  <c r="CG134" i="5" s="1"/>
  <c r="CC130" i="5"/>
  <c r="CE130" i="5" s="1"/>
  <c r="CH130" i="5" s="1"/>
  <c r="CB131" i="5"/>
  <c r="CA134" i="5"/>
  <c r="AV134" i="5"/>
  <c r="AE103" i="4"/>
  <c r="AG103" i="4" s="1"/>
  <c r="AA106" i="4"/>
  <c r="AT105" i="4" s="1"/>
  <c r="AW105" i="4" s="1"/>
  <c r="AC108" i="4"/>
  <c r="BR125" i="5"/>
  <c r="BS125" i="5" s="1"/>
  <c r="BW125" i="5" s="1"/>
  <c r="E126" i="5" s="1"/>
  <c r="Q126" i="5" s="1"/>
  <c r="BQ134" i="5"/>
  <c r="BK135" i="5" s="1"/>
  <c r="BL127" i="5"/>
  <c r="BT126" i="5" s="1"/>
  <c r="BV125" i="5"/>
  <c r="BM127" i="5"/>
  <c r="BP126" i="5"/>
  <c r="AQ107" i="4"/>
  <c r="AD107" i="4"/>
  <c r="J126" i="4"/>
  <c r="Z108" i="4"/>
  <c r="CE108" i="4"/>
  <c r="AF108" i="4"/>
  <c r="AU108" i="4"/>
  <c r="Y108" i="4"/>
  <c r="AE104" i="4"/>
  <c r="AG104" i="4" s="1"/>
  <c r="AB105" i="4"/>
  <c r="BU134" i="5"/>
  <c r="AK134" i="5"/>
  <c r="AO134" i="5"/>
  <c r="AI134" i="5"/>
  <c r="CQ62" i="4"/>
  <c r="G81" i="4" s="1"/>
  <c r="CN62" i="4"/>
  <c r="F81" i="4" s="1"/>
  <c r="F126" i="5"/>
  <c r="R126" i="5" s="1"/>
  <c r="CH63" i="4"/>
  <c r="CI63" i="4" s="1"/>
  <c r="CJ63" i="4" s="1"/>
  <c r="CF64" i="4" s="1"/>
  <c r="BV63" i="4"/>
  <c r="BX63" i="4" s="1"/>
  <c r="CK63" i="4" s="1"/>
  <c r="CL63" i="4" s="1"/>
  <c r="AD137" i="5"/>
  <c r="AC138" i="5"/>
  <c r="BJ138" i="5"/>
  <c r="CR133" i="5"/>
  <c r="CS133" i="5" s="1"/>
  <c r="DC133" i="5"/>
  <c r="DK132" i="5" s="1"/>
  <c r="DM132" i="5" s="1"/>
  <c r="J133" i="5"/>
  <c r="V133" i="5" s="1"/>
  <c r="CT108" i="4"/>
  <c r="CZ107" i="4" s="1"/>
  <c r="CY108" i="4"/>
  <c r="CS109" i="4" s="1"/>
  <c r="BP108" i="4"/>
  <c r="BI108" i="4"/>
  <c r="CA108" i="4" s="1"/>
  <c r="X108" i="4"/>
  <c r="K127" i="4" s="1"/>
  <c r="CV108" i="4"/>
  <c r="CZ106" i="4"/>
  <c r="DA106" i="4" s="1"/>
  <c r="CW107" i="4"/>
  <c r="CX107" i="4" s="1"/>
  <c r="DF107" i="4" s="1"/>
  <c r="CA107" i="4"/>
  <c r="DL134" i="5"/>
  <c r="DZ134" i="5"/>
  <c r="EA132" i="5"/>
  <c r="I132" i="5"/>
  <c r="U132" i="5" s="1"/>
  <c r="DN131" i="5"/>
  <c r="H132" i="5" s="1"/>
  <c r="T132" i="5" s="1"/>
  <c r="CY131" i="5"/>
  <c r="CZ131" i="5"/>
  <c r="G132" i="5" s="1"/>
  <c r="S132" i="5" s="1"/>
  <c r="CX134" i="5"/>
  <c r="N134" i="5"/>
  <c r="DG106" i="4"/>
  <c r="DF133" i="5"/>
  <c r="DG133" i="5" s="1"/>
  <c r="DT133" i="5"/>
  <c r="DU133" i="5" s="1"/>
  <c r="CU132" i="5"/>
  <c r="CV132" i="5" s="1"/>
  <c r="DI132" i="5"/>
  <c r="DJ132" i="5" s="1"/>
  <c r="DN132" i="5" s="1"/>
  <c r="DW132" i="5"/>
  <c r="DX132" i="5" s="1"/>
  <c r="DE134" i="5"/>
  <c r="DD134" i="5"/>
  <c r="DB134" i="5"/>
  <c r="CN134" i="5"/>
  <c r="CQ134" i="5"/>
  <c r="CP134" i="5"/>
  <c r="CO134" i="5"/>
  <c r="CW133" i="5" s="1"/>
  <c r="B135" i="5"/>
  <c r="AA135" i="5"/>
  <c r="DV134" i="5"/>
  <c r="CT134" i="5"/>
  <c r="BY134" i="5"/>
  <c r="CD134" i="5" s="1"/>
  <c r="DH134" i="5"/>
  <c r="AB134" i="5"/>
  <c r="K135" i="5" s="1"/>
  <c r="W135" i="5" s="1"/>
  <c r="DP134" i="5"/>
  <c r="DS134" i="5"/>
  <c r="DR134" i="5"/>
  <c r="DQ134" i="5"/>
  <c r="DY133" i="5" s="1"/>
  <c r="DE103" i="4"/>
  <c r="H122" i="4" s="1"/>
  <c r="DB106" i="4"/>
  <c r="DC106" i="4" s="1"/>
  <c r="DD104" i="4"/>
  <c r="DD105" i="4" s="1"/>
  <c r="BL67" i="4"/>
  <c r="CU108" i="4"/>
  <c r="W109" i="4"/>
  <c r="C127" i="4"/>
  <c r="AV135" i="5" l="1"/>
  <c r="CA135" i="5"/>
  <c r="CK130" i="5"/>
  <c r="CL130" i="5"/>
  <c r="BB128" i="5"/>
  <c r="AU129" i="5"/>
  <c r="BO135" i="5"/>
  <c r="CF135" i="5"/>
  <c r="CI135" i="5" s="1"/>
  <c r="CJ135" i="5"/>
  <c r="BA135" i="5"/>
  <c r="BE135" i="5"/>
  <c r="AY135" i="5"/>
  <c r="CC131" i="5"/>
  <c r="CE131" i="5" s="1"/>
  <c r="CH131" i="5" s="1"/>
  <c r="CB132" i="5"/>
  <c r="AX127" i="5"/>
  <c r="AZ127" i="5" s="1"/>
  <c r="AW128" i="5"/>
  <c r="BZ135" i="5"/>
  <c r="CG135" i="5" s="1"/>
  <c r="BD126" i="5"/>
  <c r="BF126" i="5" s="1"/>
  <c r="BC126" i="5"/>
  <c r="BG126" i="5" s="1"/>
  <c r="D127" i="5" s="1"/>
  <c r="P127" i="5" s="1"/>
  <c r="AC109" i="4"/>
  <c r="AV136" i="5"/>
  <c r="AA107" i="4"/>
  <c r="AT106" i="4" s="1"/>
  <c r="AW106" i="4" s="1"/>
  <c r="BR126" i="5"/>
  <c r="BS126" i="5" s="1"/>
  <c r="BW126" i="5" s="1"/>
  <c r="E127" i="5" s="1"/>
  <c r="Q127" i="5" s="1"/>
  <c r="BQ135" i="5"/>
  <c r="BK136" i="5" s="1"/>
  <c r="BP127" i="5"/>
  <c r="BN128" i="5" s="1"/>
  <c r="BN129" i="5" s="1"/>
  <c r="BN130" i="5" s="1"/>
  <c r="BN131" i="5" s="1"/>
  <c r="BN132" i="5" s="1"/>
  <c r="BN133" i="5" s="1"/>
  <c r="BN134" i="5" s="1"/>
  <c r="BN135" i="5" s="1"/>
  <c r="BM128" i="5"/>
  <c r="BL128" i="5"/>
  <c r="BT127" i="5" s="1"/>
  <c r="BV126" i="5"/>
  <c r="AQ108" i="4"/>
  <c r="AD108" i="4"/>
  <c r="J127" i="4"/>
  <c r="BN108" i="4"/>
  <c r="AU109" i="4"/>
  <c r="AF109" i="4"/>
  <c r="CE109" i="4"/>
  <c r="Y109" i="4"/>
  <c r="AE105" i="4"/>
  <c r="AG105" i="4" s="1"/>
  <c r="AB106" i="4"/>
  <c r="Z109" i="4"/>
  <c r="AK135" i="5"/>
  <c r="BU135" i="5"/>
  <c r="AO135" i="5"/>
  <c r="AI135" i="5"/>
  <c r="BY63" i="4"/>
  <c r="CO63" i="4" s="1"/>
  <c r="CP63" i="4" s="1"/>
  <c r="BR64" i="4"/>
  <c r="BS76" i="4" s="1"/>
  <c r="BT88" i="4" s="1"/>
  <c r="BU100" i="4" s="1"/>
  <c r="CG64" i="4"/>
  <c r="CM63" i="4"/>
  <c r="CN63" i="4" s="1"/>
  <c r="F82" i="4" s="1"/>
  <c r="CC75" i="4"/>
  <c r="BZ75" i="4"/>
  <c r="CB75" i="4" s="1"/>
  <c r="F127" i="5"/>
  <c r="R127" i="5" s="1"/>
  <c r="DC134" i="5"/>
  <c r="DK133" i="5" s="1"/>
  <c r="DM133" i="5" s="1"/>
  <c r="AD138" i="5"/>
  <c r="AC139" i="5"/>
  <c r="BJ139" i="5"/>
  <c r="DF134" i="5"/>
  <c r="DG134" i="5" s="1"/>
  <c r="J134" i="5"/>
  <c r="V134" i="5" s="1"/>
  <c r="CT109" i="4"/>
  <c r="CZ108" i="4" s="1"/>
  <c r="CW108" i="4"/>
  <c r="CX108" i="4" s="1"/>
  <c r="DF108" i="4" s="1"/>
  <c r="CY109" i="4"/>
  <c r="CS110" i="4" s="1"/>
  <c r="BP109" i="4"/>
  <c r="BI109" i="4"/>
  <c r="BN109" i="4" s="1"/>
  <c r="X109" i="4"/>
  <c r="K128" i="4" s="1"/>
  <c r="DA107" i="4"/>
  <c r="CV109" i="4"/>
  <c r="DL135" i="5"/>
  <c r="DZ135" i="5"/>
  <c r="EB132" i="5"/>
  <c r="I133" i="5" s="1"/>
  <c r="U133" i="5" s="1"/>
  <c r="EA133" i="5"/>
  <c r="H133" i="5"/>
  <c r="T133" i="5" s="1"/>
  <c r="CX135" i="5"/>
  <c r="CY132" i="5"/>
  <c r="CZ132" i="5"/>
  <c r="G133" i="5" s="1"/>
  <c r="S133" i="5" s="1"/>
  <c r="N135" i="5"/>
  <c r="DE135" i="5"/>
  <c r="DD135" i="5"/>
  <c r="DB135" i="5"/>
  <c r="DQ135" i="5"/>
  <c r="DY134" i="5" s="1"/>
  <c r="DP135" i="5"/>
  <c r="DS135" i="5"/>
  <c r="DR135" i="5"/>
  <c r="CR134" i="5"/>
  <c r="CS134" i="5" s="1"/>
  <c r="DW133" i="5"/>
  <c r="DX133" i="5" s="1"/>
  <c r="EB133" i="5" s="1"/>
  <c r="DI133" i="5"/>
  <c r="DJ133" i="5" s="1"/>
  <c r="DT134" i="5"/>
  <c r="DU134" i="5" s="1"/>
  <c r="CU133" i="5"/>
  <c r="CV133" i="5" s="1"/>
  <c r="B136" i="5"/>
  <c r="AA136" i="5"/>
  <c r="DV135" i="5"/>
  <c r="CT135" i="5"/>
  <c r="BY135" i="5"/>
  <c r="CD135" i="5" s="1"/>
  <c r="DH135" i="5"/>
  <c r="AB135" i="5"/>
  <c r="K136" i="5" s="1"/>
  <c r="W136" i="5" s="1"/>
  <c r="CO135" i="5"/>
  <c r="CW134" i="5" s="1"/>
  <c r="CN135" i="5"/>
  <c r="CQ135" i="5"/>
  <c r="CP135" i="5"/>
  <c r="DE105" i="4"/>
  <c r="H124" i="4" s="1"/>
  <c r="DH105" i="4"/>
  <c r="I124" i="4" s="1"/>
  <c r="DG107" i="4"/>
  <c r="DB107" i="4"/>
  <c r="DC107" i="4" s="1"/>
  <c r="DD106" i="4"/>
  <c r="DH106" i="4" s="1"/>
  <c r="I125" i="4" s="1"/>
  <c r="DH104" i="4"/>
  <c r="I123" i="4" s="1"/>
  <c r="DE104" i="4"/>
  <c r="H123" i="4" s="1"/>
  <c r="BM67" i="4"/>
  <c r="BO67" i="4" s="1"/>
  <c r="BQ67" i="4" s="1"/>
  <c r="BL68" i="4"/>
  <c r="W110" i="4"/>
  <c r="C128" i="4"/>
  <c r="CU109" i="4"/>
  <c r="AA108" i="4" l="1"/>
  <c r="CK131" i="5"/>
  <c r="CL131" i="5"/>
  <c r="BZ136" i="5"/>
  <c r="CG136" i="5" s="1"/>
  <c r="BO136" i="5"/>
  <c r="CF136" i="5"/>
  <c r="CI136" i="5" s="1"/>
  <c r="CJ136" i="5"/>
  <c r="BA136" i="5"/>
  <c r="AV137" i="5" s="1"/>
  <c r="BE136" i="5"/>
  <c r="AY136" i="5"/>
  <c r="CC132" i="5"/>
  <c r="CE132" i="5" s="1"/>
  <c r="CH132" i="5" s="1"/>
  <c r="CB133" i="5"/>
  <c r="CA136" i="5"/>
  <c r="AC110" i="4"/>
  <c r="BB129" i="5"/>
  <c r="AU130" i="5"/>
  <c r="AX128" i="5"/>
  <c r="AZ128" i="5" s="1"/>
  <c r="AW129" i="5"/>
  <c r="BD127" i="5"/>
  <c r="BF127" i="5" s="1"/>
  <c r="BC127" i="5"/>
  <c r="BG127" i="5" s="1"/>
  <c r="D128" i="5" s="1"/>
  <c r="P128" i="5" s="1"/>
  <c r="BN136" i="5"/>
  <c r="AT107" i="4"/>
  <c r="AW107" i="4" s="1"/>
  <c r="BR127" i="5"/>
  <c r="BS127" i="5" s="1"/>
  <c r="BW127" i="5" s="1"/>
  <c r="BQ136" i="5"/>
  <c r="BK137" i="5" s="1"/>
  <c r="BL129" i="5"/>
  <c r="BT128" i="5" s="1"/>
  <c r="BV127" i="5"/>
  <c r="BP128" i="5"/>
  <c r="BM129" i="5"/>
  <c r="AA109" i="4"/>
  <c r="J128" i="4"/>
  <c r="AQ109" i="4"/>
  <c r="AD109" i="4"/>
  <c r="AE106" i="4"/>
  <c r="AG106" i="4" s="1"/>
  <c r="AB107" i="4"/>
  <c r="CE110" i="4"/>
  <c r="AU110" i="4"/>
  <c r="AF110" i="4"/>
  <c r="Y110" i="4"/>
  <c r="Z110" i="4"/>
  <c r="BV64" i="4"/>
  <c r="BX64" i="4" s="1"/>
  <c r="CK64" i="4" s="1"/>
  <c r="CL64" i="4" s="1"/>
  <c r="CM64" i="4" s="1"/>
  <c r="CN64" i="4" s="1"/>
  <c r="F83" i="4" s="1"/>
  <c r="AK136" i="5"/>
  <c r="AO136" i="5"/>
  <c r="BU136" i="5"/>
  <c r="AI136" i="5"/>
  <c r="CC76" i="4"/>
  <c r="F128" i="5"/>
  <c r="R128" i="5" s="1"/>
  <c r="CH64" i="4"/>
  <c r="CI64" i="4" s="1"/>
  <c r="CJ64" i="4" s="1"/>
  <c r="CF65" i="4" s="1"/>
  <c r="CQ63" i="4"/>
  <c r="G82" i="4" s="1"/>
  <c r="AD139" i="5"/>
  <c r="AC140" i="5"/>
  <c r="DC135" i="5"/>
  <c r="DK134" i="5" s="1"/>
  <c r="DM134" i="5" s="1"/>
  <c r="BJ140" i="5"/>
  <c r="J135" i="5"/>
  <c r="V135" i="5" s="1"/>
  <c r="DA108" i="4"/>
  <c r="CW109" i="4"/>
  <c r="CX109" i="4" s="1"/>
  <c r="DF109" i="4" s="1"/>
  <c r="CA109" i="4"/>
  <c r="CV110" i="4"/>
  <c r="CY110" i="4"/>
  <c r="CS111" i="4" s="1"/>
  <c r="BP110" i="4"/>
  <c r="BI110" i="4"/>
  <c r="BN110" i="4" s="1"/>
  <c r="X110" i="4"/>
  <c r="K129" i="4" s="1"/>
  <c r="CT110" i="4"/>
  <c r="CZ109" i="4" s="1"/>
  <c r="DL136" i="5"/>
  <c r="DZ136" i="5"/>
  <c r="EA134" i="5"/>
  <c r="I134" i="5"/>
  <c r="U134" i="5" s="1"/>
  <c r="DN133" i="5"/>
  <c r="H134" i="5" s="1"/>
  <c r="T134" i="5" s="1"/>
  <c r="CY133" i="5"/>
  <c r="CZ133" i="5"/>
  <c r="G134" i="5" s="1"/>
  <c r="S134" i="5" s="1"/>
  <c r="CX136" i="5"/>
  <c r="N136" i="5"/>
  <c r="CU134" i="5"/>
  <c r="CV134" i="5" s="1"/>
  <c r="DW134" i="5"/>
  <c r="DX134" i="5" s="1"/>
  <c r="DF135" i="5"/>
  <c r="DG135" i="5" s="1"/>
  <c r="CR135" i="5"/>
  <c r="CS135" i="5" s="1"/>
  <c r="B137" i="5"/>
  <c r="AA137" i="5"/>
  <c r="DH136" i="5"/>
  <c r="BY136" i="5"/>
  <c r="CD136" i="5" s="1"/>
  <c r="DV136" i="5"/>
  <c r="CT136" i="5"/>
  <c r="AB136" i="5"/>
  <c r="K137" i="5" s="1"/>
  <c r="W137" i="5" s="1"/>
  <c r="DT135" i="5"/>
  <c r="DU135" i="5" s="1"/>
  <c r="DI134" i="5"/>
  <c r="DJ134" i="5" s="1"/>
  <c r="DN134" i="5" s="1"/>
  <c r="DE136" i="5"/>
  <c r="DD136" i="5"/>
  <c r="DB136" i="5"/>
  <c r="CP136" i="5"/>
  <c r="CO136" i="5"/>
  <c r="CW135" i="5" s="1"/>
  <c r="CN136" i="5"/>
  <c r="CQ136" i="5"/>
  <c r="DR136" i="5"/>
  <c r="DQ136" i="5"/>
  <c r="DY135" i="5" s="1"/>
  <c r="DP136" i="5"/>
  <c r="DS136" i="5"/>
  <c r="DD107" i="4"/>
  <c r="DE107" i="4" s="1"/>
  <c r="H126" i="4" s="1"/>
  <c r="DG108" i="4"/>
  <c r="DB108" i="4"/>
  <c r="DC108" i="4" s="1"/>
  <c r="DE106" i="4"/>
  <c r="H125" i="4" s="1"/>
  <c r="BM68" i="4"/>
  <c r="BO68" i="4" s="1"/>
  <c r="BQ68" i="4" s="1"/>
  <c r="BL69" i="4"/>
  <c r="W111" i="4"/>
  <c r="C129" i="4"/>
  <c r="CU110" i="4"/>
  <c r="CL132" i="5" l="1"/>
  <c r="CK132" i="5"/>
  <c r="BD128" i="5"/>
  <c r="BF128" i="5" s="1"/>
  <c r="BC128" i="5"/>
  <c r="BG128" i="5" s="1"/>
  <c r="D129" i="5" s="1"/>
  <c r="P129" i="5" s="1"/>
  <c r="BZ137" i="5"/>
  <c r="CG137" i="5" s="1"/>
  <c r="BB130" i="5"/>
  <c r="AU131" i="5"/>
  <c r="BO137" i="5"/>
  <c r="CJ137" i="5"/>
  <c r="AY137" i="5"/>
  <c r="CF137" i="5"/>
  <c r="CI137" i="5" s="1"/>
  <c r="BA137" i="5"/>
  <c r="BE137" i="5"/>
  <c r="AC111" i="4"/>
  <c r="CA137" i="5"/>
  <c r="CA138" i="5" s="1"/>
  <c r="CC133" i="5"/>
  <c r="CE133" i="5" s="1"/>
  <c r="CH133" i="5" s="1"/>
  <c r="CB134" i="5"/>
  <c r="AX129" i="5"/>
  <c r="AZ129" i="5" s="1"/>
  <c r="AW130" i="5"/>
  <c r="BN137" i="5"/>
  <c r="AA110" i="4"/>
  <c r="AT109" i="4" s="1"/>
  <c r="AW109" i="4" s="1"/>
  <c r="AT108" i="4"/>
  <c r="BQ137" i="5"/>
  <c r="BK138" i="5" s="1"/>
  <c r="E128" i="5"/>
  <c r="Q128" i="5" s="1"/>
  <c r="E15" i="5"/>
  <c r="E31" i="5" s="1"/>
  <c r="BP129" i="5"/>
  <c r="BM130" i="5"/>
  <c r="BV128" i="5"/>
  <c r="BL130" i="5"/>
  <c r="BT129" i="5" s="1"/>
  <c r="J129" i="4"/>
  <c r="AQ110" i="4"/>
  <c r="AD110" i="4"/>
  <c r="AE107" i="4"/>
  <c r="AG107" i="4" s="1"/>
  <c r="AB108" i="4"/>
  <c r="AF111" i="4"/>
  <c r="AU111" i="4"/>
  <c r="CE111" i="4"/>
  <c r="Y111" i="4"/>
  <c r="Z111" i="4"/>
  <c r="BY64" i="4"/>
  <c r="CO64" i="4" s="1"/>
  <c r="CP64" i="4" s="1"/>
  <c r="DC136" i="5"/>
  <c r="DK135" i="5" s="1"/>
  <c r="DM135" i="5" s="1"/>
  <c r="BU137" i="5"/>
  <c r="AK137" i="5"/>
  <c r="AO137" i="5"/>
  <c r="AI137" i="5"/>
  <c r="BZ76" i="4"/>
  <c r="CB76" i="4" s="1"/>
  <c r="CG65" i="4"/>
  <c r="CH65" i="4" s="1"/>
  <c r="CI65" i="4" s="1"/>
  <c r="CJ65" i="4" s="1"/>
  <c r="BR65" i="4"/>
  <c r="BS77" i="4" s="1"/>
  <c r="BT89" i="4" s="1"/>
  <c r="BU101" i="4" s="1"/>
  <c r="AD140" i="5"/>
  <c r="AC141" i="5"/>
  <c r="BJ141" i="5"/>
  <c r="DT136" i="5"/>
  <c r="DU136" i="5" s="1"/>
  <c r="DA109" i="4"/>
  <c r="J136" i="5"/>
  <c r="V136" i="5" s="1"/>
  <c r="CT111" i="4"/>
  <c r="CZ110" i="4" s="1"/>
  <c r="CV111" i="4"/>
  <c r="CW110" i="4"/>
  <c r="CX110" i="4" s="1"/>
  <c r="DF110" i="4" s="1"/>
  <c r="CA110" i="4"/>
  <c r="CY111" i="4"/>
  <c r="CS112" i="4" s="1"/>
  <c r="BP111" i="4"/>
  <c r="BI111" i="4"/>
  <c r="BN111" i="4" s="1"/>
  <c r="X111" i="4"/>
  <c r="K130" i="4" s="1"/>
  <c r="DL137" i="5"/>
  <c r="DZ137" i="5"/>
  <c r="EB134" i="5"/>
  <c r="I135" i="5" s="1"/>
  <c r="U135" i="5" s="1"/>
  <c r="EA135" i="5"/>
  <c r="H135" i="5"/>
  <c r="T135" i="5" s="1"/>
  <c r="CX137" i="5"/>
  <c r="CY134" i="5"/>
  <c r="CZ134" i="5"/>
  <c r="G135" i="5" s="1"/>
  <c r="S135" i="5" s="1"/>
  <c r="N137" i="5"/>
  <c r="DB109" i="4"/>
  <c r="DC109" i="4" s="1"/>
  <c r="DD108" i="4"/>
  <c r="DE108" i="4" s="1"/>
  <c r="H127" i="4" s="1"/>
  <c r="DH107" i="4"/>
  <c r="I126" i="4" s="1"/>
  <c r="DW135" i="5"/>
  <c r="DX135" i="5" s="1"/>
  <c r="EB135" i="5" s="1"/>
  <c r="CU135" i="5"/>
  <c r="CV135" i="5" s="1"/>
  <c r="CR136" i="5"/>
  <c r="CS136" i="5" s="1"/>
  <c r="DF136" i="5"/>
  <c r="DG136" i="5" s="1"/>
  <c r="CO137" i="5"/>
  <c r="CW136" i="5" s="1"/>
  <c r="CP137" i="5"/>
  <c r="CN137" i="5"/>
  <c r="CQ137" i="5"/>
  <c r="DQ137" i="5"/>
  <c r="DY136" i="5" s="1"/>
  <c r="DS137" i="5"/>
  <c r="DP137" i="5"/>
  <c r="DR137" i="5"/>
  <c r="DB137" i="5"/>
  <c r="DE137" i="5"/>
  <c r="DD137" i="5"/>
  <c r="B138" i="5"/>
  <c r="DV137" i="5"/>
  <c r="AA138" i="5"/>
  <c r="CT137" i="5"/>
  <c r="DH137" i="5"/>
  <c r="BY137" i="5"/>
  <c r="CD137" i="5" s="1"/>
  <c r="AB137" i="5"/>
  <c r="K138" i="5" s="1"/>
  <c r="W138" i="5" s="1"/>
  <c r="DI135" i="5"/>
  <c r="DJ135" i="5" s="1"/>
  <c r="DN135" i="5" s="1"/>
  <c r="DG109" i="4"/>
  <c r="BM69" i="4"/>
  <c r="BO69" i="4" s="1"/>
  <c r="BQ69" i="4" s="1"/>
  <c r="BL70" i="4"/>
  <c r="CU111" i="4"/>
  <c r="W112" i="4"/>
  <c r="C130" i="4"/>
  <c r="AA111" i="4" l="1"/>
  <c r="AT110" i="4" s="1"/>
  <c r="CL133" i="5"/>
  <c r="CK133" i="5"/>
  <c r="BB131" i="5"/>
  <c r="AU132" i="5"/>
  <c r="AC112" i="4"/>
  <c r="BO138" i="5"/>
  <c r="BA138" i="5"/>
  <c r="CJ138" i="5"/>
  <c r="AY138" i="5"/>
  <c r="CF138" i="5"/>
  <c r="CI138" i="5" s="1"/>
  <c r="BE138" i="5"/>
  <c r="AX130" i="5"/>
  <c r="AZ130" i="5" s="1"/>
  <c r="AW131" i="5"/>
  <c r="AV138" i="5"/>
  <c r="AV139" i="5" s="1"/>
  <c r="BZ138" i="5"/>
  <c r="CG138" i="5" s="1"/>
  <c r="BD129" i="5"/>
  <c r="BF129" i="5" s="1"/>
  <c r="BC129" i="5"/>
  <c r="BG129" i="5" s="1"/>
  <c r="D130" i="5" s="1"/>
  <c r="P130" i="5" s="1"/>
  <c r="CC134" i="5"/>
  <c r="CE134" i="5" s="1"/>
  <c r="CH134" i="5" s="1"/>
  <c r="CB135" i="5"/>
  <c r="BN138" i="5"/>
  <c r="BR128" i="5"/>
  <c r="BS128" i="5" s="1"/>
  <c r="BW128" i="5" s="1"/>
  <c r="E129" i="5" s="1"/>
  <c r="Q129" i="5" s="1"/>
  <c r="BQ138" i="5"/>
  <c r="BK139" i="5" s="1"/>
  <c r="BM131" i="5"/>
  <c r="BP130" i="5"/>
  <c r="BV129" i="5"/>
  <c r="BL131" i="5"/>
  <c r="BT130" i="5" s="1"/>
  <c r="J130" i="4"/>
  <c r="AQ111" i="4"/>
  <c r="AD111" i="4"/>
  <c r="DC137" i="5"/>
  <c r="DK136" i="5" s="1"/>
  <c r="DM136" i="5" s="1"/>
  <c r="AE108" i="4"/>
  <c r="AG108" i="4" s="1"/>
  <c r="AB109" i="4"/>
  <c r="AU112" i="4"/>
  <c r="AF112" i="4"/>
  <c r="CE112" i="4"/>
  <c r="Y112" i="4"/>
  <c r="Z112" i="4"/>
  <c r="AA112" i="4"/>
  <c r="AT111" i="4" s="1"/>
  <c r="AW110" i="4"/>
  <c r="CQ64" i="4"/>
  <c r="G83" i="4" s="1"/>
  <c r="AO138" i="5"/>
  <c r="BU138" i="5"/>
  <c r="AK138" i="5"/>
  <c r="AI138" i="5"/>
  <c r="BV65" i="4"/>
  <c r="BX65" i="4" s="1"/>
  <c r="CK65" i="4" s="1"/>
  <c r="CL65" i="4" s="1"/>
  <c r="BR66" i="4"/>
  <c r="BS78" i="4" s="1"/>
  <c r="BT90" i="4" s="1"/>
  <c r="BU102" i="4" s="1"/>
  <c r="F129" i="5"/>
  <c r="R129" i="5" s="1"/>
  <c r="AD141" i="5"/>
  <c r="AC142" i="5"/>
  <c r="BJ142" i="5"/>
  <c r="DA110" i="4"/>
  <c r="J137" i="5"/>
  <c r="V137" i="5" s="1"/>
  <c r="CW111" i="4"/>
  <c r="CX111" i="4" s="1"/>
  <c r="DF111" i="4" s="1"/>
  <c r="CA111" i="4"/>
  <c r="CV112" i="4"/>
  <c r="CT112" i="4"/>
  <c r="CZ111" i="4" s="1"/>
  <c r="BP112" i="4"/>
  <c r="CY112" i="4"/>
  <c r="CS113" i="4" s="1"/>
  <c r="BI112" i="4"/>
  <c r="CA112" i="4" s="1"/>
  <c r="X112" i="4"/>
  <c r="K131" i="4" s="1"/>
  <c r="DH108" i="4"/>
  <c r="I127" i="4" s="1"/>
  <c r="DL138" i="5"/>
  <c r="DZ138" i="5"/>
  <c r="EA136" i="5"/>
  <c r="I136" i="5"/>
  <c r="U136" i="5" s="1"/>
  <c r="H136" i="5"/>
  <c r="T136" i="5" s="1"/>
  <c r="CX138" i="5"/>
  <c r="CY135" i="5"/>
  <c r="CZ135" i="5"/>
  <c r="G136" i="5" s="1"/>
  <c r="S136" i="5" s="1"/>
  <c r="N138" i="5"/>
  <c r="DD109" i="4"/>
  <c r="DE109" i="4" s="1"/>
  <c r="H128" i="4" s="1"/>
  <c r="DG110" i="4"/>
  <c r="DT137" i="5"/>
  <c r="DU137" i="5" s="1"/>
  <c r="CR137" i="5"/>
  <c r="CS137" i="5" s="1"/>
  <c r="DI136" i="5"/>
  <c r="DJ136" i="5" s="1"/>
  <c r="DW136" i="5"/>
  <c r="DX136" i="5" s="1"/>
  <c r="EB136" i="5" s="1"/>
  <c r="DF137" i="5"/>
  <c r="DG137" i="5" s="1"/>
  <c r="CP138" i="5"/>
  <c r="CQ138" i="5"/>
  <c r="CO138" i="5"/>
  <c r="CW137" i="5" s="1"/>
  <c r="CN138" i="5"/>
  <c r="DV138" i="5"/>
  <c r="CT138" i="5"/>
  <c r="B139" i="5"/>
  <c r="DH138" i="5"/>
  <c r="BY138" i="5"/>
  <c r="CD138" i="5" s="1"/>
  <c r="AA139" i="5"/>
  <c r="AB138" i="5"/>
  <c r="K139" i="5" s="1"/>
  <c r="W139" i="5" s="1"/>
  <c r="DR138" i="5"/>
  <c r="DP138" i="5"/>
  <c r="DQ138" i="5"/>
  <c r="DY137" i="5" s="1"/>
  <c r="DS138" i="5"/>
  <c r="CU136" i="5"/>
  <c r="CV136" i="5" s="1"/>
  <c r="DD138" i="5"/>
  <c r="DB138" i="5"/>
  <c r="DE138" i="5"/>
  <c r="DB110" i="4"/>
  <c r="DC110" i="4" s="1"/>
  <c r="BM70" i="4"/>
  <c r="BO70" i="4" s="1"/>
  <c r="BQ70" i="4" s="1"/>
  <c r="BL71" i="4"/>
  <c r="CU112" i="4"/>
  <c r="W113" i="4"/>
  <c r="C131" i="4"/>
  <c r="CL134" i="5" l="1"/>
  <c r="CK134" i="5"/>
  <c r="CG139" i="5"/>
  <c r="CF139" i="5"/>
  <c r="CJ139" i="5"/>
  <c r="BA139" i="5"/>
  <c r="BE139" i="5"/>
  <c r="BB139" i="5"/>
  <c r="AY139" i="5"/>
  <c r="BZ139" i="5"/>
  <c r="CA139" i="5"/>
  <c r="AX131" i="5"/>
  <c r="AZ131" i="5" s="1"/>
  <c r="AW132" i="5"/>
  <c r="BB132" i="5"/>
  <c r="AU133" i="5"/>
  <c r="CC135" i="5"/>
  <c r="CE135" i="5" s="1"/>
  <c r="CH135" i="5" s="1"/>
  <c r="CB136" i="5"/>
  <c r="BD130" i="5"/>
  <c r="BF130" i="5" s="1"/>
  <c r="BC130" i="5"/>
  <c r="BG130" i="5" s="1"/>
  <c r="D131" i="5" s="1"/>
  <c r="P131" i="5" s="1"/>
  <c r="AC113" i="4"/>
  <c r="BQ139" i="5"/>
  <c r="BK140" i="5" s="1"/>
  <c r="BO139" i="5"/>
  <c r="BN139" i="5"/>
  <c r="J131" i="4"/>
  <c r="BR129" i="5"/>
  <c r="BS129" i="5" s="1"/>
  <c r="BW129" i="5" s="1"/>
  <c r="E130" i="5" s="1"/>
  <c r="Q130" i="5" s="1"/>
  <c r="BL132" i="5"/>
  <c r="BT131" i="5" s="1"/>
  <c r="BV130" i="5"/>
  <c r="BP131" i="5"/>
  <c r="BM132" i="5"/>
  <c r="DC138" i="5"/>
  <c r="DK137" i="5" s="1"/>
  <c r="DM137" i="5" s="1"/>
  <c r="AL139" i="5"/>
  <c r="AQ112" i="4"/>
  <c r="AD112" i="4"/>
  <c r="AW111" i="4"/>
  <c r="BN112" i="4"/>
  <c r="AE109" i="4"/>
  <c r="AG109" i="4" s="1"/>
  <c r="AB110" i="4"/>
  <c r="Z113" i="4"/>
  <c r="AA113" i="4"/>
  <c r="AT112" i="4" s="1"/>
  <c r="AF113" i="4"/>
  <c r="AU113" i="4"/>
  <c r="CE113" i="4"/>
  <c r="Y113" i="4"/>
  <c r="DA111" i="4"/>
  <c r="BU139" i="5"/>
  <c r="AO139" i="5"/>
  <c r="AK139" i="5"/>
  <c r="AI139" i="5"/>
  <c r="BY65" i="4"/>
  <c r="CO65" i="4" s="1"/>
  <c r="CP65" i="4" s="1"/>
  <c r="F130" i="5"/>
  <c r="R130" i="5" s="1"/>
  <c r="BV66" i="4"/>
  <c r="BX66" i="4" s="1"/>
  <c r="CC77" i="4"/>
  <c r="BZ77" i="4"/>
  <c r="CB77" i="4" s="1"/>
  <c r="CM65" i="4"/>
  <c r="AD142" i="5"/>
  <c r="AC143" i="5"/>
  <c r="BJ143" i="5"/>
  <c r="J138" i="5"/>
  <c r="V138" i="5" s="1"/>
  <c r="CT113" i="4"/>
  <c r="CZ112" i="4" s="1"/>
  <c r="CV113" i="4"/>
  <c r="CW112" i="4"/>
  <c r="CX112" i="4" s="1"/>
  <c r="DF112" i="4" s="1"/>
  <c r="BP113" i="4"/>
  <c r="CY113" i="4"/>
  <c r="CS114" i="4" s="1"/>
  <c r="BI113" i="4"/>
  <c r="BN113" i="4" s="1"/>
  <c r="X113" i="4"/>
  <c r="K132" i="4" s="1"/>
  <c r="DL139" i="5"/>
  <c r="DZ139" i="5"/>
  <c r="EA137" i="5"/>
  <c r="I137" i="5"/>
  <c r="U137" i="5" s="1"/>
  <c r="DN136" i="5"/>
  <c r="H137" i="5" s="1"/>
  <c r="T137" i="5" s="1"/>
  <c r="CY136" i="5"/>
  <c r="CZ136" i="5"/>
  <c r="G137" i="5" s="1"/>
  <c r="S137" i="5" s="1"/>
  <c r="CX139" i="5"/>
  <c r="N139" i="5"/>
  <c r="DH109" i="4"/>
  <c r="I128" i="4" s="1"/>
  <c r="DD110" i="4"/>
  <c r="DG111" i="4"/>
  <c r="CR138" i="5"/>
  <c r="CS138" i="5" s="1"/>
  <c r="DF138" i="5"/>
  <c r="DG138" i="5" s="1"/>
  <c r="DI138" i="5" s="1"/>
  <c r="DJ138" i="5" s="1"/>
  <c r="DT138" i="5"/>
  <c r="DU138" i="5" s="1"/>
  <c r="DE139" i="5"/>
  <c r="DD139" i="5"/>
  <c r="DB139" i="5"/>
  <c r="B140" i="5"/>
  <c r="A129" i="5" s="1"/>
  <c r="AA140" i="5"/>
  <c r="DV139" i="5"/>
  <c r="CT139" i="5"/>
  <c r="DH139" i="5"/>
  <c r="BY139" i="5"/>
  <c r="CD139" i="5" s="1"/>
  <c r="AB139" i="5"/>
  <c r="K140" i="5" s="1"/>
  <c r="W140" i="5" s="1"/>
  <c r="CN139" i="5"/>
  <c r="CQ139" i="5"/>
  <c r="CP139" i="5"/>
  <c r="CO139" i="5"/>
  <c r="CW138" i="5" s="1"/>
  <c r="DP139" i="5"/>
  <c r="DS139" i="5"/>
  <c r="DQ139" i="5"/>
  <c r="DY138" i="5" s="1"/>
  <c r="DR139" i="5"/>
  <c r="CU137" i="5"/>
  <c r="CV137" i="5" s="1"/>
  <c r="DW137" i="5"/>
  <c r="DX137" i="5" s="1"/>
  <c r="DI137" i="5"/>
  <c r="DJ137" i="5" s="1"/>
  <c r="DB111" i="4"/>
  <c r="DC111" i="4" s="1"/>
  <c r="BM71" i="4"/>
  <c r="BO71" i="4" s="1"/>
  <c r="BQ71" i="4" s="1"/>
  <c r="BL72" i="4"/>
  <c r="C132" i="4"/>
  <c r="W114" i="4"/>
  <c r="BQ114" i="4" s="1"/>
  <c r="CU113" i="4"/>
  <c r="CL135" i="5" l="1"/>
  <c r="CK135" i="5"/>
  <c r="J132" i="4"/>
  <c r="AX132" i="5"/>
  <c r="AZ132" i="5" s="1"/>
  <c r="AW133" i="5"/>
  <c r="BD131" i="5"/>
  <c r="BF131" i="5" s="1"/>
  <c r="BC131" i="5"/>
  <c r="BG131" i="5" s="1"/>
  <c r="D132" i="5" s="1"/>
  <c r="P132" i="5" s="1"/>
  <c r="AC114" i="4"/>
  <c r="CC136" i="5"/>
  <c r="CE136" i="5" s="1"/>
  <c r="CH136" i="5" s="1"/>
  <c r="CB137" i="5"/>
  <c r="BO140" i="5"/>
  <c r="BA140" i="5"/>
  <c r="AY140" i="5"/>
  <c r="CF140" i="5"/>
  <c r="CI140" i="5" s="1"/>
  <c r="CD140" i="5"/>
  <c r="CJ140" i="5"/>
  <c r="BE140" i="5"/>
  <c r="BB133" i="5"/>
  <c r="AU134" i="5"/>
  <c r="BR130" i="5"/>
  <c r="BS130" i="5" s="1"/>
  <c r="BW130" i="5" s="1"/>
  <c r="E131" i="5" s="1"/>
  <c r="Q131" i="5" s="1"/>
  <c r="DC139" i="5"/>
  <c r="DK138" i="5" s="1"/>
  <c r="DM138" i="5" s="1"/>
  <c r="BQ140" i="5"/>
  <c r="BK141" i="5" s="1"/>
  <c r="BP132" i="5"/>
  <c r="BM133" i="5"/>
  <c r="BL133" i="5"/>
  <c r="BT132" i="5" s="1"/>
  <c r="BV131" i="5"/>
  <c r="AQ113" i="4"/>
  <c r="AD113" i="4"/>
  <c r="DA112" i="4"/>
  <c r="AW112" i="4"/>
  <c r="Z114" i="4"/>
  <c r="AA114" i="4"/>
  <c r="AT113" i="4" s="1"/>
  <c r="AF114" i="4"/>
  <c r="Y114" i="4"/>
  <c r="AE110" i="4"/>
  <c r="AG110" i="4" s="1"/>
  <c r="AB111" i="4"/>
  <c r="AW108" i="4"/>
  <c r="BY66" i="4"/>
  <c r="CO66" i="4" s="1"/>
  <c r="CE66" i="4"/>
  <c r="CF66" i="4" s="1"/>
  <c r="CG66" i="4" s="1"/>
  <c r="CQ65" i="4"/>
  <c r="G84" i="4" s="1"/>
  <c r="BU140" i="5"/>
  <c r="AI140" i="5"/>
  <c r="AK140" i="5"/>
  <c r="AO140" i="5"/>
  <c r="CN65" i="4"/>
  <c r="F84" i="4" s="1"/>
  <c r="CK66" i="4"/>
  <c r="F131" i="5"/>
  <c r="R131" i="5" s="1"/>
  <c r="CC78" i="4"/>
  <c r="BZ78" i="4"/>
  <c r="CB78" i="4" s="1"/>
  <c r="AD143" i="5"/>
  <c r="AC144" i="5"/>
  <c r="BJ144" i="5"/>
  <c r="J139" i="5"/>
  <c r="V139" i="5" s="1"/>
  <c r="CW113" i="4"/>
  <c r="CX113" i="4" s="1"/>
  <c r="DF113" i="4" s="1"/>
  <c r="CA113" i="4"/>
  <c r="BP114" i="4"/>
  <c r="CY114" i="4"/>
  <c r="CS115" i="4" s="1"/>
  <c r="BI114" i="4"/>
  <c r="BN114" i="4" s="1"/>
  <c r="X114" i="4"/>
  <c r="K133" i="4" s="1"/>
  <c r="CV114" i="4"/>
  <c r="CT114" i="4"/>
  <c r="CZ113" i="4" s="1"/>
  <c r="DL140" i="5"/>
  <c r="DZ140" i="5"/>
  <c r="EA138" i="5"/>
  <c r="EB137" i="5"/>
  <c r="I138" i="5" s="1"/>
  <c r="U138" i="5" s="1"/>
  <c r="DN137" i="5"/>
  <c r="H138" i="5" s="1"/>
  <c r="T138" i="5" s="1"/>
  <c r="DN138" i="5"/>
  <c r="H139" i="5" s="1"/>
  <c r="T139" i="5" s="1"/>
  <c r="CY137" i="5"/>
  <c r="CZ137" i="5"/>
  <c r="G138" i="5" s="1"/>
  <c r="S138" i="5" s="1"/>
  <c r="CX140" i="5"/>
  <c r="N140" i="5"/>
  <c r="DE110" i="4"/>
  <c r="H129" i="4" s="1"/>
  <c r="DH110" i="4"/>
  <c r="I129" i="4" s="1"/>
  <c r="DD111" i="4"/>
  <c r="DG112" i="4"/>
  <c r="CR139" i="5"/>
  <c r="CS139" i="5" s="1"/>
  <c r="CQ140" i="5" s="1"/>
  <c r="DW138" i="5"/>
  <c r="DX138" i="5" s="1"/>
  <c r="DF139" i="5"/>
  <c r="DG139" i="5" s="1"/>
  <c r="DE140" i="5" s="1"/>
  <c r="DT139" i="5"/>
  <c r="DU139" i="5" s="1"/>
  <c r="B141" i="5"/>
  <c r="AA141" i="5"/>
  <c r="DV140" i="5"/>
  <c r="CT140" i="5"/>
  <c r="DH140" i="5"/>
  <c r="BY140" i="5"/>
  <c r="AB140" i="5"/>
  <c r="K141" i="5" s="1"/>
  <c r="W141" i="5" s="1"/>
  <c r="CU138" i="5"/>
  <c r="CV138" i="5" s="1"/>
  <c r="CO140" i="5"/>
  <c r="CW139" i="5" s="1"/>
  <c r="CN140" i="5"/>
  <c r="CP140" i="5"/>
  <c r="DD140" i="5"/>
  <c r="DB140" i="5"/>
  <c r="DQ140" i="5"/>
  <c r="DY139" i="5" s="1"/>
  <c r="DP140" i="5"/>
  <c r="DR140" i="5"/>
  <c r="DB112" i="4"/>
  <c r="DC112" i="4" s="1"/>
  <c r="BM72" i="4"/>
  <c r="BO72" i="4" s="1"/>
  <c r="BL73" i="4"/>
  <c r="W115" i="4"/>
  <c r="C133" i="4"/>
  <c r="CU114" i="4"/>
  <c r="J133" i="4" l="1"/>
  <c r="DC140" i="5"/>
  <c r="DK139" i="5" s="1"/>
  <c r="DM139" i="5" s="1"/>
  <c r="CL136" i="5"/>
  <c r="CK136" i="5"/>
  <c r="CC137" i="5"/>
  <c r="CE137" i="5" s="1"/>
  <c r="CH137" i="5" s="1"/>
  <c r="CB138" i="5"/>
  <c r="AX133" i="5"/>
  <c r="AZ133" i="5" s="1"/>
  <c r="AW134" i="5"/>
  <c r="BD132" i="5"/>
  <c r="BF132" i="5" s="1"/>
  <c r="BC132" i="5"/>
  <c r="BG132" i="5" s="1"/>
  <c r="D133" i="5" s="1"/>
  <c r="P133" i="5" s="1"/>
  <c r="BO141" i="5"/>
  <c r="BA141" i="5"/>
  <c r="CF141" i="5"/>
  <c r="CI141" i="5" s="1"/>
  <c r="CD141" i="5"/>
  <c r="CJ141" i="5"/>
  <c r="AY141" i="5"/>
  <c r="BE141" i="5"/>
  <c r="BB134" i="5"/>
  <c r="AU135" i="5"/>
  <c r="BR131" i="5"/>
  <c r="BS131" i="5" s="1"/>
  <c r="BW131" i="5" s="1"/>
  <c r="E132" i="5" s="1"/>
  <c r="Q132" i="5" s="1"/>
  <c r="BQ141" i="5"/>
  <c r="BK142" i="5" s="1"/>
  <c r="BV132" i="5"/>
  <c r="BL134" i="5"/>
  <c r="BT133" i="5" s="1"/>
  <c r="BM134" i="5"/>
  <c r="BP133" i="5"/>
  <c r="CD72" i="4"/>
  <c r="BQ72" i="4"/>
  <c r="AQ114" i="4"/>
  <c r="AD114" i="4"/>
  <c r="DA113" i="4"/>
  <c r="AW113" i="4"/>
  <c r="AA115" i="4"/>
  <c r="AT114" i="4" s="1"/>
  <c r="AE111" i="4"/>
  <c r="AG111" i="4" s="1"/>
  <c r="AB112" i="4"/>
  <c r="AF115" i="4"/>
  <c r="AU115" i="4"/>
  <c r="CE115" i="4"/>
  <c r="Y115" i="4"/>
  <c r="BN115" i="4"/>
  <c r="CP66" i="4"/>
  <c r="CL66" i="4"/>
  <c r="CM66" i="4" s="1"/>
  <c r="BU141" i="5"/>
  <c r="AK141" i="5"/>
  <c r="AO141" i="5"/>
  <c r="AI141" i="5"/>
  <c r="F132" i="5"/>
  <c r="R132" i="5" s="1"/>
  <c r="CH66" i="4"/>
  <c r="CI66" i="4" s="1"/>
  <c r="CJ66" i="4" s="1"/>
  <c r="CF67" i="4" s="1"/>
  <c r="AD144" i="5"/>
  <c r="AC145" i="5"/>
  <c r="BJ145" i="5"/>
  <c r="DF140" i="5"/>
  <c r="DG140" i="5" s="1"/>
  <c r="J140" i="5"/>
  <c r="V140" i="5" s="1"/>
  <c r="N141" i="5"/>
  <c r="CY115" i="4"/>
  <c r="CS116" i="4" s="1"/>
  <c r="BP115" i="4"/>
  <c r="BI115" i="4"/>
  <c r="X115" i="4"/>
  <c r="K134" i="4" s="1"/>
  <c r="CT115" i="4"/>
  <c r="CZ114" i="4" s="1"/>
  <c r="CW114" i="4"/>
  <c r="CX114" i="4" s="1"/>
  <c r="DF114" i="4" s="1"/>
  <c r="CA114" i="4"/>
  <c r="DL141" i="5"/>
  <c r="DZ141" i="5"/>
  <c r="EA139" i="5"/>
  <c r="EB138" i="5"/>
  <c r="I139" i="5" s="1"/>
  <c r="U139" i="5" s="1"/>
  <c r="CX141" i="5"/>
  <c r="CY138" i="5"/>
  <c r="CZ138" i="5"/>
  <c r="G139" i="5" s="1"/>
  <c r="S139" i="5" s="1"/>
  <c r="DH111" i="4"/>
  <c r="I130" i="4" s="1"/>
  <c r="DE111" i="4"/>
  <c r="H130" i="4" s="1"/>
  <c r="DD112" i="4"/>
  <c r="DT140" i="5"/>
  <c r="CR140" i="5"/>
  <c r="CS140" i="5" s="1"/>
  <c r="DI139" i="5"/>
  <c r="DJ139" i="5" s="1"/>
  <c r="DW139" i="5"/>
  <c r="DX139" i="5" s="1"/>
  <c r="CP141" i="5"/>
  <c r="CO141" i="5"/>
  <c r="CW140" i="5" s="1"/>
  <c r="CN141" i="5"/>
  <c r="CQ141" i="5"/>
  <c r="DH141" i="5"/>
  <c r="BY141" i="5"/>
  <c r="B142" i="5"/>
  <c r="AA142" i="5"/>
  <c r="DV141" i="5"/>
  <c r="CT141" i="5"/>
  <c r="AB141" i="5"/>
  <c r="K142" i="5" s="1"/>
  <c r="W142" i="5" s="1"/>
  <c r="DS140" i="5"/>
  <c r="DR141" i="5"/>
  <c r="DQ141" i="5"/>
  <c r="DY140" i="5" s="1"/>
  <c r="DP141" i="5"/>
  <c r="CU139" i="5"/>
  <c r="CV139" i="5" s="1"/>
  <c r="DE141" i="5"/>
  <c r="DD141" i="5"/>
  <c r="DC141" i="5"/>
  <c r="DK140" i="5" s="1"/>
  <c r="DB141" i="5"/>
  <c r="DG113" i="4"/>
  <c r="DB113" i="4"/>
  <c r="DC113" i="4" s="1"/>
  <c r="BM73" i="4"/>
  <c r="BO73" i="4" s="1"/>
  <c r="BQ73" i="4" s="1"/>
  <c r="BL74" i="4"/>
  <c r="CU115" i="4"/>
  <c r="W116" i="4"/>
  <c r="C134" i="4"/>
  <c r="B133" i="4" s="1"/>
  <c r="CK137" i="5" l="1"/>
  <c r="CL137" i="5"/>
  <c r="AX134" i="5"/>
  <c r="AZ134" i="5" s="1"/>
  <c r="AW135" i="5"/>
  <c r="BD133" i="5"/>
  <c r="BF133" i="5" s="1"/>
  <c r="BC133" i="5"/>
  <c r="BG133" i="5" s="1"/>
  <c r="D134" i="5" s="1"/>
  <c r="P134" i="5" s="1"/>
  <c r="CC138" i="5"/>
  <c r="CE138" i="5" s="1"/>
  <c r="CH138" i="5" s="1"/>
  <c r="CB139" i="5"/>
  <c r="CC139" i="5" s="1"/>
  <c r="CE139" i="5" s="1"/>
  <c r="BB135" i="5"/>
  <c r="AU136" i="5"/>
  <c r="BO142" i="5"/>
  <c r="CF142" i="5"/>
  <c r="CI142" i="5" s="1"/>
  <c r="CD142" i="5"/>
  <c r="AY142" i="5"/>
  <c r="BA142" i="5"/>
  <c r="BE142" i="5"/>
  <c r="CJ142" i="5"/>
  <c r="BR133" i="5"/>
  <c r="BS133" i="5" s="1"/>
  <c r="BW133" i="5" s="1"/>
  <c r="E134" i="5" s="1"/>
  <c r="Q134" i="5" s="1"/>
  <c r="BR132" i="5"/>
  <c r="BS132" i="5" s="1"/>
  <c r="BW132" i="5" s="1"/>
  <c r="E133" i="5" s="1"/>
  <c r="Q133" i="5" s="1"/>
  <c r="BQ142" i="5"/>
  <c r="BK143" i="5" s="1"/>
  <c r="BP134" i="5"/>
  <c r="BM135" i="5"/>
  <c r="BL135" i="5"/>
  <c r="BT134" i="5" s="1"/>
  <c r="BV133" i="5"/>
  <c r="AQ115" i="4"/>
  <c r="AD115" i="4"/>
  <c r="DA114" i="4"/>
  <c r="CQ66" i="4"/>
  <c r="G85" i="4" s="1"/>
  <c r="AA116" i="4"/>
  <c r="AT115" i="4" s="1"/>
  <c r="AE112" i="4"/>
  <c r="AG112" i="4" s="1"/>
  <c r="AB113" i="4"/>
  <c r="CE116" i="4"/>
  <c r="AU116" i="4"/>
  <c r="AF116" i="4"/>
  <c r="BN116" i="4"/>
  <c r="Y116" i="4"/>
  <c r="BU142" i="5"/>
  <c r="AK142" i="5"/>
  <c r="AO142" i="5"/>
  <c r="AI142" i="5"/>
  <c r="CG67" i="4"/>
  <c r="F133" i="5"/>
  <c r="R133" i="5" s="1"/>
  <c r="CN66" i="4"/>
  <c r="F85" i="4" s="1"/>
  <c r="BR67" i="4"/>
  <c r="BS79" i="4" s="1"/>
  <c r="BT91" i="4" s="1"/>
  <c r="BU103" i="4" s="1"/>
  <c r="AD145" i="5"/>
  <c r="AC146" i="5"/>
  <c r="BJ146" i="5"/>
  <c r="DT141" i="5"/>
  <c r="J141" i="5"/>
  <c r="V141" i="5" s="1"/>
  <c r="J134" i="4"/>
  <c r="CT116" i="4"/>
  <c r="CZ115" i="4" s="1"/>
  <c r="CW115" i="4"/>
  <c r="CA115" i="4"/>
  <c r="BP116" i="4"/>
  <c r="CY116" i="4"/>
  <c r="CS117" i="4" s="1"/>
  <c r="BI116" i="4"/>
  <c r="CA116" i="4" s="1"/>
  <c r="X116" i="4"/>
  <c r="K135" i="4" s="1"/>
  <c r="DL142" i="5"/>
  <c r="DZ142" i="5"/>
  <c r="EA140" i="5"/>
  <c r="EB139" i="5"/>
  <c r="I140" i="5" s="1"/>
  <c r="U140" i="5" s="1"/>
  <c r="DM140" i="5"/>
  <c r="DN139" i="5"/>
  <c r="H140" i="5" s="1"/>
  <c r="T140" i="5" s="1"/>
  <c r="CY139" i="5"/>
  <c r="CZ139" i="5"/>
  <c r="G140" i="5" s="1"/>
  <c r="S140" i="5" s="1"/>
  <c r="CX142" i="5"/>
  <c r="N142" i="5"/>
  <c r="DH112" i="4"/>
  <c r="I131" i="4" s="1"/>
  <c r="DE112" i="4"/>
  <c r="H131" i="4" s="1"/>
  <c r="DD113" i="4"/>
  <c r="CV115" i="4"/>
  <c r="CV116" i="4" s="1"/>
  <c r="DG114" i="4"/>
  <c r="DU140" i="5"/>
  <c r="DW140" i="5" s="1"/>
  <c r="DX140" i="5" s="1"/>
  <c r="DF141" i="5"/>
  <c r="DG141" i="5" s="1"/>
  <c r="CR141" i="5"/>
  <c r="CS141" i="5" s="1"/>
  <c r="DE142" i="5"/>
  <c r="DD142" i="5"/>
  <c r="DB142" i="5"/>
  <c r="DC142" i="5"/>
  <c r="DK141" i="5" s="1"/>
  <c r="DI140" i="5"/>
  <c r="DJ140" i="5" s="1"/>
  <c r="DR142" i="5"/>
  <c r="DQ142" i="5"/>
  <c r="DY141" i="5" s="1"/>
  <c r="DP142" i="5"/>
  <c r="B143" i="5"/>
  <c r="DH142" i="5"/>
  <c r="BY142" i="5"/>
  <c r="AA143" i="5"/>
  <c r="DV142" i="5"/>
  <c r="CT142" i="5"/>
  <c r="AB142" i="5"/>
  <c r="K143" i="5" s="1"/>
  <c r="W143" i="5" s="1"/>
  <c r="DS141" i="5"/>
  <c r="CU140" i="5"/>
  <c r="CV140" i="5" s="1"/>
  <c r="CQ142" i="5"/>
  <c r="CP142" i="5"/>
  <c r="CO142" i="5"/>
  <c r="CW141" i="5" s="1"/>
  <c r="CN142" i="5"/>
  <c r="DB114" i="4"/>
  <c r="DC114" i="4" s="1"/>
  <c r="BM74" i="4"/>
  <c r="BO74" i="4" s="1"/>
  <c r="BQ74" i="4" s="1"/>
  <c r="BL75" i="4"/>
  <c r="C135" i="4"/>
  <c r="W117" i="4"/>
  <c r="CU116" i="4"/>
  <c r="CL138" i="5" l="1"/>
  <c r="CK138" i="5"/>
  <c r="CH139" i="5"/>
  <c r="CI139" i="5" s="1"/>
  <c r="AX135" i="5"/>
  <c r="AZ135" i="5" s="1"/>
  <c r="AW136" i="5"/>
  <c r="BO143" i="5"/>
  <c r="CJ143" i="5"/>
  <c r="CF143" i="5"/>
  <c r="CI143" i="5" s="1"/>
  <c r="CD143" i="5"/>
  <c r="AY143" i="5"/>
  <c r="BE143" i="5"/>
  <c r="BA143" i="5"/>
  <c r="BB136" i="5"/>
  <c r="AU137" i="5"/>
  <c r="BD134" i="5"/>
  <c r="BF134" i="5" s="1"/>
  <c r="BC134" i="5"/>
  <c r="BG134" i="5" s="1"/>
  <c r="D135" i="5" s="1"/>
  <c r="P135" i="5" s="1"/>
  <c r="BQ143" i="5"/>
  <c r="BK144" i="5" s="1"/>
  <c r="BL136" i="5"/>
  <c r="BT135" i="5" s="1"/>
  <c r="BV134" i="5"/>
  <c r="BM136" i="5"/>
  <c r="BP135" i="5"/>
  <c r="DA115" i="4"/>
  <c r="AQ116" i="4"/>
  <c r="AD116" i="4"/>
  <c r="AA117" i="4"/>
  <c r="AT116" i="4" s="1"/>
  <c r="AE113" i="4"/>
  <c r="AG113" i="4" s="1"/>
  <c r="AB114" i="4"/>
  <c r="AF117" i="4"/>
  <c r="AU117" i="4"/>
  <c r="CE117" i="4"/>
  <c r="BN117" i="4"/>
  <c r="Y117" i="4"/>
  <c r="AW115" i="4"/>
  <c r="DU141" i="5"/>
  <c r="DW141" i="5" s="1"/>
  <c r="DX141" i="5" s="1"/>
  <c r="EB141" i="5" s="1"/>
  <c r="BU143" i="5"/>
  <c r="AO143" i="5"/>
  <c r="AK143" i="5"/>
  <c r="AI143" i="5"/>
  <c r="F134" i="5"/>
  <c r="R134" i="5" s="1"/>
  <c r="BV67" i="4"/>
  <c r="BX67" i="4" s="1"/>
  <c r="CK67" i="4" s="1"/>
  <c r="CL67" i="4" s="1"/>
  <c r="CH67" i="4"/>
  <c r="CI67" i="4" s="1"/>
  <c r="CJ67" i="4" s="1"/>
  <c r="CF68" i="4" s="1"/>
  <c r="AD146" i="5"/>
  <c r="AC147" i="5"/>
  <c r="BJ147" i="5"/>
  <c r="CR142" i="5"/>
  <c r="CS142" i="5" s="1"/>
  <c r="J142" i="5"/>
  <c r="V142" i="5" s="1"/>
  <c r="J135" i="4"/>
  <c r="CV117" i="4"/>
  <c r="CT117" i="4"/>
  <c r="CZ116" i="4" s="1"/>
  <c r="BP117" i="4"/>
  <c r="CY117" i="4"/>
  <c r="CS118" i="4" s="1"/>
  <c r="BI117" i="4"/>
  <c r="X117" i="4"/>
  <c r="K136" i="4" s="1"/>
  <c r="CW116" i="4"/>
  <c r="CX116" i="4" s="1"/>
  <c r="DF116" i="4" s="1"/>
  <c r="DL143" i="5"/>
  <c r="DZ143" i="5"/>
  <c r="EA141" i="5"/>
  <c r="EB140" i="5"/>
  <c r="I141" i="5" s="1"/>
  <c r="U141" i="5" s="1"/>
  <c r="DN140" i="5"/>
  <c r="H141" i="5" s="1"/>
  <c r="T141" i="5" s="1"/>
  <c r="DM141" i="5"/>
  <c r="CX143" i="5"/>
  <c r="CY140" i="5"/>
  <c r="CZ140" i="5"/>
  <c r="G141" i="5" s="1"/>
  <c r="S141" i="5" s="1"/>
  <c r="N143" i="5"/>
  <c r="DH113" i="4"/>
  <c r="I132" i="4" s="1"/>
  <c r="DE113" i="4"/>
  <c r="H132" i="4" s="1"/>
  <c r="DD114" i="4"/>
  <c r="DI141" i="5"/>
  <c r="DJ141" i="5" s="1"/>
  <c r="DT142" i="5"/>
  <c r="DF142" i="5"/>
  <c r="DG142" i="5" s="1"/>
  <c r="B144" i="5"/>
  <c r="DH143" i="5"/>
  <c r="BY143" i="5"/>
  <c r="AA144" i="5"/>
  <c r="CT143" i="5"/>
  <c r="DV143" i="5"/>
  <c r="AB143" i="5"/>
  <c r="K144" i="5" s="1"/>
  <c r="W144" i="5" s="1"/>
  <c r="CU141" i="5"/>
  <c r="CV141" i="5" s="1"/>
  <c r="CQ143" i="5"/>
  <c r="CP143" i="5"/>
  <c r="CO143" i="5"/>
  <c r="CW142" i="5" s="1"/>
  <c r="CN143" i="5"/>
  <c r="DR143" i="5"/>
  <c r="DQ143" i="5"/>
  <c r="DY142" i="5" s="1"/>
  <c r="DP143" i="5"/>
  <c r="DB143" i="5"/>
  <c r="DE143" i="5"/>
  <c r="DC143" i="5"/>
  <c r="DK142" i="5" s="1"/>
  <c r="DD143" i="5"/>
  <c r="DS142" i="5"/>
  <c r="CX115" i="4"/>
  <c r="DF115" i="4" s="1"/>
  <c r="BM75" i="4"/>
  <c r="BO75" i="4" s="1"/>
  <c r="BQ75" i="4" s="1"/>
  <c r="BL76" i="4"/>
  <c r="W118" i="4"/>
  <c r="C136" i="4"/>
  <c r="CU117" i="4"/>
  <c r="CK139" i="5" l="1"/>
  <c r="CL139" i="5"/>
  <c r="AX136" i="5"/>
  <c r="AZ136" i="5" s="1"/>
  <c r="AW137" i="5"/>
  <c r="BD135" i="5"/>
  <c r="BF135" i="5" s="1"/>
  <c r="BC135" i="5"/>
  <c r="BG135" i="5" s="1"/>
  <c r="D136" i="5" s="1"/>
  <c r="P136" i="5" s="1"/>
  <c r="BB137" i="5"/>
  <c r="AU138" i="5"/>
  <c r="BO144" i="5"/>
  <c r="CF144" i="5"/>
  <c r="CI144" i="5" s="1"/>
  <c r="CD144" i="5"/>
  <c r="CJ144" i="5"/>
  <c r="BA144" i="5"/>
  <c r="AY144" i="5"/>
  <c r="BE144" i="5"/>
  <c r="BR134" i="5"/>
  <c r="BS134" i="5" s="1"/>
  <c r="BW134" i="5" s="1"/>
  <c r="E135" i="5" s="1"/>
  <c r="Q135" i="5" s="1"/>
  <c r="BQ144" i="5"/>
  <c r="BK145" i="5" s="1"/>
  <c r="BM137" i="5"/>
  <c r="BP136" i="5"/>
  <c r="BV135" i="5"/>
  <c r="BL137" i="5"/>
  <c r="BT136" i="5" s="1"/>
  <c r="DA116" i="4"/>
  <c r="AQ117" i="4"/>
  <c r="AD117" i="4"/>
  <c r="AW116" i="4"/>
  <c r="AU118" i="4"/>
  <c r="CE118" i="4"/>
  <c r="AF118" i="4"/>
  <c r="BN118" i="4"/>
  <c r="Y118" i="4"/>
  <c r="AA118" i="4"/>
  <c r="AT117" i="4" s="1"/>
  <c r="AE114" i="4"/>
  <c r="AB115" i="4"/>
  <c r="J136" i="4"/>
  <c r="BU144" i="5"/>
  <c r="AK144" i="5"/>
  <c r="AO144" i="5"/>
  <c r="AI144" i="5"/>
  <c r="BY67" i="4"/>
  <c r="CO67" i="4" s="1"/>
  <c r="CP67" i="4" s="1"/>
  <c r="CG68" i="4"/>
  <c r="F135" i="5"/>
  <c r="R135" i="5" s="1"/>
  <c r="BZ79" i="4"/>
  <c r="CB79" i="4" s="1"/>
  <c r="CC79" i="4"/>
  <c r="BR68" i="4"/>
  <c r="BS80" i="4" s="1"/>
  <c r="BT92" i="4" s="1"/>
  <c r="BU104" i="4" s="1"/>
  <c r="CM67" i="4"/>
  <c r="CN67" i="4" s="1"/>
  <c r="F86" i="4" s="1"/>
  <c r="AD147" i="5"/>
  <c r="AC148" i="5"/>
  <c r="BJ148" i="5"/>
  <c r="CR143" i="5"/>
  <c r="CS143" i="5" s="1"/>
  <c r="J143" i="5"/>
  <c r="V143" i="5" s="1"/>
  <c r="CW117" i="4"/>
  <c r="CX117" i="4" s="1"/>
  <c r="DF117" i="4" s="1"/>
  <c r="CA117" i="4"/>
  <c r="CT118" i="4"/>
  <c r="CZ117" i="4" s="1"/>
  <c r="CY118" i="4"/>
  <c r="CS119" i="4" s="1"/>
  <c r="BP118" i="4"/>
  <c r="BI118" i="4"/>
  <c r="X118" i="4"/>
  <c r="K137" i="4" s="1"/>
  <c r="CV118" i="4"/>
  <c r="DL144" i="5"/>
  <c r="DZ144" i="5"/>
  <c r="EA142" i="5"/>
  <c r="I142" i="5"/>
  <c r="U142" i="5" s="1"/>
  <c r="DM142" i="5"/>
  <c r="DN141" i="5"/>
  <c r="H142" i="5" s="1"/>
  <c r="T142" i="5" s="1"/>
  <c r="DU142" i="5"/>
  <c r="DW142" i="5" s="1"/>
  <c r="DX142" i="5" s="1"/>
  <c r="EB142" i="5" s="1"/>
  <c r="CY141" i="5"/>
  <c r="CZ141" i="5"/>
  <c r="G142" i="5" s="1"/>
  <c r="S142" i="5" s="1"/>
  <c r="CX144" i="5"/>
  <c r="N144" i="5"/>
  <c r="DE114" i="4"/>
  <c r="H133" i="4" s="1"/>
  <c r="DH114" i="4"/>
  <c r="I133" i="4" s="1"/>
  <c r="DS143" i="5"/>
  <c r="DS144" i="5" s="1"/>
  <c r="DT143" i="5"/>
  <c r="DF143" i="5"/>
  <c r="DG143" i="5" s="1"/>
  <c r="DR144" i="5"/>
  <c r="DQ144" i="5"/>
  <c r="DY143" i="5" s="1"/>
  <c r="DP144" i="5"/>
  <c r="CQ144" i="5"/>
  <c r="CP144" i="5"/>
  <c r="CO144" i="5"/>
  <c r="CW143" i="5" s="1"/>
  <c r="CN144" i="5"/>
  <c r="DI142" i="5"/>
  <c r="DJ142" i="5" s="1"/>
  <c r="DC144" i="5"/>
  <c r="DK143" i="5" s="1"/>
  <c r="DB144" i="5"/>
  <c r="DD144" i="5"/>
  <c r="DE144" i="5"/>
  <c r="CU142" i="5"/>
  <c r="CV142" i="5" s="1"/>
  <c r="B145" i="5"/>
  <c r="DH144" i="5"/>
  <c r="BY144" i="5"/>
  <c r="AA145" i="5"/>
  <c r="DV144" i="5"/>
  <c r="CT144" i="5"/>
  <c r="AB144" i="5"/>
  <c r="K145" i="5" s="1"/>
  <c r="W145" i="5" s="1"/>
  <c r="DG116" i="4"/>
  <c r="DG115" i="4"/>
  <c r="DB115" i="4"/>
  <c r="DC115" i="4" s="1"/>
  <c r="DB116" i="4"/>
  <c r="DC116" i="4" s="1"/>
  <c r="BM76" i="4"/>
  <c r="BO76" i="4" s="1"/>
  <c r="BQ76" i="4" s="1"/>
  <c r="BL77" i="4"/>
  <c r="CU118" i="4"/>
  <c r="C137" i="4"/>
  <c r="W119" i="4"/>
  <c r="BZ140" i="5" l="1"/>
  <c r="BZ141" i="5" s="1"/>
  <c r="BZ142" i="5" s="1"/>
  <c r="BZ143" i="5" s="1"/>
  <c r="BZ144" i="5" s="1"/>
  <c r="BZ145" i="5" s="1"/>
  <c r="CK140" i="5"/>
  <c r="CK141" i="5" s="1"/>
  <c r="CA140" i="5"/>
  <c r="CA141" i="5" s="1"/>
  <c r="CA142" i="5" s="1"/>
  <c r="CA143" i="5" s="1"/>
  <c r="CA144" i="5" s="1"/>
  <c r="CA145" i="5" s="1"/>
  <c r="AX137" i="5"/>
  <c r="AZ137" i="5" s="1"/>
  <c r="AW138" i="5"/>
  <c r="BD136" i="5"/>
  <c r="BF136" i="5" s="1"/>
  <c r="BC136" i="5"/>
  <c r="BG136" i="5" s="1"/>
  <c r="D137" i="5" s="1"/>
  <c r="P137" i="5" s="1"/>
  <c r="BO145" i="5"/>
  <c r="CF145" i="5"/>
  <c r="CI145" i="5" s="1"/>
  <c r="CD145" i="5"/>
  <c r="BA145" i="5"/>
  <c r="CJ145" i="5"/>
  <c r="BE145" i="5"/>
  <c r="AY145" i="5"/>
  <c r="BB138" i="5"/>
  <c r="AU139" i="5"/>
  <c r="AG114" i="4"/>
  <c r="AC115" i="4"/>
  <c r="AC116" i="4" s="1"/>
  <c r="AC117" i="4" s="1"/>
  <c r="AC118" i="4" s="1"/>
  <c r="AC119" i="4" s="1"/>
  <c r="BR135" i="5"/>
  <c r="BS135" i="5" s="1"/>
  <c r="BW135" i="5" s="1"/>
  <c r="E136" i="5" s="1"/>
  <c r="Q136" i="5" s="1"/>
  <c r="BQ145" i="5"/>
  <c r="BK146" i="5" s="1"/>
  <c r="BP137" i="5"/>
  <c r="BM138" i="5"/>
  <c r="BV136" i="5"/>
  <c r="BL138" i="5"/>
  <c r="BT137" i="5" s="1"/>
  <c r="DA117" i="4"/>
  <c r="AQ118" i="4"/>
  <c r="AD118" i="4"/>
  <c r="J137" i="4"/>
  <c r="AA119" i="4"/>
  <c r="AT118" i="4" s="1"/>
  <c r="AW117" i="4"/>
  <c r="AB116" i="4"/>
  <c r="AF119" i="4"/>
  <c r="CE119" i="4"/>
  <c r="AU119" i="4"/>
  <c r="BN119" i="4"/>
  <c r="Y119" i="4"/>
  <c r="Z115" i="4"/>
  <c r="BU145" i="5"/>
  <c r="AK145" i="5"/>
  <c r="AO145" i="5"/>
  <c r="AI145" i="5"/>
  <c r="CQ67" i="4"/>
  <c r="G86" i="4" s="1"/>
  <c r="BV68" i="4"/>
  <c r="BX68" i="4" s="1"/>
  <c r="CK68" i="4" s="1"/>
  <c r="CL68" i="4" s="1"/>
  <c r="CH68" i="4"/>
  <c r="CI68" i="4" s="1"/>
  <c r="CJ68" i="4" s="1"/>
  <c r="CF69" i="4" s="1"/>
  <c r="F136" i="5"/>
  <c r="R136" i="5" s="1"/>
  <c r="AD148" i="5"/>
  <c r="AC149" i="5"/>
  <c r="BJ149" i="5"/>
  <c r="DT144" i="5"/>
  <c r="DU144" i="5" s="1"/>
  <c r="J144" i="5"/>
  <c r="V144" i="5" s="1"/>
  <c r="CW118" i="4"/>
  <c r="CX118" i="4" s="1"/>
  <c r="DF118" i="4" s="1"/>
  <c r="CA118" i="4"/>
  <c r="CY119" i="4"/>
  <c r="CS120" i="4" s="1"/>
  <c r="BP119" i="4"/>
  <c r="BI119" i="4"/>
  <c r="X119" i="4"/>
  <c r="K138" i="4" s="1"/>
  <c r="CT119" i="4"/>
  <c r="CZ118" i="4" s="1"/>
  <c r="CV119" i="4"/>
  <c r="DL145" i="5"/>
  <c r="DZ145" i="5"/>
  <c r="EA143" i="5"/>
  <c r="I143" i="5"/>
  <c r="U143" i="5" s="1"/>
  <c r="DM143" i="5"/>
  <c r="DN142" i="5"/>
  <c r="H143" i="5" s="1"/>
  <c r="T143" i="5" s="1"/>
  <c r="CY142" i="5"/>
  <c r="CZ142" i="5"/>
  <c r="G143" i="5" s="1"/>
  <c r="S143" i="5" s="1"/>
  <c r="CX145" i="5"/>
  <c r="N145" i="5"/>
  <c r="DD115" i="4"/>
  <c r="DB117" i="4"/>
  <c r="DC117" i="4" s="1"/>
  <c r="DU143" i="5"/>
  <c r="DW143" i="5" s="1"/>
  <c r="DX143" i="5" s="1"/>
  <c r="CR144" i="5"/>
  <c r="CS144" i="5" s="1"/>
  <c r="DF144" i="5"/>
  <c r="DG144" i="5" s="1"/>
  <c r="B146" i="5"/>
  <c r="DH145" i="5"/>
  <c r="BY145" i="5"/>
  <c r="AA146" i="5"/>
  <c r="DV145" i="5"/>
  <c r="CT145" i="5"/>
  <c r="AB145" i="5"/>
  <c r="K146" i="5" s="1"/>
  <c r="W146" i="5" s="1"/>
  <c r="DC145" i="5"/>
  <c r="DK144" i="5" s="1"/>
  <c r="DB145" i="5"/>
  <c r="DD145" i="5"/>
  <c r="DE145" i="5"/>
  <c r="CU143" i="5"/>
  <c r="CV143" i="5" s="1"/>
  <c r="CQ145" i="5"/>
  <c r="CP145" i="5"/>
  <c r="CO145" i="5"/>
  <c r="CW144" i="5" s="1"/>
  <c r="CN145" i="5"/>
  <c r="DS145" i="5"/>
  <c r="DR145" i="5"/>
  <c r="DQ145" i="5"/>
  <c r="DY144" i="5" s="1"/>
  <c r="DP145" i="5"/>
  <c r="DI143" i="5"/>
  <c r="DJ143" i="5" s="1"/>
  <c r="DN143" i="5" s="1"/>
  <c r="DG117" i="4"/>
  <c r="BM77" i="4"/>
  <c r="BO77" i="4" s="1"/>
  <c r="BQ77" i="4" s="1"/>
  <c r="BL78" i="4"/>
  <c r="CU119" i="4"/>
  <c r="W120" i="4"/>
  <c r="C138" i="4"/>
  <c r="CB140" i="5" l="1"/>
  <c r="CB141" i="5" s="1"/>
  <c r="BO146" i="5"/>
  <c r="AY146" i="5"/>
  <c r="CJ146" i="5"/>
  <c r="CF146" i="5"/>
  <c r="CI146" i="5" s="1"/>
  <c r="CD146" i="5"/>
  <c r="BE146" i="5"/>
  <c r="BA146" i="5"/>
  <c r="AX138" i="5"/>
  <c r="AZ138" i="5" s="1"/>
  <c r="AW139" i="5"/>
  <c r="AX139" i="5" s="1"/>
  <c r="AZ139" i="5" s="1"/>
  <c r="BD137" i="5"/>
  <c r="BF137" i="5" s="1"/>
  <c r="BC137" i="5"/>
  <c r="BG137" i="5" s="1"/>
  <c r="D138" i="5" s="1"/>
  <c r="P138" i="5" s="1"/>
  <c r="CA146" i="5"/>
  <c r="CK142" i="5"/>
  <c r="CC140" i="5"/>
  <c r="CE140" i="5" s="1"/>
  <c r="BZ146" i="5"/>
  <c r="AE115" i="4"/>
  <c r="AC120" i="4"/>
  <c r="BR136" i="5"/>
  <c r="BS136" i="5" s="1"/>
  <c r="BW136" i="5" s="1"/>
  <c r="E137" i="5" s="1"/>
  <c r="Q137" i="5" s="1"/>
  <c r="BQ146" i="5"/>
  <c r="BK147" i="5" s="1"/>
  <c r="BM139" i="5"/>
  <c r="BP139" i="5" s="1"/>
  <c r="BN140" i="5" s="1"/>
  <c r="BN141" i="5" s="1"/>
  <c r="BN142" i="5" s="1"/>
  <c r="BN143" i="5" s="1"/>
  <c r="BN144" i="5" s="1"/>
  <c r="BN145" i="5" s="1"/>
  <c r="BN146" i="5" s="1"/>
  <c r="BP138" i="5"/>
  <c r="BV137" i="5"/>
  <c r="BL139" i="5"/>
  <c r="BT138" i="5" s="1"/>
  <c r="DA118" i="4"/>
  <c r="J138" i="4"/>
  <c r="AQ119" i="4"/>
  <c r="AD119" i="4"/>
  <c r="Z116" i="4"/>
  <c r="AG115" i="4"/>
  <c r="AW118" i="4"/>
  <c r="AA120" i="4"/>
  <c r="AT119" i="4" s="1"/>
  <c r="AU120" i="4"/>
  <c r="AF120" i="4"/>
  <c r="CE120" i="4"/>
  <c r="BN120" i="4"/>
  <c r="Y120" i="4"/>
  <c r="AE116" i="4"/>
  <c r="AB117" i="4"/>
  <c r="BU146" i="5"/>
  <c r="AO146" i="5"/>
  <c r="AK146" i="5"/>
  <c r="AI146" i="5"/>
  <c r="BR69" i="4"/>
  <c r="BS81" i="4" s="1"/>
  <c r="BT93" i="4" s="1"/>
  <c r="BU105" i="4" s="1"/>
  <c r="CM68" i="4"/>
  <c r="CN68" i="4" s="1"/>
  <c r="F87" i="4" s="1"/>
  <c r="CG69" i="4"/>
  <c r="F137" i="5"/>
  <c r="R137" i="5" s="1"/>
  <c r="BY68" i="4"/>
  <c r="CO68" i="4" s="1"/>
  <c r="CP68" i="4" s="1"/>
  <c r="BZ80" i="4"/>
  <c r="CB80" i="4" s="1"/>
  <c r="CC80" i="4"/>
  <c r="AD149" i="5"/>
  <c r="AC150" i="5"/>
  <c r="BJ150" i="5"/>
  <c r="DT145" i="5"/>
  <c r="DU145" i="5" s="1"/>
  <c r="J145" i="5"/>
  <c r="V145" i="5" s="1"/>
  <c r="CW119" i="4"/>
  <c r="CX119" i="4" s="1"/>
  <c r="DF119" i="4" s="1"/>
  <c r="CA119" i="4"/>
  <c r="BP120" i="4"/>
  <c r="CY120" i="4"/>
  <c r="CS121" i="4" s="1"/>
  <c r="BI120" i="4"/>
  <c r="X120" i="4"/>
  <c r="K139" i="4" s="1"/>
  <c r="CV120" i="4"/>
  <c r="CT120" i="4"/>
  <c r="CZ119" i="4" s="1"/>
  <c r="DL146" i="5"/>
  <c r="DZ146" i="5"/>
  <c r="EA144" i="5"/>
  <c r="EB143" i="5"/>
  <c r="I144" i="5" s="1"/>
  <c r="U144" i="5" s="1"/>
  <c r="DM144" i="5"/>
  <c r="H144" i="5"/>
  <c r="T144" i="5" s="1"/>
  <c r="CZ143" i="5"/>
  <c r="G144" i="5" s="1"/>
  <c r="S144" i="5" s="1"/>
  <c r="CY143" i="5"/>
  <c r="CX146" i="5"/>
  <c r="N146" i="5"/>
  <c r="DE115" i="4"/>
  <c r="H134" i="4" s="1"/>
  <c r="DD116" i="4"/>
  <c r="DE116" i="4" s="1"/>
  <c r="H135" i="4" s="1"/>
  <c r="DH115" i="4"/>
  <c r="I134" i="4" s="1"/>
  <c r="DG118" i="4"/>
  <c r="DF145" i="5"/>
  <c r="DG145" i="5" s="1"/>
  <c r="DI145" i="5" s="1"/>
  <c r="DJ145" i="5" s="1"/>
  <c r="DI144" i="5"/>
  <c r="DJ144" i="5" s="1"/>
  <c r="DW144" i="5"/>
  <c r="DX144" i="5" s="1"/>
  <c r="CU144" i="5"/>
  <c r="CV144" i="5" s="1"/>
  <c r="DD146" i="5"/>
  <c r="DC146" i="5"/>
  <c r="DK145" i="5" s="1"/>
  <c r="DB146" i="5"/>
  <c r="DE146" i="5"/>
  <c r="CQ146" i="5"/>
  <c r="CP146" i="5"/>
  <c r="CO146" i="5"/>
  <c r="CW145" i="5" s="1"/>
  <c r="CN146" i="5"/>
  <c r="DS146" i="5"/>
  <c r="DR146" i="5"/>
  <c r="DQ146" i="5"/>
  <c r="DY145" i="5" s="1"/>
  <c r="DP146" i="5"/>
  <c r="CR145" i="5"/>
  <c r="CS145" i="5" s="1"/>
  <c r="B147" i="5"/>
  <c r="DV146" i="5"/>
  <c r="CT146" i="5"/>
  <c r="DH146" i="5"/>
  <c r="BY146" i="5"/>
  <c r="AA147" i="5"/>
  <c r="AB146" i="5"/>
  <c r="K147" i="5" s="1"/>
  <c r="W147" i="5" s="1"/>
  <c r="DB118" i="4"/>
  <c r="DC118" i="4" s="1"/>
  <c r="BM78" i="4"/>
  <c r="BO78" i="4" s="1"/>
  <c r="CU120" i="4"/>
  <c r="W121" i="4"/>
  <c r="C139" i="4"/>
  <c r="BZ147" i="5" l="1"/>
  <c r="CK143" i="5"/>
  <c r="CC141" i="5"/>
  <c r="CE141" i="5" s="1"/>
  <c r="CB142" i="5"/>
  <c r="BD139" i="5"/>
  <c r="BC139" i="5"/>
  <c r="CG140" i="5"/>
  <c r="CH140" i="5" s="1"/>
  <c r="CL140" i="5" s="1"/>
  <c r="BD138" i="5"/>
  <c r="BF138" i="5" s="1"/>
  <c r="BC138" i="5"/>
  <c r="BG138" i="5" s="1"/>
  <c r="D139" i="5" s="1"/>
  <c r="P139" i="5" s="1"/>
  <c r="CA147" i="5"/>
  <c r="BO147" i="5"/>
  <c r="CJ147" i="5"/>
  <c r="CF147" i="5"/>
  <c r="CI147" i="5" s="1"/>
  <c r="CD147" i="5"/>
  <c r="AY147" i="5"/>
  <c r="BE147" i="5"/>
  <c r="BA147" i="5"/>
  <c r="BN147" i="5"/>
  <c r="AC121" i="4"/>
  <c r="BR137" i="5"/>
  <c r="BS137" i="5" s="1"/>
  <c r="BW137" i="5" s="1"/>
  <c r="E138" i="5" s="1"/>
  <c r="Q138" i="5" s="1"/>
  <c r="BR139" i="5"/>
  <c r="BS139" i="5" s="1"/>
  <c r="BQ147" i="5"/>
  <c r="BK148" i="5" s="1"/>
  <c r="J139" i="4"/>
  <c r="BL140" i="5"/>
  <c r="BT139" i="5" s="1"/>
  <c r="BV138" i="5"/>
  <c r="DA119" i="4"/>
  <c r="BJ79" i="4"/>
  <c r="BJ80" i="4" s="1"/>
  <c r="BQ78" i="4"/>
  <c r="AQ120" i="4"/>
  <c r="AD120" i="4"/>
  <c r="Z117" i="4"/>
  <c r="AG116" i="4"/>
  <c r="AW119" i="4"/>
  <c r="AA121" i="4"/>
  <c r="AT120" i="4" s="1"/>
  <c r="AE117" i="4"/>
  <c r="AB118" i="4"/>
  <c r="AF121" i="4"/>
  <c r="AU121" i="4"/>
  <c r="CE121" i="4"/>
  <c r="BN121" i="4"/>
  <c r="Y121" i="4"/>
  <c r="BV69" i="4"/>
  <c r="BX69" i="4" s="1"/>
  <c r="CK69" i="4" s="1"/>
  <c r="CL69" i="4" s="1"/>
  <c r="CM69" i="4" s="1"/>
  <c r="CN69" i="4" s="1"/>
  <c r="F88" i="4" s="1"/>
  <c r="BU147" i="5"/>
  <c r="AK147" i="5"/>
  <c r="AO147" i="5"/>
  <c r="AI147" i="5"/>
  <c r="F138" i="5"/>
  <c r="R138" i="5" s="1"/>
  <c r="BK79" i="4"/>
  <c r="CQ68" i="4"/>
  <c r="G87" i="4" s="1"/>
  <c r="CH69" i="4"/>
  <c r="CI69" i="4" s="1"/>
  <c r="CJ69" i="4" s="1"/>
  <c r="CF70" i="4" s="1"/>
  <c r="AD150" i="5"/>
  <c r="AC151" i="5"/>
  <c r="BJ151" i="5"/>
  <c r="DT146" i="5"/>
  <c r="DU146" i="5" s="1"/>
  <c r="J146" i="5"/>
  <c r="V146" i="5" s="1"/>
  <c r="CW120" i="4"/>
  <c r="CX120" i="4" s="1"/>
  <c r="DF120" i="4" s="1"/>
  <c r="CA120" i="4"/>
  <c r="BP121" i="4"/>
  <c r="CY121" i="4"/>
  <c r="CS122" i="4" s="1"/>
  <c r="BI121" i="4"/>
  <c r="X121" i="4"/>
  <c r="K140" i="4" s="1"/>
  <c r="CT121" i="4"/>
  <c r="CZ120" i="4" s="1"/>
  <c r="CV121" i="4"/>
  <c r="DL147" i="5"/>
  <c r="DZ147" i="5"/>
  <c r="EA145" i="5"/>
  <c r="EB144" i="5"/>
  <c r="I145" i="5" s="1"/>
  <c r="U145" i="5" s="1"/>
  <c r="DM145" i="5"/>
  <c r="DN145" i="5"/>
  <c r="H146" i="5" s="1"/>
  <c r="T146" i="5" s="1"/>
  <c r="DN144" i="5"/>
  <c r="H145" i="5" s="1"/>
  <c r="T145" i="5" s="1"/>
  <c r="CY144" i="5"/>
  <c r="CZ144" i="5"/>
  <c r="G145" i="5" s="1"/>
  <c r="S145" i="5" s="1"/>
  <c r="CX147" i="5"/>
  <c r="N147" i="5"/>
  <c r="DD117" i="4"/>
  <c r="DE117" i="4" s="1"/>
  <c r="H136" i="4" s="1"/>
  <c r="DH116" i="4"/>
  <c r="I135" i="4" s="1"/>
  <c r="DG119" i="4"/>
  <c r="B148" i="5"/>
  <c r="AA148" i="5"/>
  <c r="CT147" i="5"/>
  <c r="DV147" i="5"/>
  <c r="DH147" i="5"/>
  <c r="BY147" i="5"/>
  <c r="AB147" i="5"/>
  <c r="K148" i="5" s="1"/>
  <c r="W148" i="5" s="1"/>
  <c r="DF146" i="5"/>
  <c r="DG146" i="5" s="1"/>
  <c r="CR146" i="5"/>
  <c r="CS146" i="5" s="1"/>
  <c r="CU145" i="5"/>
  <c r="CV145" i="5" s="1"/>
  <c r="CQ147" i="5"/>
  <c r="CP147" i="5"/>
  <c r="CN147" i="5"/>
  <c r="CO147" i="5"/>
  <c r="CW146" i="5" s="1"/>
  <c r="DW145" i="5"/>
  <c r="DX145" i="5" s="1"/>
  <c r="EB145" i="5" s="1"/>
  <c r="DP147" i="5"/>
  <c r="DS147" i="5"/>
  <c r="DQ147" i="5"/>
  <c r="DY146" i="5" s="1"/>
  <c r="DR147" i="5"/>
  <c r="DE147" i="5"/>
  <c r="DD147" i="5"/>
  <c r="DC147" i="5"/>
  <c r="DK146" i="5" s="1"/>
  <c r="DB147" i="5"/>
  <c r="DB119" i="4"/>
  <c r="DC119" i="4" s="1"/>
  <c r="CU121" i="4"/>
  <c r="W122" i="4"/>
  <c r="C140" i="4"/>
  <c r="CK144" i="5" l="1"/>
  <c r="BG139" i="5"/>
  <c r="D140" i="5" s="1"/>
  <c r="P140" i="5" s="1"/>
  <c r="BF139" i="5"/>
  <c r="AV140" i="5" s="1"/>
  <c r="AV141" i="5" s="1"/>
  <c r="AV142" i="5" s="1"/>
  <c r="AV143" i="5" s="1"/>
  <c r="AV144" i="5" s="1"/>
  <c r="AV145" i="5" s="1"/>
  <c r="AV146" i="5" s="1"/>
  <c r="AV147" i="5" s="1"/>
  <c r="AV148" i="5" s="1"/>
  <c r="BO148" i="5"/>
  <c r="CF148" i="5"/>
  <c r="CI148" i="5" s="1"/>
  <c r="CD148" i="5"/>
  <c r="BA148" i="5"/>
  <c r="AY148" i="5"/>
  <c r="CJ148" i="5"/>
  <c r="BE148" i="5"/>
  <c r="CA148" i="5"/>
  <c r="CC142" i="5"/>
  <c r="CE142" i="5" s="1"/>
  <c r="CB143" i="5"/>
  <c r="CG141" i="5"/>
  <c r="CH141" i="5" s="1"/>
  <c r="CL141" i="5" s="1"/>
  <c r="BZ148" i="5"/>
  <c r="J140" i="4"/>
  <c r="AC122" i="4"/>
  <c r="BN148" i="5"/>
  <c r="BR138" i="5"/>
  <c r="BS138" i="5" s="1"/>
  <c r="BW138" i="5" s="1"/>
  <c r="E139" i="5" s="1"/>
  <c r="Q139" i="5" s="1"/>
  <c r="BW139" i="5"/>
  <c r="E140" i="5" s="1"/>
  <c r="Q140" i="5" s="1"/>
  <c r="DA120" i="4"/>
  <c r="BQ148" i="5"/>
  <c r="BK149" i="5" s="1"/>
  <c r="BL141" i="5"/>
  <c r="BT140" i="5" s="1"/>
  <c r="BJ81" i="4"/>
  <c r="BQ80" i="4"/>
  <c r="AQ121" i="4"/>
  <c r="AD121" i="4"/>
  <c r="BL79" i="4"/>
  <c r="BQ79" i="4"/>
  <c r="Z118" i="4"/>
  <c r="AG117" i="4"/>
  <c r="AA122" i="4"/>
  <c r="AT121" i="4" s="1"/>
  <c r="AE118" i="4"/>
  <c r="AB119" i="4"/>
  <c r="AF122" i="4"/>
  <c r="CE122" i="4"/>
  <c r="AU122" i="4"/>
  <c r="BN122" i="4"/>
  <c r="Y122" i="4"/>
  <c r="BM140" i="5"/>
  <c r="BK80" i="4"/>
  <c r="CD79" i="4" s="1"/>
  <c r="CD78" i="4"/>
  <c r="BY69" i="4"/>
  <c r="CO69" i="4" s="1"/>
  <c r="CP69" i="4" s="1"/>
  <c r="CC81" i="4"/>
  <c r="BZ81" i="4"/>
  <c r="CB81" i="4" s="1"/>
  <c r="BU148" i="5"/>
  <c r="AK148" i="5"/>
  <c r="AO148" i="5"/>
  <c r="AI148" i="5"/>
  <c r="F139" i="5"/>
  <c r="R139" i="5" s="1"/>
  <c r="CG70" i="4"/>
  <c r="BR70" i="4"/>
  <c r="BS82" i="4" s="1"/>
  <c r="BT94" i="4" s="1"/>
  <c r="BU106" i="4" s="1"/>
  <c r="AD151" i="5"/>
  <c r="AC152" i="5"/>
  <c r="BJ152" i="5"/>
  <c r="DF147" i="5"/>
  <c r="DG147" i="5" s="1"/>
  <c r="J147" i="5"/>
  <c r="V147" i="5" s="1"/>
  <c r="CW121" i="4"/>
  <c r="CX121" i="4" s="1"/>
  <c r="DF121" i="4" s="1"/>
  <c r="CA121" i="4"/>
  <c r="CY122" i="4"/>
  <c r="CS123" i="4" s="1"/>
  <c r="BP122" i="4"/>
  <c r="BI122" i="4"/>
  <c r="X122" i="4"/>
  <c r="K141" i="4" s="1"/>
  <c r="CV122" i="4"/>
  <c r="CT122" i="4"/>
  <c r="CZ121" i="4" s="1"/>
  <c r="DL148" i="5"/>
  <c r="DZ148" i="5"/>
  <c r="EA146" i="5"/>
  <c r="I146" i="5"/>
  <c r="U146" i="5" s="1"/>
  <c r="DM146" i="5"/>
  <c r="CZ145" i="5"/>
  <c r="G146" i="5" s="1"/>
  <c r="S146" i="5" s="1"/>
  <c r="CY145" i="5"/>
  <c r="CX148" i="5"/>
  <c r="N148" i="5"/>
  <c r="DH117" i="4"/>
  <c r="I136" i="4" s="1"/>
  <c r="DD118" i="4"/>
  <c r="DE118" i="4" s="1"/>
  <c r="H137" i="4" s="1"/>
  <c r="DG120" i="4"/>
  <c r="CU146" i="5"/>
  <c r="CV146" i="5" s="1"/>
  <c r="DD148" i="5"/>
  <c r="DB148" i="5"/>
  <c r="DC148" i="5"/>
  <c r="DK147" i="5" s="1"/>
  <c r="DE148" i="5"/>
  <c r="DI146" i="5"/>
  <c r="DJ146" i="5" s="1"/>
  <c r="DN146" i="5" s="1"/>
  <c r="B149" i="5"/>
  <c r="DV148" i="5"/>
  <c r="CT148" i="5"/>
  <c r="DH148" i="5"/>
  <c r="BY148" i="5"/>
  <c r="AA149" i="5"/>
  <c r="AB148" i="5"/>
  <c r="K149" i="5" s="1"/>
  <c r="W149" i="5" s="1"/>
  <c r="DT147" i="5"/>
  <c r="DU147" i="5" s="1"/>
  <c r="CR147" i="5"/>
  <c r="CS147" i="5" s="1"/>
  <c r="DQ148" i="5"/>
  <c r="DY147" i="5" s="1"/>
  <c r="DS148" i="5"/>
  <c r="DP148" i="5"/>
  <c r="DR148" i="5"/>
  <c r="DW146" i="5"/>
  <c r="DX146" i="5" s="1"/>
  <c r="EB146" i="5" s="1"/>
  <c r="CO148" i="5"/>
  <c r="CW147" i="5" s="1"/>
  <c r="CP148" i="5"/>
  <c r="CN148" i="5"/>
  <c r="CQ148" i="5"/>
  <c r="DB120" i="4"/>
  <c r="DC120" i="4" s="1"/>
  <c r="CU122" i="4"/>
  <c r="W123" i="4"/>
  <c r="C141" i="4"/>
  <c r="J141" i="4" l="1"/>
  <c r="E16" i="5"/>
  <c r="E32" i="5" s="1"/>
  <c r="CA149" i="5"/>
  <c r="BZ149" i="5"/>
  <c r="AV149" i="5"/>
  <c r="CK145" i="5"/>
  <c r="DA121" i="4"/>
  <c r="CC143" i="5"/>
  <c r="CE143" i="5" s="1"/>
  <c r="CB144" i="5"/>
  <c r="CG142" i="5"/>
  <c r="CH142" i="5" s="1"/>
  <c r="CL142" i="5" s="1"/>
  <c r="AU140" i="5"/>
  <c r="BO149" i="5"/>
  <c r="BA149" i="5"/>
  <c r="CF149" i="5"/>
  <c r="CD149" i="5"/>
  <c r="CJ149" i="5"/>
  <c r="BE149" i="5"/>
  <c r="AY149" i="5"/>
  <c r="AC123" i="4"/>
  <c r="BN149" i="5"/>
  <c r="BQ149" i="5"/>
  <c r="BK150" i="5" s="1"/>
  <c r="BL142" i="5"/>
  <c r="BT141" i="5" s="1"/>
  <c r="BL80" i="4"/>
  <c r="BM79" i="4"/>
  <c r="BO79" i="4" s="1"/>
  <c r="AQ122" i="4"/>
  <c r="AD122" i="4"/>
  <c r="BJ82" i="4"/>
  <c r="BQ81" i="4"/>
  <c r="Z119" i="4"/>
  <c r="AG118" i="4"/>
  <c r="BK81" i="4"/>
  <c r="CD80" i="4" s="1"/>
  <c r="AE119" i="4"/>
  <c r="AB120" i="4"/>
  <c r="AA123" i="4"/>
  <c r="AT122" i="4" s="1"/>
  <c r="AW121" i="4"/>
  <c r="AF123" i="4"/>
  <c r="AU123" i="4"/>
  <c r="CE123" i="4"/>
  <c r="Y123" i="4"/>
  <c r="BN123" i="4"/>
  <c r="BM141" i="5"/>
  <c r="BV139" i="5"/>
  <c r="CQ69" i="4"/>
  <c r="G88" i="4" s="1"/>
  <c r="BU149" i="5"/>
  <c r="AK149" i="5"/>
  <c r="AO149" i="5"/>
  <c r="AI149" i="5"/>
  <c r="F140" i="5"/>
  <c r="R140" i="5" s="1"/>
  <c r="BV70" i="4"/>
  <c r="BX70" i="4" s="1"/>
  <c r="CK70" i="4" s="1"/>
  <c r="CL70" i="4" s="1"/>
  <c r="CH70" i="4"/>
  <c r="CI70" i="4" s="1"/>
  <c r="CJ70" i="4" s="1"/>
  <c r="CF71" i="4" s="1"/>
  <c r="AD152" i="5"/>
  <c r="AC153" i="5"/>
  <c r="BJ153" i="5"/>
  <c r="DT148" i="5"/>
  <c r="DU148" i="5" s="1"/>
  <c r="J148" i="5"/>
  <c r="V148" i="5" s="1"/>
  <c r="DH118" i="4"/>
  <c r="I137" i="4" s="1"/>
  <c r="CW122" i="4"/>
  <c r="CX122" i="4" s="1"/>
  <c r="DF122" i="4" s="1"/>
  <c r="CA122" i="4"/>
  <c r="CY123" i="4"/>
  <c r="CS124" i="4" s="1"/>
  <c r="BP123" i="4"/>
  <c r="BI123" i="4"/>
  <c r="X123" i="4"/>
  <c r="K142" i="4" s="1"/>
  <c r="CT123" i="4"/>
  <c r="CZ122" i="4" s="1"/>
  <c r="CV123" i="4"/>
  <c r="DL149" i="5"/>
  <c r="DZ149" i="5"/>
  <c r="EA147" i="5"/>
  <c r="I147" i="5"/>
  <c r="U147" i="5" s="1"/>
  <c r="DM147" i="5"/>
  <c r="H147" i="5"/>
  <c r="T147" i="5" s="1"/>
  <c r="CX149" i="5"/>
  <c r="CY146" i="5"/>
  <c r="CZ146" i="5"/>
  <c r="G147" i="5" s="1"/>
  <c r="S147" i="5" s="1"/>
  <c r="N149" i="5"/>
  <c r="DD119" i="4"/>
  <c r="DE119" i="4" s="1"/>
  <c r="H138" i="4" s="1"/>
  <c r="DB121" i="4"/>
  <c r="DC121" i="4" s="1"/>
  <c r="DF148" i="5"/>
  <c r="DG148" i="5" s="1"/>
  <c r="DI148" i="5" s="1"/>
  <c r="DJ148" i="5" s="1"/>
  <c r="DW147" i="5"/>
  <c r="DX147" i="5" s="1"/>
  <c r="CU147" i="5"/>
  <c r="CV147" i="5" s="1"/>
  <c r="CP149" i="5"/>
  <c r="CQ149" i="5"/>
  <c r="CO149" i="5"/>
  <c r="CW148" i="5" s="1"/>
  <c r="CN149" i="5"/>
  <c r="DI147" i="5"/>
  <c r="DJ147" i="5" s="1"/>
  <c r="DR149" i="5"/>
  <c r="DP149" i="5"/>
  <c r="DQ149" i="5"/>
  <c r="DY148" i="5" s="1"/>
  <c r="DS149" i="5"/>
  <c r="DE149" i="5"/>
  <c r="DC149" i="5"/>
  <c r="DK148" i="5" s="1"/>
  <c r="DB149" i="5"/>
  <c r="DD149" i="5"/>
  <c r="CR148" i="5"/>
  <c r="CS148" i="5" s="1"/>
  <c r="B150" i="5"/>
  <c r="DH149" i="5"/>
  <c r="BY149" i="5"/>
  <c r="DV149" i="5"/>
  <c r="CT149" i="5"/>
  <c r="AA150" i="5"/>
  <c r="AB149" i="5"/>
  <c r="K150" i="5" s="1"/>
  <c r="W150" i="5" s="1"/>
  <c r="DG121" i="4"/>
  <c r="W124" i="4"/>
  <c r="C142" i="4"/>
  <c r="J142" i="4" s="1"/>
  <c r="CU123" i="4"/>
  <c r="DA122" i="4" l="1"/>
  <c r="BZ150" i="5"/>
  <c r="CI149" i="5"/>
  <c r="CK146" i="5"/>
  <c r="AU141" i="5"/>
  <c r="AW140" i="5"/>
  <c r="AV150" i="5"/>
  <c r="CC144" i="5"/>
  <c r="CE144" i="5" s="1"/>
  <c r="CB145" i="5"/>
  <c r="CA150" i="5"/>
  <c r="BO150" i="5"/>
  <c r="AY150" i="5"/>
  <c r="CF150" i="5"/>
  <c r="CI150" i="5" s="1"/>
  <c r="CD150" i="5"/>
  <c r="BE150" i="5"/>
  <c r="CJ150" i="5"/>
  <c r="BA150" i="5"/>
  <c r="AC124" i="4"/>
  <c r="CG143" i="5"/>
  <c r="CH143" i="5" s="1"/>
  <c r="CL143" i="5" s="1"/>
  <c r="BN150" i="5"/>
  <c r="BP140" i="5"/>
  <c r="BR140" i="5" s="1"/>
  <c r="BS140" i="5" s="1"/>
  <c r="BW140" i="5" s="1"/>
  <c r="E141" i="5" s="1"/>
  <c r="Q141" i="5" s="1"/>
  <c r="BQ150" i="5"/>
  <c r="BK151" i="5" s="1"/>
  <c r="BL143" i="5"/>
  <c r="BT142" i="5" s="1"/>
  <c r="BK82" i="4"/>
  <c r="CD81" i="4" s="1"/>
  <c r="BJ83" i="4"/>
  <c r="BQ82" i="4"/>
  <c r="AQ123" i="4"/>
  <c r="AD123" i="4"/>
  <c r="BM80" i="4"/>
  <c r="BO80" i="4" s="1"/>
  <c r="BL81" i="4"/>
  <c r="AG119" i="4"/>
  <c r="Z120" i="4"/>
  <c r="CE124" i="4"/>
  <c r="AU124" i="4"/>
  <c r="AF124" i="4"/>
  <c r="BN124" i="4"/>
  <c r="Y124" i="4"/>
  <c r="AA124" i="4"/>
  <c r="AT123" i="4" s="1"/>
  <c r="AW122" i="4"/>
  <c r="AE120" i="4"/>
  <c r="AB121" i="4"/>
  <c r="BV140" i="5"/>
  <c r="BM142" i="5"/>
  <c r="BU150" i="5"/>
  <c r="AO150" i="5"/>
  <c r="AK150" i="5"/>
  <c r="AI150" i="5"/>
  <c r="CC82" i="4"/>
  <c r="BZ82" i="4"/>
  <c r="CB82" i="4" s="1"/>
  <c r="CG71" i="4"/>
  <c r="CH71" i="4" s="1"/>
  <c r="CI71" i="4" s="1"/>
  <c r="CJ71" i="4" s="1"/>
  <c r="CF72" i="4" s="1"/>
  <c r="BR71" i="4"/>
  <c r="BS83" i="4" s="1"/>
  <c r="BT95" i="4" s="1"/>
  <c r="BU107" i="4" s="1"/>
  <c r="CM70" i="4"/>
  <c r="CN70" i="4" s="1"/>
  <c r="F89" i="4" s="1"/>
  <c r="BY70" i="4"/>
  <c r="CO70" i="4" s="1"/>
  <c r="CP70" i="4" s="1"/>
  <c r="AD153" i="5"/>
  <c r="AC154" i="5"/>
  <c r="BJ154" i="5"/>
  <c r="CR149" i="5"/>
  <c r="CS149" i="5" s="1"/>
  <c r="J149" i="5"/>
  <c r="V149" i="5" s="1"/>
  <c r="CW123" i="4"/>
  <c r="CX123" i="4" s="1"/>
  <c r="DF123" i="4" s="1"/>
  <c r="CA123" i="4"/>
  <c r="BP124" i="4"/>
  <c r="CY124" i="4"/>
  <c r="CS125" i="4" s="1"/>
  <c r="BI124" i="4"/>
  <c r="CA124" i="4" s="1"/>
  <c r="X124" i="4"/>
  <c r="K143" i="4" s="1"/>
  <c r="CV124" i="4"/>
  <c r="CT124" i="4"/>
  <c r="CZ123" i="4" s="1"/>
  <c r="DL150" i="5"/>
  <c r="DZ150" i="5"/>
  <c r="EA148" i="5"/>
  <c r="EB147" i="5"/>
  <c r="I148" i="5" s="1"/>
  <c r="U148" i="5" s="1"/>
  <c r="DM148" i="5"/>
  <c r="DN148" i="5"/>
  <c r="H149" i="5" s="1"/>
  <c r="T149" i="5" s="1"/>
  <c r="DN147" i="5"/>
  <c r="H148" i="5" s="1"/>
  <c r="T148" i="5" s="1"/>
  <c r="CY147" i="5"/>
  <c r="CZ147" i="5"/>
  <c r="G148" i="5" s="1"/>
  <c r="S148" i="5" s="1"/>
  <c r="CX150" i="5"/>
  <c r="DD120" i="4"/>
  <c r="DD121" i="4" s="1"/>
  <c r="DE121" i="4" s="1"/>
  <c r="H140" i="4" s="1"/>
  <c r="DH119" i="4"/>
  <c r="I138" i="4" s="1"/>
  <c r="N150" i="5"/>
  <c r="DG122" i="4"/>
  <c r="DF149" i="5"/>
  <c r="DG149" i="5" s="1"/>
  <c r="DT149" i="5"/>
  <c r="DU149" i="5" s="1"/>
  <c r="CU148" i="5"/>
  <c r="CV148" i="5" s="1"/>
  <c r="DP150" i="5"/>
  <c r="DS150" i="5"/>
  <c r="DR150" i="5"/>
  <c r="DQ150" i="5"/>
  <c r="DY149" i="5" s="1"/>
  <c r="DW148" i="5"/>
  <c r="DX148" i="5" s="1"/>
  <c r="B151" i="5"/>
  <c r="AA151" i="5"/>
  <c r="BY150" i="5"/>
  <c r="DV150" i="5"/>
  <c r="DH150" i="5"/>
  <c r="CT150" i="5"/>
  <c r="AB150" i="5"/>
  <c r="K151" i="5" s="1"/>
  <c r="W151" i="5" s="1"/>
  <c r="CN150" i="5"/>
  <c r="CQ150" i="5"/>
  <c r="CP150" i="5"/>
  <c r="CO150" i="5"/>
  <c r="CW149" i="5" s="1"/>
  <c r="DE150" i="5"/>
  <c r="DD150" i="5"/>
  <c r="DC150" i="5"/>
  <c r="DK149" i="5" s="1"/>
  <c r="DB150" i="5"/>
  <c r="DB122" i="4"/>
  <c r="DC122" i="4" s="1"/>
  <c r="W125" i="4"/>
  <c r="C143" i="4"/>
  <c r="J143" i="4" s="1"/>
  <c r="CU124" i="4"/>
  <c r="DA123" i="4" l="1"/>
  <c r="AV151" i="5"/>
  <c r="CK147" i="5"/>
  <c r="AC125" i="4"/>
  <c r="AX140" i="5"/>
  <c r="AZ140" i="5" s="1"/>
  <c r="AW141" i="5"/>
  <c r="BB141" i="5"/>
  <c r="AU142" i="5"/>
  <c r="CA151" i="5"/>
  <c r="CC145" i="5"/>
  <c r="CE145" i="5" s="1"/>
  <c r="CB146" i="5"/>
  <c r="CF151" i="5"/>
  <c r="CD151" i="5"/>
  <c r="CJ151" i="5"/>
  <c r="AY151" i="5"/>
  <c r="BA151" i="5"/>
  <c r="BE151" i="5"/>
  <c r="CG144" i="5"/>
  <c r="CH144" i="5" s="1"/>
  <c r="CL144" i="5" s="1"/>
  <c r="BZ151" i="5"/>
  <c r="BQ151" i="5"/>
  <c r="BO151" i="5"/>
  <c r="BN151" i="5"/>
  <c r="BP141" i="5"/>
  <c r="BR141" i="5" s="1"/>
  <c r="BS141" i="5" s="1"/>
  <c r="BW141" i="5" s="1"/>
  <c r="E142" i="5" s="1"/>
  <c r="Q142" i="5" s="1"/>
  <c r="BK83" i="4"/>
  <c r="CD82" i="4" s="1"/>
  <c r="BL144" i="5"/>
  <c r="BT143" i="5" s="1"/>
  <c r="AL151" i="5"/>
  <c r="BR151" i="5"/>
  <c r="BM81" i="4"/>
  <c r="BO81" i="4" s="1"/>
  <c r="BL82" i="4"/>
  <c r="AQ124" i="4"/>
  <c r="AD124" i="4"/>
  <c r="BJ84" i="4"/>
  <c r="BQ83" i="4"/>
  <c r="AG120" i="4"/>
  <c r="Z121" i="4"/>
  <c r="AE121" i="4"/>
  <c r="AB122" i="4"/>
  <c r="AF125" i="4"/>
  <c r="CE125" i="4"/>
  <c r="AU125" i="4"/>
  <c r="BN125" i="4"/>
  <c r="Y125" i="4"/>
  <c r="AW123" i="4"/>
  <c r="AA125" i="4"/>
  <c r="AT124" i="4" s="1"/>
  <c r="BM143" i="5"/>
  <c r="BV141" i="5"/>
  <c r="BU151" i="5"/>
  <c r="AK151" i="5"/>
  <c r="AO151" i="5"/>
  <c r="AI151" i="5"/>
  <c r="CG72" i="4"/>
  <c r="F141" i="5"/>
  <c r="R141" i="5" s="1"/>
  <c r="CQ70" i="4"/>
  <c r="G89" i="4" s="1"/>
  <c r="BV71" i="4"/>
  <c r="BX71" i="4" s="1"/>
  <c r="CK71" i="4" s="1"/>
  <c r="CL71" i="4" s="1"/>
  <c r="BR72" i="4"/>
  <c r="BS84" i="4" s="1"/>
  <c r="BT96" i="4" s="1"/>
  <c r="BU108" i="4" s="1"/>
  <c r="AD154" i="5"/>
  <c r="AC155" i="5"/>
  <c r="J150" i="5"/>
  <c r="V150" i="5" s="1"/>
  <c r="BJ155" i="5"/>
  <c r="DT150" i="5"/>
  <c r="DU150" i="5" s="1"/>
  <c r="CW124" i="4"/>
  <c r="CX124" i="4" s="1"/>
  <c r="DF124" i="4" s="1"/>
  <c r="CT125" i="4"/>
  <c r="CZ124" i="4" s="1"/>
  <c r="CV125" i="4"/>
  <c r="BP125" i="4"/>
  <c r="CY125" i="4"/>
  <c r="CS126" i="4" s="1"/>
  <c r="BI125" i="4"/>
  <c r="X125" i="4"/>
  <c r="K144" i="4" s="1"/>
  <c r="DL151" i="5"/>
  <c r="DZ151" i="5"/>
  <c r="EA149" i="5"/>
  <c r="EB148" i="5"/>
  <c r="I149" i="5" s="1"/>
  <c r="U149" i="5" s="1"/>
  <c r="DM149" i="5"/>
  <c r="CY148" i="5"/>
  <c r="CZ148" i="5"/>
  <c r="G149" i="5" s="1"/>
  <c r="S149" i="5" s="1"/>
  <c r="CX151" i="5"/>
  <c r="DE120" i="4"/>
  <c r="H139" i="4" s="1"/>
  <c r="DH120" i="4"/>
  <c r="I139" i="4" s="1"/>
  <c r="N151" i="5"/>
  <c r="DH121" i="4"/>
  <c r="I140" i="4" s="1"/>
  <c r="DD122" i="4"/>
  <c r="DB123" i="4"/>
  <c r="DC123" i="4" s="1"/>
  <c r="CR150" i="5"/>
  <c r="CS150" i="5" s="1"/>
  <c r="CO151" i="5"/>
  <c r="CW150" i="5" s="1"/>
  <c r="CN151" i="5"/>
  <c r="CQ151" i="5"/>
  <c r="CP151" i="5"/>
  <c r="DE151" i="5"/>
  <c r="DD151" i="5"/>
  <c r="DB151" i="5"/>
  <c r="DC151" i="5"/>
  <c r="DK150" i="5" s="1"/>
  <c r="CU149" i="5"/>
  <c r="CV149" i="5" s="1"/>
  <c r="DQ151" i="5"/>
  <c r="DY150" i="5" s="1"/>
  <c r="DP151" i="5"/>
  <c r="DS151" i="5"/>
  <c r="DR151" i="5"/>
  <c r="DW149" i="5"/>
  <c r="DX149" i="5" s="1"/>
  <c r="EB149" i="5" s="1"/>
  <c r="DI149" i="5"/>
  <c r="DJ149" i="5" s="1"/>
  <c r="DN149" i="5" s="1"/>
  <c r="DF150" i="5"/>
  <c r="DG150" i="5" s="1"/>
  <c r="B152" i="5"/>
  <c r="AA152" i="5"/>
  <c r="DV151" i="5"/>
  <c r="CT151" i="5"/>
  <c r="BY151" i="5"/>
  <c r="DH151" i="5"/>
  <c r="AB151" i="5"/>
  <c r="K152" i="5" s="1"/>
  <c r="W152" i="5" s="1"/>
  <c r="DG123" i="4"/>
  <c r="CU125" i="4"/>
  <c r="W126" i="4"/>
  <c r="AG126" i="4" s="1"/>
  <c r="C144" i="4"/>
  <c r="J144" i="4" s="1"/>
  <c r="DA124" i="4" l="1"/>
  <c r="CK148" i="5"/>
  <c r="BK84" i="4"/>
  <c r="CD83" i="4" s="1"/>
  <c r="CC146" i="5"/>
  <c r="CE146" i="5" s="1"/>
  <c r="CB147" i="5"/>
  <c r="BB140" i="5"/>
  <c r="BC140" i="5" s="1"/>
  <c r="BG140" i="5" s="1"/>
  <c r="D141" i="5" s="1"/>
  <c r="P141" i="5" s="1"/>
  <c r="BD140" i="5"/>
  <c r="BF140" i="5" s="1"/>
  <c r="BO152" i="5"/>
  <c r="CJ152" i="5"/>
  <c r="BA152" i="5"/>
  <c r="AY152" i="5"/>
  <c r="CF152" i="5"/>
  <c r="CI152" i="5" s="1"/>
  <c r="BE152" i="5"/>
  <c r="AC126" i="4"/>
  <c r="CG145" i="5"/>
  <c r="CH145" i="5" s="1"/>
  <c r="CL145" i="5" s="1"/>
  <c r="AX141" i="5"/>
  <c r="AZ141" i="5" s="1"/>
  <c r="AW142" i="5"/>
  <c r="AV152" i="5"/>
  <c r="AV153" i="5" s="1"/>
  <c r="BZ152" i="5"/>
  <c r="CG152" i="5" s="1"/>
  <c r="CA152" i="5"/>
  <c r="BB142" i="5"/>
  <c r="AU143" i="5"/>
  <c r="BP142" i="5"/>
  <c r="BR142" i="5" s="1"/>
  <c r="BS142" i="5" s="1"/>
  <c r="BW142" i="5" s="1"/>
  <c r="E143" i="5" s="1"/>
  <c r="Q143" i="5" s="1"/>
  <c r="BQ152" i="5"/>
  <c r="BL145" i="5"/>
  <c r="BT144" i="5" s="1"/>
  <c r="BJ85" i="4"/>
  <c r="BQ84" i="4"/>
  <c r="AQ125" i="4"/>
  <c r="AD125" i="4"/>
  <c r="BL83" i="4"/>
  <c r="BM82" i="4"/>
  <c r="BO82" i="4" s="1"/>
  <c r="AG121" i="4"/>
  <c r="Z122" i="4"/>
  <c r="AW124" i="4"/>
  <c r="AA126" i="4"/>
  <c r="AT125" i="4" s="1"/>
  <c r="AE122" i="4"/>
  <c r="AB123" i="4"/>
  <c r="AF126" i="4"/>
  <c r="BN126" i="4"/>
  <c r="Y126" i="4"/>
  <c r="BV142" i="5"/>
  <c r="BM144" i="5"/>
  <c r="AI152" i="5"/>
  <c r="AO152" i="5"/>
  <c r="AK152" i="5"/>
  <c r="BU152" i="5"/>
  <c r="BY71" i="4"/>
  <c r="CO71" i="4" s="1"/>
  <c r="CP71" i="4" s="1"/>
  <c r="F142" i="5"/>
  <c r="R142" i="5" s="1"/>
  <c r="BV72" i="4"/>
  <c r="BX72" i="4" s="1"/>
  <c r="CK72" i="4" s="1"/>
  <c r="CL72" i="4" s="1"/>
  <c r="BZ83" i="4"/>
  <c r="CB83" i="4" s="1"/>
  <c r="CC83" i="4"/>
  <c r="CH72" i="4"/>
  <c r="CI72" i="4" s="1"/>
  <c r="CJ72" i="4" s="1"/>
  <c r="CF73" i="4" s="1"/>
  <c r="CM71" i="4"/>
  <c r="J151" i="5"/>
  <c r="V151" i="5" s="1"/>
  <c r="AD155" i="5"/>
  <c r="AC156" i="5"/>
  <c r="BJ156" i="5"/>
  <c r="DF151" i="5"/>
  <c r="DG151" i="5" s="1"/>
  <c r="DE152" i="5" s="1"/>
  <c r="A141" i="5"/>
  <c r="CW125" i="4"/>
  <c r="CX125" i="4" s="1"/>
  <c r="DF125" i="4" s="1"/>
  <c r="CA125" i="4"/>
  <c r="CV126" i="4"/>
  <c r="CT126" i="4"/>
  <c r="CZ125" i="4" s="1"/>
  <c r="DA125" i="4" s="1"/>
  <c r="CY126" i="4"/>
  <c r="CS127" i="4" s="1"/>
  <c r="BP126" i="4"/>
  <c r="BI126" i="4"/>
  <c r="X126" i="4"/>
  <c r="K145" i="4" s="1"/>
  <c r="DL152" i="5"/>
  <c r="DZ152" i="5"/>
  <c r="EA150" i="5"/>
  <c r="I150" i="5"/>
  <c r="U150" i="5" s="1"/>
  <c r="DM150" i="5"/>
  <c r="H150" i="5"/>
  <c r="T150" i="5" s="1"/>
  <c r="CX152" i="5"/>
  <c r="CY149" i="5"/>
  <c r="CZ149" i="5"/>
  <c r="G150" i="5" s="1"/>
  <c r="S150" i="5" s="1"/>
  <c r="N152" i="5"/>
  <c r="DH122" i="4"/>
  <c r="I141" i="4" s="1"/>
  <c r="DE122" i="4"/>
  <c r="H141" i="4" s="1"/>
  <c r="DD123" i="4"/>
  <c r="DB124" i="4"/>
  <c r="DC124" i="4" s="1"/>
  <c r="DT151" i="5"/>
  <c r="DU151" i="5" s="1"/>
  <c r="DS152" i="5" s="1"/>
  <c r="DI150" i="5"/>
  <c r="DJ150" i="5" s="1"/>
  <c r="CR151" i="5"/>
  <c r="CS151" i="5" s="1"/>
  <c r="CQ152" i="5" s="1"/>
  <c r="B153" i="5"/>
  <c r="DH152" i="5"/>
  <c r="BY152" i="5"/>
  <c r="DF152" i="5" s="1"/>
  <c r="AA153" i="5"/>
  <c r="CT152" i="5"/>
  <c r="DV152" i="5"/>
  <c r="AB152" i="5"/>
  <c r="K153" i="5" s="1"/>
  <c r="W153" i="5" s="1"/>
  <c r="CP152" i="5"/>
  <c r="CO152" i="5"/>
  <c r="CW151" i="5" s="1"/>
  <c r="CN152" i="5"/>
  <c r="DR152" i="5"/>
  <c r="DQ152" i="5"/>
  <c r="DY151" i="5" s="1"/>
  <c r="DP152" i="5"/>
  <c r="DC152" i="5"/>
  <c r="DK151" i="5" s="1"/>
  <c r="DD152" i="5"/>
  <c r="DB152" i="5"/>
  <c r="CU150" i="5"/>
  <c r="CV150" i="5" s="1"/>
  <c r="DW150" i="5"/>
  <c r="DX150" i="5" s="1"/>
  <c r="EB150" i="5" s="1"/>
  <c r="DG124" i="4"/>
  <c r="W127" i="4"/>
  <c r="AD127" i="4" s="1"/>
  <c r="C145" i="4"/>
  <c r="J145" i="4" s="1"/>
  <c r="CU126" i="4"/>
  <c r="BK85" i="4" l="1"/>
  <c r="CK149" i="5"/>
  <c r="AX142" i="5"/>
  <c r="AZ142" i="5" s="1"/>
  <c r="AW143" i="5"/>
  <c r="BZ153" i="5"/>
  <c r="CG153" i="5" s="1"/>
  <c r="BB143" i="5"/>
  <c r="AU144" i="5"/>
  <c r="BD141" i="5"/>
  <c r="BF141" i="5" s="1"/>
  <c r="BC141" i="5"/>
  <c r="BG141" i="5" s="1"/>
  <c r="D142" i="5" s="1"/>
  <c r="P142" i="5" s="1"/>
  <c r="CC147" i="5"/>
  <c r="CE147" i="5" s="1"/>
  <c r="CB148" i="5"/>
  <c r="CA153" i="5"/>
  <c r="CG146" i="5"/>
  <c r="CH146" i="5" s="1"/>
  <c r="CL146" i="5" s="1"/>
  <c r="BO153" i="5"/>
  <c r="BA153" i="5"/>
  <c r="AV154" i="5" s="1"/>
  <c r="CJ153" i="5"/>
  <c r="CF153" i="5"/>
  <c r="CI153" i="5" s="1"/>
  <c r="AY153" i="5"/>
  <c r="BE153" i="5"/>
  <c r="CD152" i="5"/>
  <c r="BP143" i="5"/>
  <c r="BR143" i="5" s="1"/>
  <c r="BS143" i="5" s="1"/>
  <c r="BW143" i="5" s="1"/>
  <c r="E144" i="5" s="1"/>
  <c r="Q144" i="5" s="1"/>
  <c r="BQ153" i="5"/>
  <c r="BL146" i="5"/>
  <c r="BT145" i="5" s="1"/>
  <c r="BM83" i="4"/>
  <c r="BO83" i="4" s="1"/>
  <c r="BL84" i="4"/>
  <c r="AQ126" i="4"/>
  <c r="AD126" i="4"/>
  <c r="BJ86" i="4"/>
  <c r="BQ85" i="4"/>
  <c r="AG122" i="4"/>
  <c r="Z123" i="4"/>
  <c r="AU127" i="4"/>
  <c r="AF127" i="4"/>
  <c r="CE127" i="4"/>
  <c r="Y127" i="4"/>
  <c r="AQ127" i="4" s="1"/>
  <c r="AW125" i="4"/>
  <c r="AE123" i="4"/>
  <c r="AB124" i="4"/>
  <c r="BM145" i="5"/>
  <c r="BV143" i="5"/>
  <c r="CD84" i="4"/>
  <c r="BU153" i="5"/>
  <c r="AK153" i="5"/>
  <c r="AO153" i="5"/>
  <c r="AI153" i="5"/>
  <c r="CQ71" i="4"/>
  <c r="G90" i="4" s="1"/>
  <c r="BR73" i="4"/>
  <c r="BS85" i="4" s="1"/>
  <c r="BT97" i="4" s="1"/>
  <c r="BU109" i="4" s="1"/>
  <c r="CN71" i="4"/>
  <c r="F90" i="4" s="1"/>
  <c r="F143" i="5"/>
  <c r="R143" i="5" s="1"/>
  <c r="CC84" i="4"/>
  <c r="BZ84" i="4"/>
  <c r="CB84" i="4" s="1"/>
  <c r="BK86" i="4"/>
  <c r="CD85" i="4" s="1"/>
  <c r="CG73" i="4"/>
  <c r="BY72" i="4"/>
  <c r="CO72" i="4" s="1"/>
  <c r="CP72" i="4" s="1"/>
  <c r="CM72" i="4"/>
  <c r="CN72" i="4" s="1"/>
  <c r="F91" i="4" s="1"/>
  <c r="J152" i="5"/>
  <c r="V152" i="5" s="1"/>
  <c r="AD156" i="5"/>
  <c r="AC157" i="5"/>
  <c r="BJ157" i="5"/>
  <c r="N153" i="5"/>
  <c r="CT127" i="4"/>
  <c r="CZ126" i="4" s="1"/>
  <c r="DA126" i="4" s="1"/>
  <c r="CY127" i="4"/>
  <c r="CS128" i="4" s="1"/>
  <c r="BP127" i="4"/>
  <c r="BI127" i="4"/>
  <c r="BN127" i="4" s="1"/>
  <c r="X127" i="4"/>
  <c r="K146" i="4" s="1"/>
  <c r="CW126" i="4"/>
  <c r="CX126" i="4" s="1"/>
  <c r="DF126" i="4" s="1"/>
  <c r="CA126" i="4"/>
  <c r="DL153" i="5"/>
  <c r="DZ153" i="5"/>
  <c r="EA151" i="5"/>
  <c r="I151" i="5"/>
  <c r="U151" i="5" s="1"/>
  <c r="DM151" i="5"/>
  <c r="DN150" i="5"/>
  <c r="H151" i="5" s="1"/>
  <c r="T151" i="5" s="1"/>
  <c r="CX153" i="5"/>
  <c r="CZ150" i="5"/>
  <c r="G151" i="5" s="1"/>
  <c r="S151" i="5" s="1"/>
  <c r="CY150" i="5"/>
  <c r="DE123" i="4"/>
  <c r="H142" i="4" s="1"/>
  <c r="DH123" i="4"/>
  <c r="I142" i="4" s="1"/>
  <c r="DD124" i="4"/>
  <c r="DE124" i="4" s="1"/>
  <c r="H143" i="4" s="1"/>
  <c r="DB125" i="4"/>
  <c r="DC125" i="4" s="1"/>
  <c r="DG152" i="5"/>
  <c r="DI152" i="5" s="1"/>
  <c r="DJ152" i="5" s="1"/>
  <c r="CR152" i="5"/>
  <c r="CS152" i="5" s="1"/>
  <c r="CU152" i="5" s="1"/>
  <c r="CV152" i="5" s="1"/>
  <c r="DT152" i="5"/>
  <c r="DU152" i="5" s="1"/>
  <c r="DW152" i="5" s="1"/>
  <c r="DX152" i="5" s="1"/>
  <c r="DW151" i="5"/>
  <c r="DX151" i="5" s="1"/>
  <c r="DD153" i="5"/>
  <c r="DE153" i="5"/>
  <c r="DB153" i="5"/>
  <c r="DC153" i="5"/>
  <c r="DK152" i="5" s="1"/>
  <c r="DS153" i="5"/>
  <c r="DR153" i="5"/>
  <c r="DQ153" i="5"/>
  <c r="DY152" i="5" s="1"/>
  <c r="DP153" i="5"/>
  <c r="DI151" i="5"/>
  <c r="DJ151" i="5" s="1"/>
  <c r="DN151" i="5" s="1"/>
  <c r="B154" i="5"/>
  <c r="DH153" i="5"/>
  <c r="BY153" i="5"/>
  <c r="DF153" i="5" s="1"/>
  <c r="DV153" i="5"/>
  <c r="CT153" i="5"/>
  <c r="AA154" i="5"/>
  <c r="AB153" i="5"/>
  <c r="K154" i="5" s="1"/>
  <c r="W154" i="5" s="1"/>
  <c r="CU151" i="5"/>
  <c r="CV151" i="5" s="1"/>
  <c r="CQ153" i="5"/>
  <c r="CP153" i="5"/>
  <c r="CO153" i="5"/>
  <c r="CW152" i="5" s="1"/>
  <c r="CN153" i="5"/>
  <c r="DG125" i="4"/>
  <c r="W128" i="4"/>
  <c r="AD128" i="4" s="1"/>
  <c r="C146" i="4"/>
  <c r="B145" i="4" s="1"/>
  <c r="CU127" i="4"/>
  <c r="CK150" i="5" l="1"/>
  <c r="BB144" i="5"/>
  <c r="AU145" i="5"/>
  <c r="CD153" i="5"/>
  <c r="BO154" i="5"/>
  <c r="AY154" i="5"/>
  <c r="CF154" i="5"/>
  <c r="CI154" i="5" s="1"/>
  <c r="CJ154" i="5"/>
  <c r="BA154" i="5"/>
  <c r="BE154" i="5"/>
  <c r="BZ154" i="5"/>
  <c r="CG154" i="5" s="1"/>
  <c r="CA154" i="5"/>
  <c r="AV155" i="5"/>
  <c r="CC148" i="5"/>
  <c r="CE148" i="5" s="1"/>
  <c r="CB149" i="5"/>
  <c r="CG147" i="5"/>
  <c r="CH147" i="5" s="1"/>
  <c r="CL147" i="5" s="1"/>
  <c r="AX143" i="5"/>
  <c r="AZ143" i="5" s="1"/>
  <c r="AW144" i="5"/>
  <c r="BD142" i="5"/>
  <c r="BF142" i="5" s="1"/>
  <c r="BC142" i="5"/>
  <c r="BG142" i="5" s="1"/>
  <c r="D143" i="5" s="1"/>
  <c r="P143" i="5" s="1"/>
  <c r="BP144" i="5"/>
  <c r="BR144" i="5" s="1"/>
  <c r="BS144" i="5" s="1"/>
  <c r="BW144" i="5" s="1"/>
  <c r="E145" i="5" s="1"/>
  <c r="Q145" i="5" s="1"/>
  <c r="BQ154" i="5"/>
  <c r="BL147" i="5"/>
  <c r="BT146" i="5" s="1"/>
  <c r="BJ87" i="4"/>
  <c r="BQ86" i="4"/>
  <c r="BL85" i="4"/>
  <c r="BM84" i="4"/>
  <c r="BO84" i="4" s="1"/>
  <c r="AG123" i="4"/>
  <c r="Z124" i="4"/>
  <c r="AE124" i="4"/>
  <c r="AB125" i="4"/>
  <c r="CE128" i="4"/>
  <c r="AU128" i="4"/>
  <c r="AF128" i="4"/>
  <c r="Y128" i="4"/>
  <c r="AQ128" i="4" s="1"/>
  <c r="BV144" i="5"/>
  <c r="BM146" i="5"/>
  <c r="BP145" i="5"/>
  <c r="BV73" i="4"/>
  <c r="BX73" i="4" s="1"/>
  <c r="CK73" i="4" s="1"/>
  <c r="AO154" i="5"/>
  <c r="BU154" i="5"/>
  <c r="AK154" i="5"/>
  <c r="AI154" i="5"/>
  <c r="J153" i="5"/>
  <c r="V153" i="5" s="1"/>
  <c r="CQ72" i="4"/>
  <c r="G91" i="4" s="1"/>
  <c r="CC85" i="4"/>
  <c r="BZ85" i="4"/>
  <c r="CB85" i="4" s="1"/>
  <c r="BK87" i="4"/>
  <c r="CD86" i="4" s="1"/>
  <c r="CH73" i="4"/>
  <c r="CI73" i="4" s="1"/>
  <c r="CJ73" i="4" s="1"/>
  <c r="CF74" i="4" s="1"/>
  <c r="F144" i="5"/>
  <c r="R144" i="5" s="1"/>
  <c r="AD157" i="5"/>
  <c r="AC158" i="5"/>
  <c r="BJ158" i="5"/>
  <c r="J146" i="4"/>
  <c r="CW127" i="4"/>
  <c r="CA127" i="4"/>
  <c r="BP128" i="4"/>
  <c r="CY128" i="4"/>
  <c r="CS129" i="4" s="1"/>
  <c r="BI128" i="4"/>
  <c r="CA128" i="4" s="1"/>
  <c r="X128" i="4"/>
  <c r="K147" i="4" s="1"/>
  <c r="CT128" i="4"/>
  <c r="CZ127" i="4" s="1"/>
  <c r="DA127" i="4" s="1"/>
  <c r="DL154" i="5"/>
  <c r="DZ154" i="5"/>
  <c r="EB152" i="5"/>
  <c r="I153" i="5" s="1"/>
  <c r="U153" i="5" s="1"/>
  <c r="EA152" i="5"/>
  <c r="EB151" i="5"/>
  <c r="I152" i="5" s="1"/>
  <c r="U152" i="5" s="1"/>
  <c r="DM152" i="5"/>
  <c r="DN152" i="5"/>
  <c r="H153" i="5" s="1"/>
  <c r="T153" i="5" s="1"/>
  <c r="H152" i="5"/>
  <c r="T152" i="5" s="1"/>
  <c r="CX154" i="5"/>
  <c r="CY151" i="5"/>
  <c r="CZ151" i="5"/>
  <c r="G152" i="5" s="1"/>
  <c r="S152" i="5" s="1"/>
  <c r="N154" i="5"/>
  <c r="DD125" i="4"/>
  <c r="DE125" i="4" s="1"/>
  <c r="H144" i="4" s="1"/>
  <c r="DH124" i="4"/>
  <c r="I143" i="4" s="1"/>
  <c r="CV127" i="4"/>
  <c r="CV128" i="4" s="1"/>
  <c r="DG126" i="4"/>
  <c r="CR153" i="5"/>
  <c r="CS153" i="5" s="1"/>
  <c r="CU153" i="5" s="1"/>
  <c r="CV153" i="5" s="1"/>
  <c r="DT153" i="5"/>
  <c r="DU153" i="5" s="1"/>
  <c r="DV154" i="5"/>
  <c r="DH154" i="5"/>
  <c r="BY154" i="5"/>
  <c r="CD154" i="5" s="1"/>
  <c r="AA155" i="5"/>
  <c r="CT154" i="5"/>
  <c r="B155" i="5"/>
  <c r="AB154" i="5"/>
  <c r="K155" i="5" s="1"/>
  <c r="W155" i="5" s="1"/>
  <c r="DE154" i="5"/>
  <c r="DB154" i="5"/>
  <c r="DD154" i="5"/>
  <c r="DC154" i="5"/>
  <c r="DK153" i="5" s="1"/>
  <c r="DG153" i="5"/>
  <c r="CQ154" i="5"/>
  <c r="CO154" i="5"/>
  <c r="CW153" i="5" s="1"/>
  <c r="CN154" i="5"/>
  <c r="CP154" i="5"/>
  <c r="DS154" i="5"/>
  <c r="DR154" i="5"/>
  <c r="DP154" i="5"/>
  <c r="DQ154" i="5"/>
  <c r="DY153" i="5" s="1"/>
  <c r="DB126" i="4"/>
  <c r="DC126" i="4" s="1"/>
  <c r="CU128" i="4"/>
  <c r="W129" i="4"/>
  <c r="AD129" i="4" s="1"/>
  <c r="C147" i="4"/>
  <c r="BZ155" i="5" l="1"/>
  <c r="CG155" i="5" s="1"/>
  <c r="CC149" i="5"/>
  <c r="CE149" i="5" s="1"/>
  <c r="CB150" i="5"/>
  <c r="CG148" i="5"/>
  <c r="CH148" i="5" s="1"/>
  <c r="CL148" i="5" s="1"/>
  <c r="BB145" i="5"/>
  <c r="AU146" i="5"/>
  <c r="AX144" i="5"/>
  <c r="AZ144" i="5" s="1"/>
  <c r="AW145" i="5"/>
  <c r="BO155" i="5"/>
  <c r="CF155" i="5"/>
  <c r="CI155" i="5" s="1"/>
  <c r="CJ155" i="5"/>
  <c r="AY155" i="5"/>
  <c r="BE155" i="5"/>
  <c r="BA155" i="5"/>
  <c r="BD143" i="5"/>
  <c r="BF143" i="5" s="1"/>
  <c r="BC143" i="5"/>
  <c r="BG143" i="5" s="1"/>
  <c r="D144" i="5" s="1"/>
  <c r="P144" i="5" s="1"/>
  <c r="CA155" i="5"/>
  <c r="CA156" i="5" s="1"/>
  <c r="BV145" i="5"/>
  <c r="BR145" i="5"/>
  <c r="BS145" i="5" s="1"/>
  <c r="BW145" i="5" s="1"/>
  <c r="E146" i="5" s="1"/>
  <c r="Q146" i="5" s="1"/>
  <c r="BQ155" i="5"/>
  <c r="BL148" i="5"/>
  <c r="BT147" i="5" s="1"/>
  <c r="BL86" i="4"/>
  <c r="BM85" i="4"/>
  <c r="BO85" i="4" s="1"/>
  <c r="BJ88" i="4"/>
  <c r="BQ87" i="4"/>
  <c r="Z125" i="4"/>
  <c r="AG124" i="4"/>
  <c r="J154" i="5"/>
  <c r="V154" i="5" s="1"/>
  <c r="AE125" i="4"/>
  <c r="AB126" i="4"/>
  <c r="AE126" i="4" s="1"/>
  <c r="BN128" i="4"/>
  <c r="AF129" i="4"/>
  <c r="AU129" i="4"/>
  <c r="CE129" i="4"/>
  <c r="Y129" i="4"/>
  <c r="AQ129" i="4" s="1"/>
  <c r="BM147" i="5"/>
  <c r="CL73" i="4"/>
  <c r="CM73" i="4" s="1"/>
  <c r="BY73" i="4"/>
  <c r="CO73" i="4" s="1"/>
  <c r="CP73" i="4" s="1"/>
  <c r="BU155" i="5"/>
  <c r="AK155" i="5"/>
  <c r="AO155" i="5"/>
  <c r="AI155" i="5"/>
  <c r="BK88" i="4"/>
  <c r="CD87" i="4" s="1"/>
  <c r="F145" i="5"/>
  <c r="R145" i="5" s="1"/>
  <c r="CG74" i="4"/>
  <c r="BR74" i="4"/>
  <c r="BS86" i="4" s="1"/>
  <c r="BT98" i="4" s="1"/>
  <c r="BU110" i="4" s="1"/>
  <c r="AD158" i="5"/>
  <c r="AC159" i="5"/>
  <c r="BJ159" i="5"/>
  <c r="J147" i="4"/>
  <c r="CV129" i="4"/>
  <c r="CW128" i="4"/>
  <c r="CX128" i="4" s="1"/>
  <c r="DF128" i="4" s="1"/>
  <c r="BP129" i="4"/>
  <c r="CY129" i="4"/>
  <c r="CS130" i="4" s="1"/>
  <c r="BI129" i="4"/>
  <c r="BN129" i="4" s="1"/>
  <c r="X129" i="4"/>
  <c r="K148" i="4" s="1"/>
  <c r="CT129" i="4"/>
  <c r="DL155" i="5"/>
  <c r="DZ155" i="5"/>
  <c r="EA153" i="5"/>
  <c r="DM153" i="5"/>
  <c r="CY152" i="5"/>
  <c r="CZ152" i="5"/>
  <c r="G153" i="5" s="1"/>
  <c r="S153" i="5" s="1"/>
  <c r="CX155" i="5"/>
  <c r="N155" i="5"/>
  <c r="DH125" i="4"/>
  <c r="I144" i="4" s="1"/>
  <c r="DD126" i="4"/>
  <c r="DF154" i="5"/>
  <c r="DG154" i="5" s="1"/>
  <c r="DW153" i="5"/>
  <c r="DX153" i="5" s="1"/>
  <c r="EB153" i="5" s="1"/>
  <c r="DT154" i="5"/>
  <c r="DU154" i="5" s="1"/>
  <c r="CR154" i="5"/>
  <c r="CS154" i="5" s="1"/>
  <c r="DB155" i="5"/>
  <c r="DC155" i="5"/>
  <c r="DK154" i="5" s="1"/>
  <c r="DD155" i="5"/>
  <c r="DE155" i="5"/>
  <c r="B156" i="5"/>
  <c r="AA156" i="5"/>
  <c r="DH155" i="5"/>
  <c r="CT155" i="5"/>
  <c r="DV155" i="5"/>
  <c r="BY155" i="5"/>
  <c r="CR155" i="5" s="1"/>
  <c r="AB155" i="5"/>
  <c r="K156" i="5" s="1"/>
  <c r="W156" i="5" s="1"/>
  <c r="DI153" i="5"/>
  <c r="DJ153" i="5" s="1"/>
  <c r="CN155" i="5"/>
  <c r="CP155" i="5"/>
  <c r="CO155" i="5"/>
  <c r="CW154" i="5" s="1"/>
  <c r="CQ155" i="5"/>
  <c r="DR155" i="5"/>
  <c r="DQ155" i="5"/>
  <c r="DY154" i="5" s="1"/>
  <c r="DP155" i="5"/>
  <c r="DS155" i="5"/>
  <c r="CX127" i="4"/>
  <c r="DF127" i="4" s="1"/>
  <c r="C148" i="4"/>
  <c r="W130" i="4"/>
  <c r="AD130" i="4" s="1"/>
  <c r="CU129" i="4"/>
  <c r="AV156" i="5" l="1"/>
  <c r="CC150" i="5"/>
  <c r="CE150" i="5" s="1"/>
  <c r="CB151" i="5"/>
  <c r="AX145" i="5"/>
  <c r="AZ145" i="5" s="1"/>
  <c r="AW146" i="5"/>
  <c r="CG149" i="5"/>
  <c r="CH149" i="5" s="1"/>
  <c r="CL149" i="5" s="1"/>
  <c r="BD144" i="5"/>
  <c r="BF144" i="5" s="1"/>
  <c r="BC144" i="5"/>
  <c r="BG144" i="5" s="1"/>
  <c r="D145" i="5" s="1"/>
  <c r="P145" i="5" s="1"/>
  <c r="CD155" i="5"/>
  <c r="BB146" i="5"/>
  <c r="AU147" i="5"/>
  <c r="BO156" i="5"/>
  <c r="BA156" i="5"/>
  <c r="CF156" i="5"/>
  <c r="AY156" i="5"/>
  <c r="CJ156" i="5"/>
  <c r="BE156" i="5"/>
  <c r="BZ156" i="5"/>
  <c r="CG156" i="5" s="1"/>
  <c r="BP146" i="5"/>
  <c r="BR146" i="5" s="1"/>
  <c r="BQ156" i="5"/>
  <c r="BL149" i="5"/>
  <c r="BT148" i="5" s="1"/>
  <c r="BJ89" i="4"/>
  <c r="BQ88" i="4"/>
  <c r="BM86" i="4"/>
  <c r="BO86" i="4" s="1"/>
  <c r="BL87" i="4"/>
  <c r="AG125" i="4"/>
  <c r="Z126" i="4"/>
  <c r="J155" i="5"/>
  <c r="V155" i="5" s="1"/>
  <c r="Z127" i="4"/>
  <c r="AU130" i="4"/>
  <c r="AF130" i="4"/>
  <c r="CE130" i="4"/>
  <c r="Y130" i="4"/>
  <c r="AQ130" i="4" s="1"/>
  <c r="BV146" i="5"/>
  <c r="BM148" i="5"/>
  <c r="CN73" i="4"/>
  <c r="F92" i="4" s="1"/>
  <c r="CQ73" i="4"/>
  <c r="G92" i="4" s="1"/>
  <c r="BU156" i="5"/>
  <c r="AK156" i="5"/>
  <c r="AO156" i="5"/>
  <c r="AI156" i="5"/>
  <c r="F146" i="5"/>
  <c r="R146" i="5" s="1"/>
  <c r="BV74" i="4"/>
  <c r="BX74" i="4" s="1"/>
  <c r="CK74" i="4" s="1"/>
  <c r="CL74" i="4" s="1"/>
  <c r="CH74" i="4"/>
  <c r="CI74" i="4" s="1"/>
  <c r="CJ74" i="4" s="1"/>
  <c r="CF75" i="4" s="1"/>
  <c r="BK89" i="4"/>
  <c r="CD88" i="4" s="1"/>
  <c r="AD159" i="5"/>
  <c r="AC160" i="5"/>
  <c r="BJ160" i="5"/>
  <c r="J148" i="4"/>
  <c r="CV130" i="4"/>
  <c r="CT130" i="4"/>
  <c r="CZ129" i="4" s="1"/>
  <c r="CW129" i="4"/>
  <c r="CX129" i="4" s="1"/>
  <c r="DF129" i="4" s="1"/>
  <c r="CA129" i="4"/>
  <c r="CZ128" i="4"/>
  <c r="DA128" i="4" s="1"/>
  <c r="BP130" i="4"/>
  <c r="CY130" i="4"/>
  <c r="CS131" i="4" s="1"/>
  <c r="BI130" i="4"/>
  <c r="BN130" i="4" s="1"/>
  <c r="X130" i="4"/>
  <c r="K149" i="4" s="1"/>
  <c r="DL156" i="5"/>
  <c r="DZ156" i="5"/>
  <c r="EA154" i="5"/>
  <c r="I154" i="5"/>
  <c r="U154" i="5" s="1"/>
  <c r="DM154" i="5"/>
  <c r="DN153" i="5"/>
  <c r="H154" i="5" s="1"/>
  <c r="T154" i="5" s="1"/>
  <c r="CZ153" i="5"/>
  <c r="G154" i="5" s="1"/>
  <c r="S154" i="5" s="1"/>
  <c r="CY153" i="5"/>
  <c r="CX156" i="5"/>
  <c r="N156" i="5"/>
  <c r="DE126" i="4"/>
  <c r="H145" i="4" s="1"/>
  <c r="DH126" i="4"/>
  <c r="I145" i="4" s="1"/>
  <c r="DG127" i="4"/>
  <c r="DG128" i="4"/>
  <c r="DI154" i="5"/>
  <c r="DJ154" i="5" s="1"/>
  <c r="DT155" i="5"/>
  <c r="DU155" i="5" s="1"/>
  <c r="CS155" i="5"/>
  <c r="CQ156" i="5"/>
  <c r="CP156" i="5"/>
  <c r="CO156" i="5"/>
  <c r="CW155" i="5" s="1"/>
  <c r="CN156" i="5"/>
  <c r="CU154" i="5"/>
  <c r="CV154" i="5" s="1"/>
  <c r="DD156" i="5"/>
  <c r="DC156" i="5"/>
  <c r="DK155" i="5" s="1"/>
  <c r="DB156" i="5"/>
  <c r="DE156" i="5"/>
  <c r="DF155" i="5"/>
  <c r="DG155" i="5" s="1"/>
  <c r="DS156" i="5"/>
  <c r="DR156" i="5"/>
  <c r="DQ156" i="5"/>
  <c r="DY155" i="5" s="1"/>
  <c r="DP156" i="5"/>
  <c r="DV156" i="5"/>
  <c r="CT156" i="5"/>
  <c r="DH156" i="5"/>
  <c r="BY156" i="5"/>
  <c r="CR156" i="5" s="1"/>
  <c r="AA157" i="5"/>
  <c r="B157" i="5"/>
  <c r="AB156" i="5"/>
  <c r="K157" i="5" s="1"/>
  <c r="W157" i="5" s="1"/>
  <c r="DW154" i="5"/>
  <c r="DX154" i="5" s="1"/>
  <c r="DB127" i="4"/>
  <c r="DC127" i="4" s="1"/>
  <c r="DB128" i="4"/>
  <c r="DC128" i="4" s="1"/>
  <c r="CU130" i="4"/>
  <c r="W131" i="4"/>
  <c r="AD131" i="4" s="1"/>
  <c r="C149" i="4"/>
  <c r="CA157" i="5" l="1"/>
  <c r="CI156" i="5"/>
  <c r="BB147" i="5"/>
  <c r="AU148" i="5"/>
  <c r="BD145" i="5"/>
  <c r="BF145" i="5" s="1"/>
  <c r="BC145" i="5"/>
  <c r="BG145" i="5" s="1"/>
  <c r="D146" i="5" s="1"/>
  <c r="P146" i="5" s="1"/>
  <c r="CD156" i="5"/>
  <c r="CC151" i="5"/>
  <c r="CE151" i="5" s="1"/>
  <c r="CI151" i="5" s="1"/>
  <c r="CB152" i="5"/>
  <c r="CG150" i="5"/>
  <c r="CH150" i="5" s="1"/>
  <c r="CL150" i="5" s="1"/>
  <c r="BZ157" i="5"/>
  <c r="CG157" i="5" s="1"/>
  <c r="AV157" i="5"/>
  <c r="BO157" i="5"/>
  <c r="CF157" i="5"/>
  <c r="CI157" i="5" s="1"/>
  <c r="BA157" i="5"/>
  <c r="CJ157" i="5"/>
  <c r="AY157" i="5"/>
  <c r="BE157" i="5"/>
  <c r="AX146" i="5"/>
  <c r="AZ146" i="5" s="1"/>
  <c r="AW147" i="5"/>
  <c r="BP147" i="5"/>
  <c r="BR147" i="5" s="1"/>
  <c r="BS146" i="5"/>
  <c r="BW146" i="5" s="1"/>
  <c r="E147" i="5" s="1"/>
  <c r="Q147" i="5" s="1"/>
  <c r="BQ157" i="5"/>
  <c r="BL150" i="5"/>
  <c r="BT149" i="5" s="1"/>
  <c r="BM87" i="4"/>
  <c r="BO87" i="4" s="1"/>
  <c r="BL88" i="4"/>
  <c r="BJ90" i="4"/>
  <c r="BQ90" i="4" s="1"/>
  <c r="BQ89" i="4"/>
  <c r="J156" i="5"/>
  <c r="V156" i="5" s="1"/>
  <c r="J149" i="4"/>
  <c r="AF131" i="4"/>
  <c r="AU131" i="4"/>
  <c r="CE131" i="4"/>
  <c r="Y131" i="4"/>
  <c r="AQ131" i="4" s="1"/>
  <c r="AB127" i="4"/>
  <c r="AC127" i="4" s="1"/>
  <c r="AC128" i="4" s="1"/>
  <c r="AC129" i="4" s="1"/>
  <c r="AC130" i="4" s="1"/>
  <c r="AC131" i="4" s="1"/>
  <c r="AA127" i="4"/>
  <c r="AT126" i="4" s="1"/>
  <c r="Z128" i="4"/>
  <c r="Z129" i="4" s="1"/>
  <c r="Z130" i="4" s="1"/>
  <c r="Z131" i="4" s="1"/>
  <c r="BM149" i="5"/>
  <c r="BV147" i="5"/>
  <c r="BU157" i="5"/>
  <c r="AK157" i="5"/>
  <c r="AO157" i="5"/>
  <c r="AI157" i="5"/>
  <c r="BY74" i="4"/>
  <c r="CO74" i="4" s="1"/>
  <c r="CP74" i="4" s="1"/>
  <c r="BK90" i="4"/>
  <c r="CD89" i="4" s="1"/>
  <c r="BZ86" i="4"/>
  <c r="CB86" i="4" s="1"/>
  <c r="CC86" i="4"/>
  <c r="CM74" i="4"/>
  <c r="CN74" i="4" s="1"/>
  <c r="F93" i="4" s="1"/>
  <c r="CG75" i="4"/>
  <c r="F147" i="5"/>
  <c r="R147" i="5" s="1"/>
  <c r="BR75" i="4"/>
  <c r="BS87" i="4" s="1"/>
  <c r="BT99" i="4" s="1"/>
  <c r="BU111" i="4" s="1"/>
  <c r="AD160" i="5"/>
  <c r="AC161" i="5"/>
  <c r="BJ161" i="5"/>
  <c r="DA129" i="4"/>
  <c r="BP131" i="4"/>
  <c r="CY131" i="4"/>
  <c r="CS132" i="4" s="1"/>
  <c r="BI131" i="4"/>
  <c r="BN131" i="4" s="1"/>
  <c r="X131" i="4"/>
  <c r="K150" i="4" s="1"/>
  <c r="CV131" i="4"/>
  <c r="CT131" i="4"/>
  <c r="CW130" i="4"/>
  <c r="CX130" i="4" s="1"/>
  <c r="DF130" i="4" s="1"/>
  <c r="CA130" i="4"/>
  <c r="DL157" i="5"/>
  <c r="DZ157" i="5"/>
  <c r="EA155" i="5"/>
  <c r="EB154" i="5"/>
  <c r="I155" i="5" s="1"/>
  <c r="U155" i="5" s="1"/>
  <c r="DN154" i="5"/>
  <c r="H155" i="5" s="1"/>
  <c r="T155" i="5" s="1"/>
  <c r="DM155" i="5"/>
  <c r="CX157" i="5"/>
  <c r="CY154" i="5"/>
  <c r="CZ154" i="5"/>
  <c r="G155" i="5" s="1"/>
  <c r="S155" i="5" s="1"/>
  <c r="N157" i="5"/>
  <c r="DD127" i="4"/>
  <c r="DB129" i="4"/>
  <c r="DC129" i="4" s="1"/>
  <c r="DT156" i="5"/>
  <c r="DU156" i="5" s="1"/>
  <c r="DF156" i="5"/>
  <c r="DG156" i="5" s="1"/>
  <c r="DI155" i="5"/>
  <c r="DJ155" i="5" s="1"/>
  <c r="DW155" i="5"/>
  <c r="DX155" i="5" s="1"/>
  <c r="DD157" i="5"/>
  <c r="DC157" i="5"/>
  <c r="DK156" i="5" s="1"/>
  <c r="DB157" i="5"/>
  <c r="DE157" i="5"/>
  <c r="CS156" i="5"/>
  <c r="CQ157" i="5"/>
  <c r="CP157" i="5"/>
  <c r="CO157" i="5"/>
  <c r="CW156" i="5" s="1"/>
  <c r="CN157" i="5"/>
  <c r="CU155" i="5"/>
  <c r="CV155" i="5" s="1"/>
  <c r="B158" i="5"/>
  <c r="DV157" i="5"/>
  <c r="CT157" i="5"/>
  <c r="DH157" i="5"/>
  <c r="BY157" i="5"/>
  <c r="DT157" i="5" s="1"/>
  <c r="AA158" i="5"/>
  <c r="AB157" i="5"/>
  <c r="K158" i="5" s="1"/>
  <c r="W158" i="5" s="1"/>
  <c r="DS157" i="5"/>
  <c r="DR157" i="5"/>
  <c r="DQ157" i="5"/>
  <c r="DY156" i="5" s="1"/>
  <c r="DP157" i="5"/>
  <c r="DG129" i="4"/>
  <c r="C150" i="4"/>
  <c r="W132" i="4"/>
  <c r="AD132" i="4" s="1"/>
  <c r="CU131" i="4"/>
  <c r="AV158" i="5" l="1"/>
  <c r="CG151" i="5"/>
  <c r="CH151" i="5" s="1"/>
  <c r="CL151" i="5" s="1"/>
  <c r="CK151" i="5"/>
  <c r="CD157" i="5"/>
  <c r="AX147" i="5"/>
  <c r="AZ147" i="5" s="1"/>
  <c r="AW148" i="5"/>
  <c r="AC132" i="4"/>
  <c r="BD146" i="5"/>
  <c r="BF146" i="5" s="1"/>
  <c r="BC146" i="5"/>
  <c r="BG146" i="5" s="1"/>
  <c r="D147" i="5" s="1"/>
  <c r="P147" i="5" s="1"/>
  <c r="BZ158" i="5"/>
  <c r="CG158" i="5" s="1"/>
  <c r="BB148" i="5"/>
  <c r="AU149" i="5"/>
  <c r="CA158" i="5"/>
  <c r="BO158" i="5"/>
  <c r="AY158" i="5"/>
  <c r="CF158" i="5"/>
  <c r="CI158" i="5" s="1"/>
  <c r="CJ158" i="5"/>
  <c r="BA158" i="5"/>
  <c r="BE158" i="5"/>
  <c r="CC152" i="5"/>
  <c r="CE152" i="5" s="1"/>
  <c r="CH152" i="5" s="1"/>
  <c r="CB153" i="5"/>
  <c r="BP148" i="5"/>
  <c r="BR148" i="5" s="1"/>
  <c r="BS148" i="5" s="1"/>
  <c r="BW148" i="5" s="1"/>
  <c r="E149" i="5" s="1"/>
  <c r="Q149" i="5" s="1"/>
  <c r="BS147" i="5"/>
  <c r="BW147" i="5" s="1"/>
  <c r="E148" i="5" s="1"/>
  <c r="Q148" i="5" s="1"/>
  <c r="BQ158" i="5"/>
  <c r="J150" i="4"/>
  <c r="BL151" i="5"/>
  <c r="BT150" i="5" s="1"/>
  <c r="BM88" i="4"/>
  <c r="BO88" i="4" s="1"/>
  <c r="BL89" i="4"/>
  <c r="J157" i="5"/>
  <c r="V157" i="5" s="1"/>
  <c r="Z132" i="4"/>
  <c r="AU132" i="4"/>
  <c r="AF132" i="4"/>
  <c r="CE132" i="4"/>
  <c r="Y132" i="4"/>
  <c r="AQ132" i="4" s="1"/>
  <c r="AA128" i="4"/>
  <c r="AT127" i="4" s="1"/>
  <c r="AE127" i="4"/>
  <c r="AG127" i="4" s="1"/>
  <c r="AB128" i="4"/>
  <c r="BV148" i="5"/>
  <c r="BM150" i="5"/>
  <c r="BU158" i="5"/>
  <c r="AK158" i="5"/>
  <c r="AO158" i="5"/>
  <c r="AI158" i="5"/>
  <c r="BV75" i="4"/>
  <c r="BX75" i="4" s="1"/>
  <c r="CK75" i="4" s="1"/>
  <c r="CL75" i="4" s="1"/>
  <c r="CH75" i="4"/>
  <c r="CI75" i="4" s="1"/>
  <c r="CJ75" i="4" s="1"/>
  <c r="CF76" i="4" s="1"/>
  <c r="CQ74" i="4"/>
  <c r="G93" i="4" s="1"/>
  <c r="F148" i="5"/>
  <c r="R148" i="5" s="1"/>
  <c r="AD161" i="5"/>
  <c r="AC162" i="5"/>
  <c r="BJ162" i="5"/>
  <c r="CV132" i="4"/>
  <c r="CT132" i="4"/>
  <c r="CZ131" i="4" s="1"/>
  <c r="CW131" i="4"/>
  <c r="CX131" i="4" s="1"/>
  <c r="DF131" i="4" s="1"/>
  <c r="CA131" i="4"/>
  <c r="BP132" i="4"/>
  <c r="CY132" i="4"/>
  <c r="CS133" i="4" s="1"/>
  <c r="BI132" i="4"/>
  <c r="CA132" i="4" s="1"/>
  <c r="X132" i="4"/>
  <c r="K151" i="4" s="1"/>
  <c r="CZ130" i="4"/>
  <c r="DA130" i="4" s="1"/>
  <c r="DL158" i="5"/>
  <c r="DZ158" i="5"/>
  <c r="EA156" i="5"/>
  <c r="EB155" i="5"/>
  <c r="I156" i="5" s="1"/>
  <c r="U156" i="5" s="1"/>
  <c r="DN155" i="5"/>
  <c r="H156" i="5" s="1"/>
  <c r="T156" i="5" s="1"/>
  <c r="DM156" i="5"/>
  <c r="CY155" i="5"/>
  <c r="CZ155" i="5"/>
  <c r="G156" i="5" s="1"/>
  <c r="S156" i="5" s="1"/>
  <c r="CX158" i="5"/>
  <c r="N158" i="5"/>
  <c r="DE127" i="4"/>
  <c r="H146" i="4" s="1"/>
  <c r="DH127" i="4"/>
  <c r="I146" i="4" s="1"/>
  <c r="DD128" i="4"/>
  <c r="DH128" i="4" s="1"/>
  <c r="I147" i="4" s="1"/>
  <c r="DG130" i="4"/>
  <c r="DF157" i="5"/>
  <c r="DG157" i="5" s="1"/>
  <c r="CQ158" i="5"/>
  <c r="CP158" i="5"/>
  <c r="CO158" i="5"/>
  <c r="CW157" i="5" s="1"/>
  <c r="CN158" i="5"/>
  <c r="DU157" i="5"/>
  <c r="CR157" i="5"/>
  <c r="CS157" i="5" s="1"/>
  <c r="DS158" i="5"/>
  <c r="DR158" i="5"/>
  <c r="DQ158" i="5"/>
  <c r="DY157" i="5" s="1"/>
  <c r="DP158" i="5"/>
  <c r="DW156" i="5"/>
  <c r="DX156" i="5" s="1"/>
  <c r="DI156" i="5"/>
  <c r="DJ156" i="5" s="1"/>
  <c r="DN156" i="5" s="1"/>
  <c r="CU156" i="5"/>
  <c r="CV156" i="5" s="1"/>
  <c r="DE158" i="5"/>
  <c r="DD158" i="5"/>
  <c r="DB158" i="5"/>
  <c r="DC158" i="5"/>
  <c r="DK157" i="5" s="1"/>
  <c r="B159" i="5"/>
  <c r="DV158" i="5"/>
  <c r="CT158" i="5"/>
  <c r="DH158" i="5"/>
  <c r="BY158" i="5"/>
  <c r="CD158" i="5" s="1"/>
  <c r="AA159" i="5"/>
  <c r="AB158" i="5"/>
  <c r="K159" i="5" s="1"/>
  <c r="W159" i="5" s="1"/>
  <c r="DB130" i="4"/>
  <c r="DC130" i="4" s="1"/>
  <c r="W133" i="4"/>
  <c r="C151" i="4"/>
  <c r="CU132" i="4"/>
  <c r="AV159" i="5" l="1"/>
  <c r="AC133" i="4"/>
  <c r="CK152" i="5"/>
  <c r="CL152" i="5"/>
  <c r="BD147" i="5"/>
  <c r="BF147" i="5" s="1"/>
  <c r="BC147" i="5"/>
  <c r="BG147" i="5" s="1"/>
  <c r="D148" i="5" s="1"/>
  <c r="P148" i="5" s="1"/>
  <c r="AX148" i="5"/>
  <c r="AZ148" i="5" s="1"/>
  <c r="AW149" i="5"/>
  <c r="BZ159" i="5"/>
  <c r="CG159" i="5" s="1"/>
  <c r="BB149" i="5"/>
  <c r="AU150" i="5"/>
  <c r="CC153" i="5"/>
  <c r="CE153" i="5" s="1"/>
  <c r="CH153" i="5" s="1"/>
  <c r="CB154" i="5"/>
  <c r="BO159" i="5"/>
  <c r="CF159" i="5"/>
  <c r="CI159" i="5" s="1"/>
  <c r="CJ159" i="5"/>
  <c r="AY159" i="5"/>
  <c r="BE159" i="5"/>
  <c r="BA159" i="5"/>
  <c r="CA159" i="5"/>
  <c r="J151" i="4"/>
  <c r="BP149" i="5"/>
  <c r="BR149" i="5" s="1"/>
  <c r="BS149" i="5" s="1"/>
  <c r="BW149" i="5" s="1"/>
  <c r="E150" i="5" s="1"/>
  <c r="Q150" i="5" s="1"/>
  <c r="BQ159" i="5"/>
  <c r="BL90" i="4"/>
  <c r="BM90" i="4" s="1"/>
  <c r="BO90" i="4" s="1"/>
  <c r="BM89" i="4"/>
  <c r="BO89" i="4" s="1"/>
  <c r="J158" i="5"/>
  <c r="V158" i="5" s="1"/>
  <c r="Z133" i="4"/>
  <c r="AF133" i="4"/>
  <c r="CE133" i="4"/>
  <c r="AU133" i="4"/>
  <c r="Y133" i="4"/>
  <c r="AE128" i="4"/>
  <c r="AG128" i="4" s="1"/>
  <c r="AB129" i="4"/>
  <c r="AA129" i="4"/>
  <c r="AT128" i="4" s="1"/>
  <c r="BN132" i="4"/>
  <c r="BM151" i="5"/>
  <c r="BV149" i="5"/>
  <c r="BU159" i="5"/>
  <c r="AO159" i="5"/>
  <c r="AK159" i="5"/>
  <c r="AI159" i="5"/>
  <c r="BY75" i="4"/>
  <c r="CO75" i="4" s="1"/>
  <c r="CP75" i="4" s="1"/>
  <c r="CG76" i="4"/>
  <c r="F149" i="5"/>
  <c r="R149" i="5" s="1"/>
  <c r="CC87" i="4"/>
  <c r="BZ87" i="4"/>
  <c r="CB87" i="4" s="1"/>
  <c r="CM75" i="4"/>
  <c r="CN75" i="4" s="1"/>
  <c r="F94" i="4" s="1"/>
  <c r="BR76" i="4"/>
  <c r="BS88" i="4" s="1"/>
  <c r="BT100" i="4" s="1"/>
  <c r="BU112" i="4" s="1"/>
  <c r="BJ91" i="4"/>
  <c r="BQ91" i="4" s="1"/>
  <c r="AD162" i="5"/>
  <c r="AC163" i="5"/>
  <c r="BJ163" i="5"/>
  <c r="DT158" i="5"/>
  <c r="DU158" i="5" s="1"/>
  <c r="DA131" i="4"/>
  <c r="CV133" i="4"/>
  <c r="CW132" i="4"/>
  <c r="CX132" i="4" s="1"/>
  <c r="DF132" i="4" s="1"/>
  <c r="CT133" i="4"/>
  <c r="CZ132" i="4" s="1"/>
  <c r="CY133" i="4"/>
  <c r="CS134" i="4" s="1"/>
  <c r="BP133" i="4"/>
  <c r="BI133" i="4"/>
  <c r="X133" i="4"/>
  <c r="K152" i="4" s="1"/>
  <c r="DL159" i="5"/>
  <c r="DZ159" i="5"/>
  <c r="EB156" i="5"/>
  <c r="I157" i="5" s="1"/>
  <c r="U157" i="5" s="1"/>
  <c r="EA157" i="5"/>
  <c r="DM157" i="5"/>
  <c r="H157" i="5"/>
  <c r="T157" i="5" s="1"/>
  <c r="CX159" i="5"/>
  <c r="CZ156" i="5"/>
  <c r="G157" i="5" s="1"/>
  <c r="S157" i="5" s="1"/>
  <c r="CY156" i="5"/>
  <c r="N159" i="5"/>
  <c r="DE128" i="4"/>
  <c r="H147" i="4" s="1"/>
  <c r="DD129" i="4"/>
  <c r="DE129" i="4" s="1"/>
  <c r="H148" i="4" s="1"/>
  <c r="DB131" i="4"/>
  <c r="DC131" i="4" s="1"/>
  <c r="DF158" i="5"/>
  <c r="DG158" i="5" s="1"/>
  <c r="DI157" i="5"/>
  <c r="DJ157" i="5" s="1"/>
  <c r="DE159" i="5"/>
  <c r="DC159" i="5"/>
  <c r="DK158" i="5" s="1"/>
  <c r="DB159" i="5"/>
  <c r="DD159" i="5"/>
  <c r="CR158" i="5"/>
  <c r="CS158" i="5" s="1"/>
  <c r="B160" i="5"/>
  <c r="AA160" i="5"/>
  <c r="CT159" i="5"/>
  <c r="DH159" i="5"/>
  <c r="DV159" i="5"/>
  <c r="BY159" i="5"/>
  <c r="CD159" i="5" s="1"/>
  <c r="AB159" i="5"/>
  <c r="K160" i="5" s="1"/>
  <c r="W160" i="5" s="1"/>
  <c r="CN159" i="5"/>
  <c r="CQ159" i="5"/>
  <c r="CP159" i="5"/>
  <c r="CO159" i="5"/>
  <c r="CW158" i="5" s="1"/>
  <c r="CU157" i="5"/>
  <c r="CV157" i="5" s="1"/>
  <c r="DP159" i="5"/>
  <c r="DS159" i="5"/>
  <c r="DR159" i="5"/>
  <c r="DQ159" i="5"/>
  <c r="DY158" i="5" s="1"/>
  <c r="DW157" i="5"/>
  <c r="DX157" i="5" s="1"/>
  <c r="EB157" i="5" s="1"/>
  <c r="DG131" i="4"/>
  <c r="CU133" i="4"/>
  <c r="W134" i="4"/>
  <c r="C152" i="4"/>
  <c r="CA160" i="5" l="1"/>
  <c r="CK153" i="5"/>
  <c r="CL153" i="5"/>
  <c r="CC154" i="5"/>
  <c r="CE154" i="5" s="1"/>
  <c r="CH154" i="5" s="1"/>
  <c r="CB155" i="5"/>
  <c r="AX149" i="5"/>
  <c r="AZ149" i="5" s="1"/>
  <c r="AW150" i="5"/>
  <c r="BD148" i="5"/>
  <c r="BF148" i="5" s="1"/>
  <c r="BC148" i="5"/>
  <c r="BG148" i="5" s="1"/>
  <c r="D149" i="5" s="1"/>
  <c r="P149" i="5" s="1"/>
  <c r="BO160" i="5"/>
  <c r="CF160" i="5"/>
  <c r="CI160" i="5" s="1"/>
  <c r="CJ160" i="5"/>
  <c r="BA160" i="5"/>
  <c r="AY160" i="5"/>
  <c r="BE160" i="5"/>
  <c r="AC134" i="4"/>
  <c r="CA161" i="5"/>
  <c r="BZ160" i="5"/>
  <c r="CG160" i="5" s="1"/>
  <c r="BB150" i="5"/>
  <c r="AU151" i="5"/>
  <c r="AV160" i="5"/>
  <c r="J152" i="4"/>
  <c r="BP150" i="5"/>
  <c r="BR150" i="5" s="1"/>
  <c r="BS150" i="5" s="1"/>
  <c r="BW150" i="5" s="1"/>
  <c r="E151" i="5" s="1"/>
  <c r="Q151" i="5" s="1"/>
  <c r="BQ160" i="5"/>
  <c r="Z134" i="4"/>
  <c r="AQ133" i="4"/>
  <c r="AD133" i="4"/>
  <c r="J159" i="5"/>
  <c r="V159" i="5" s="1"/>
  <c r="BN133" i="4"/>
  <c r="CE134" i="4"/>
  <c r="AU134" i="4"/>
  <c r="AF134" i="4"/>
  <c r="Y134" i="4"/>
  <c r="AA130" i="4"/>
  <c r="AT129" i="4" s="1"/>
  <c r="AW127" i="4"/>
  <c r="AE129" i="4"/>
  <c r="AG129" i="4" s="1"/>
  <c r="AB130" i="4"/>
  <c r="BV150" i="5"/>
  <c r="BP151" i="5"/>
  <c r="BU160" i="5"/>
  <c r="AO160" i="5"/>
  <c r="AK160" i="5"/>
  <c r="AI160" i="5"/>
  <c r="BV76" i="4"/>
  <c r="BX76" i="4" s="1"/>
  <c r="CK76" i="4" s="1"/>
  <c r="CL76" i="4" s="1"/>
  <c r="CQ75" i="4"/>
  <c r="G94" i="4" s="1"/>
  <c r="F150" i="5"/>
  <c r="R150" i="5" s="1"/>
  <c r="BK91" i="4"/>
  <c r="CD90" i="4" s="1"/>
  <c r="BJ92" i="4"/>
  <c r="BL91" i="4"/>
  <c r="CH76" i="4"/>
  <c r="CI76" i="4" s="1"/>
  <c r="CJ76" i="4" s="1"/>
  <c r="CF77" i="4" s="1"/>
  <c r="AD163" i="5"/>
  <c r="AC164" i="5"/>
  <c r="BJ164" i="5"/>
  <c r="DA132" i="4"/>
  <c r="CW133" i="4"/>
  <c r="CX133" i="4" s="1"/>
  <c r="DF133" i="4" s="1"/>
  <c r="CA133" i="4"/>
  <c r="CY134" i="4"/>
  <c r="CS135" i="4" s="1"/>
  <c r="BP134" i="4"/>
  <c r="BI134" i="4"/>
  <c r="BN134" i="4" s="1"/>
  <c r="X134" i="4"/>
  <c r="K153" i="4" s="1"/>
  <c r="CT134" i="4"/>
  <c r="CZ133" i="4" s="1"/>
  <c r="CV134" i="4"/>
  <c r="DL160" i="5"/>
  <c r="DZ160" i="5"/>
  <c r="EA158" i="5"/>
  <c r="I158" i="5"/>
  <c r="U158" i="5" s="1"/>
  <c r="DM158" i="5"/>
  <c r="DN157" i="5"/>
  <c r="H158" i="5" s="1"/>
  <c r="T158" i="5" s="1"/>
  <c r="CY157" i="5"/>
  <c r="CZ157" i="5"/>
  <c r="G158" i="5" s="1"/>
  <c r="S158" i="5" s="1"/>
  <c r="CX160" i="5"/>
  <c r="N160" i="5"/>
  <c r="DD130" i="4"/>
  <c r="DE130" i="4" s="1"/>
  <c r="H149" i="4" s="1"/>
  <c r="DH129" i="4"/>
  <c r="I148" i="4" s="1"/>
  <c r="CU158" i="5"/>
  <c r="CV158" i="5" s="1"/>
  <c r="DF159" i="5"/>
  <c r="DG159" i="5" s="1"/>
  <c r="DI158" i="5"/>
  <c r="DJ158" i="5" s="1"/>
  <c r="B161" i="5"/>
  <c r="AA161" i="5"/>
  <c r="DV160" i="5"/>
  <c r="CT160" i="5"/>
  <c r="BY160" i="5"/>
  <c r="CD160" i="5" s="1"/>
  <c r="DH160" i="5"/>
  <c r="AB160" i="5"/>
  <c r="K161" i="5" s="1"/>
  <c r="W161" i="5" s="1"/>
  <c r="CR159" i="5"/>
  <c r="CS159" i="5" s="1"/>
  <c r="DT159" i="5"/>
  <c r="DU159" i="5" s="1"/>
  <c r="DW158" i="5"/>
  <c r="DX158" i="5" s="1"/>
  <c r="EB158" i="5" s="1"/>
  <c r="DQ160" i="5"/>
  <c r="DY159" i="5" s="1"/>
  <c r="DP160" i="5"/>
  <c r="DS160" i="5"/>
  <c r="DR160" i="5"/>
  <c r="DD160" i="5"/>
  <c r="DC160" i="5"/>
  <c r="DK159" i="5" s="1"/>
  <c r="DB160" i="5"/>
  <c r="DE160" i="5"/>
  <c r="CO160" i="5"/>
  <c r="CW159" i="5" s="1"/>
  <c r="CN160" i="5"/>
  <c r="CQ160" i="5"/>
  <c r="CP160" i="5"/>
  <c r="DG132" i="4"/>
  <c r="DB132" i="4"/>
  <c r="DC132" i="4" s="1"/>
  <c r="CU134" i="4"/>
  <c r="W135" i="4"/>
  <c r="C153" i="4"/>
  <c r="CK154" i="5" l="1"/>
  <c r="CL154" i="5"/>
  <c r="BD149" i="5"/>
  <c r="BF149" i="5" s="1"/>
  <c r="BC149" i="5"/>
  <c r="BG149" i="5" s="1"/>
  <c r="D150" i="5" s="1"/>
  <c r="P150" i="5" s="1"/>
  <c r="BO161" i="5"/>
  <c r="BA161" i="5"/>
  <c r="CJ161" i="5"/>
  <c r="CF161" i="5"/>
  <c r="AY161" i="5"/>
  <c r="BE161" i="5"/>
  <c r="BZ161" i="5"/>
  <c r="CG161" i="5" s="1"/>
  <c r="CC155" i="5"/>
  <c r="CE155" i="5" s="1"/>
  <c r="CH155" i="5" s="1"/>
  <c r="CB156" i="5"/>
  <c r="AV161" i="5"/>
  <c r="AC135" i="4"/>
  <c r="AX150" i="5"/>
  <c r="AZ150" i="5" s="1"/>
  <c r="AW151" i="5"/>
  <c r="BB151" i="5"/>
  <c r="AU152" i="5"/>
  <c r="J153" i="4"/>
  <c r="BQ161" i="5"/>
  <c r="AQ134" i="4"/>
  <c r="AD134" i="4"/>
  <c r="BJ93" i="4"/>
  <c r="BQ93" i="4" s="1"/>
  <c r="BQ92" i="4"/>
  <c r="J160" i="5"/>
  <c r="V160" i="5" s="1"/>
  <c r="AU135" i="4"/>
  <c r="AF135" i="4"/>
  <c r="CE135" i="4"/>
  <c r="Y135" i="4"/>
  <c r="AA131" i="4"/>
  <c r="AT130" i="4" s="1"/>
  <c r="AW128" i="4"/>
  <c r="AE130" i="4"/>
  <c r="AG130" i="4" s="1"/>
  <c r="AB131" i="4"/>
  <c r="Z135" i="4"/>
  <c r="BS151" i="5"/>
  <c r="BK152" i="5" s="1"/>
  <c r="BU161" i="5"/>
  <c r="AK161" i="5"/>
  <c r="AO161" i="5"/>
  <c r="AI161" i="5"/>
  <c r="CM76" i="4"/>
  <c r="CN76" i="4" s="1"/>
  <c r="F95" i="4" s="1"/>
  <c r="CC88" i="4"/>
  <c r="BZ88" i="4"/>
  <c r="CB88" i="4" s="1"/>
  <c r="BL92" i="4"/>
  <c r="BM91" i="4"/>
  <c r="BO91" i="4" s="1"/>
  <c r="CG77" i="4"/>
  <c r="BK92" i="4"/>
  <c r="CD91" i="4" s="1"/>
  <c r="F151" i="5"/>
  <c r="R151" i="5" s="1"/>
  <c r="BR77" i="4"/>
  <c r="BS89" i="4" s="1"/>
  <c r="BT101" i="4" s="1"/>
  <c r="BU113" i="4" s="1"/>
  <c r="BY76" i="4"/>
  <c r="CO76" i="4" s="1"/>
  <c r="CP76" i="4" s="1"/>
  <c r="AD164" i="5"/>
  <c r="AC165" i="5"/>
  <c r="BJ165" i="5"/>
  <c r="DT160" i="5"/>
  <c r="DU160" i="5" s="1"/>
  <c r="DA133" i="4"/>
  <c r="CW134" i="4"/>
  <c r="CX134" i="4" s="1"/>
  <c r="DF134" i="4" s="1"/>
  <c r="CA134" i="4"/>
  <c r="CY135" i="4"/>
  <c r="CS136" i="4" s="1"/>
  <c r="BP135" i="4"/>
  <c r="BI135" i="4"/>
  <c r="X135" i="4"/>
  <c r="K154" i="4" s="1"/>
  <c r="CV135" i="4"/>
  <c r="CT135" i="4"/>
  <c r="CZ134" i="4" s="1"/>
  <c r="DL161" i="5"/>
  <c r="DZ161" i="5"/>
  <c r="EA159" i="5"/>
  <c r="I159" i="5"/>
  <c r="U159" i="5" s="1"/>
  <c r="DM159" i="5"/>
  <c r="DN158" i="5"/>
  <c r="H159" i="5" s="1"/>
  <c r="T159" i="5" s="1"/>
  <c r="CX161" i="5"/>
  <c r="CY158" i="5"/>
  <c r="CZ158" i="5"/>
  <c r="G159" i="5" s="1"/>
  <c r="S159" i="5" s="1"/>
  <c r="N161" i="5"/>
  <c r="DH130" i="4"/>
  <c r="I149" i="4" s="1"/>
  <c r="DD131" i="4"/>
  <c r="DE131" i="4" s="1"/>
  <c r="H150" i="4" s="1"/>
  <c r="DB133" i="4"/>
  <c r="DC133" i="4" s="1"/>
  <c r="CU159" i="5"/>
  <c r="CV159" i="5" s="1"/>
  <c r="DE161" i="5"/>
  <c r="DD161" i="5"/>
  <c r="DC161" i="5"/>
  <c r="DK160" i="5" s="1"/>
  <c r="DB161" i="5"/>
  <c r="CP161" i="5"/>
  <c r="CO161" i="5"/>
  <c r="CW160" i="5" s="1"/>
  <c r="CN161" i="5"/>
  <c r="CQ161" i="5"/>
  <c r="DR161" i="5"/>
  <c r="DQ161" i="5"/>
  <c r="DY160" i="5" s="1"/>
  <c r="DP161" i="5"/>
  <c r="DS161" i="5"/>
  <c r="DI159" i="5"/>
  <c r="DJ159" i="5" s="1"/>
  <c r="DN159" i="5" s="1"/>
  <c r="DW159" i="5"/>
  <c r="DX159" i="5" s="1"/>
  <c r="DF160" i="5"/>
  <c r="DG160" i="5" s="1"/>
  <c r="CR160" i="5"/>
  <c r="CS160" i="5" s="1"/>
  <c r="B162" i="5"/>
  <c r="DH161" i="5"/>
  <c r="BY161" i="5"/>
  <c r="CD161" i="5" s="1"/>
  <c r="AA162" i="5"/>
  <c r="DV161" i="5"/>
  <c r="CT161" i="5"/>
  <c r="AB161" i="5"/>
  <c r="K162" i="5" s="1"/>
  <c r="W162" i="5" s="1"/>
  <c r="DG133" i="4"/>
  <c r="CU135" i="4"/>
  <c r="C154" i="4"/>
  <c r="W136" i="4"/>
  <c r="CA162" i="5" l="1"/>
  <c r="CI161" i="5"/>
  <c r="CK155" i="5"/>
  <c r="CL155" i="5"/>
  <c r="AC136" i="4"/>
  <c r="BB152" i="5"/>
  <c r="AU153" i="5"/>
  <c r="AV162" i="5"/>
  <c r="BO162" i="5"/>
  <c r="AY162" i="5"/>
  <c r="CJ162" i="5"/>
  <c r="CF162" i="5"/>
  <c r="CI162" i="5" s="1"/>
  <c r="BA162" i="5"/>
  <c r="BE162" i="5"/>
  <c r="AX151" i="5"/>
  <c r="AZ151" i="5" s="1"/>
  <c r="AW152" i="5"/>
  <c r="CC156" i="5"/>
  <c r="CE156" i="5" s="1"/>
  <c r="CH156" i="5" s="1"/>
  <c r="CB157" i="5"/>
  <c r="BD150" i="5"/>
  <c r="BF150" i="5" s="1"/>
  <c r="BC150" i="5"/>
  <c r="BG150" i="5" s="1"/>
  <c r="D151" i="5" s="1"/>
  <c r="P151" i="5" s="1"/>
  <c r="BZ162" i="5"/>
  <c r="CG162" i="5" s="1"/>
  <c r="BJ94" i="4"/>
  <c r="BQ94" i="4" s="1"/>
  <c r="J154" i="4"/>
  <c r="DA134" i="4"/>
  <c r="BQ162" i="5"/>
  <c r="BL152" i="5"/>
  <c r="BT151" i="5" s="1"/>
  <c r="BK153" i="5"/>
  <c r="BK154" i="5" s="1"/>
  <c r="BK155" i="5" s="1"/>
  <c r="BK156" i="5" s="1"/>
  <c r="BK157" i="5" s="1"/>
  <c r="BK158" i="5" s="1"/>
  <c r="BK159" i="5" s="1"/>
  <c r="BK160" i="5" s="1"/>
  <c r="BK161" i="5" s="1"/>
  <c r="BK162" i="5" s="1"/>
  <c r="BM152" i="5"/>
  <c r="BN152" i="5" s="1"/>
  <c r="BN153" i="5" s="1"/>
  <c r="BN154" i="5" s="1"/>
  <c r="BN155" i="5" s="1"/>
  <c r="BN156" i="5" s="1"/>
  <c r="BN157" i="5" s="1"/>
  <c r="BN158" i="5" s="1"/>
  <c r="BN159" i="5" s="1"/>
  <c r="BN160" i="5" s="1"/>
  <c r="BN161" i="5" s="1"/>
  <c r="BN162" i="5" s="1"/>
  <c r="AQ135" i="4"/>
  <c r="AD135" i="4"/>
  <c r="Z136" i="4"/>
  <c r="J161" i="5"/>
  <c r="V161" i="5" s="1"/>
  <c r="BW151" i="5"/>
  <c r="E152" i="5" s="1"/>
  <c r="Q152" i="5" s="1"/>
  <c r="BN135" i="4"/>
  <c r="AE131" i="4"/>
  <c r="AG131" i="4" s="1"/>
  <c r="AB132" i="4"/>
  <c r="CE136" i="4"/>
  <c r="AF136" i="4"/>
  <c r="AU136" i="4"/>
  <c r="Y136" i="4"/>
  <c r="AA132" i="4"/>
  <c r="AT131" i="4" s="1"/>
  <c r="AW129" i="4"/>
  <c r="AO162" i="5"/>
  <c r="BU162" i="5"/>
  <c r="AK162" i="5"/>
  <c r="AI162" i="5"/>
  <c r="CQ76" i="4"/>
  <c r="G95" i="4" s="1"/>
  <c r="F152" i="5"/>
  <c r="R152" i="5" s="1"/>
  <c r="CH77" i="4"/>
  <c r="CI77" i="4" s="1"/>
  <c r="CJ77" i="4" s="1"/>
  <c r="BK93" i="4"/>
  <c r="CD92" i="4" s="1"/>
  <c r="BM92" i="4"/>
  <c r="BO92" i="4" s="1"/>
  <c r="BL93" i="4"/>
  <c r="BV77" i="4"/>
  <c r="BX77" i="4" s="1"/>
  <c r="CK77" i="4" s="1"/>
  <c r="CL77" i="4" s="1"/>
  <c r="AD165" i="5"/>
  <c r="AC166" i="5"/>
  <c r="BJ166" i="5"/>
  <c r="DT161" i="5"/>
  <c r="DU161" i="5" s="1"/>
  <c r="CW135" i="4"/>
  <c r="CX135" i="4" s="1"/>
  <c r="DF135" i="4" s="1"/>
  <c r="CA135" i="4"/>
  <c r="CY136" i="4"/>
  <c r="CS137" i="4" s="1"/>
  <c r="BP136" i="4"/>
  <c r="BI136" i="4"/>
  <c r="CA136" i="4" s="1"/>
  <c r="X136" i="4"/>
  <c r="K155" i="4" s="1"/>
  <c r="CT136" i="4"/>
  <c r="CZ135" i="4" s="1"/>
  <c r="CV136" i="4"/>
  <c r="DL162" i="5"/>
  <c r="DZ162" i="5"/>
  <c r="EA160" i="5"/>
  <c r="EB159" i="5"/>
  <c r="I160" i="5" s="1"/>
  <c r="U160" i="5" s="1"/>
  <c r="DM160" i="5"/>
  <c r="H160" i="5"/>
  <c r="T160" i="5" s="1"/>
  <c r="CY159" i="5"/>
  <c r="CZ159" i="5"/>
  <c r="G160" i="5" s="1"/>
  <c r="S160" i="5" s="1"/>
  <c r="CX162" i="5"/>
  <c r="DD132" i="4"/>
  <c r="DE132" i="4" s="1"/>
  <c r="H151" i="4" s="1"/>
  <c r="DH131" i="4"/>
  <c r="I150" i="4" s="1"/>
  <c r="N162" i="5"/>
  <c r="DG134" i="4"/>
  <c r="CR161" i="5"/>
  <c r="CS161" i="5" s="1"/>
  <c r="DF161" i="5"/>
  <c r="DG161" i="5" s="1"/>
  <c r="CU160" i="5"/>
  <c r="CV160" i="5" s="1"/>
  <c r="DI160" i="5"/>
  <c r="DJ160" i="5" s="1"/>
  <c r="DN160" i="5" s="1"/>
  <c r="DW160" i="5"/>
  <c r="DX160" i="5" s="1"/>
  <c r="B163" i="5"/>
  <c r="AA163" i="5"/>
  <c r="BY162" i="5"/>
  <c r="CD162" i="5" s="1"/>
  <c r="DH162" i="5"/>
  <c r="DV162" i="5"/>
  <c r="CT162" i="5"/>
  <c r="AB162" i="5"/>
  <c r="K163" i="5" s="1"/>
  <c r="W163" i="5" s="1"/>
  <c r="CQ162" i="5"/>
  <c r="CP162" i="5"/>
  <c r="CO162" i="5"/>
  <c r="CW161" i="5" s="1"/>
  <c r="CN162" i="5"/>
  <c r="DS162" i="5"/>
  <c r="DQ162" i="5"/>
  <c r="DY161" i="5" s="1"/>
  <c r="DP162" i="5"/>
  <c r="DR162" i="5"/>
  <c r="DE162" i="5"/>
  <c r="DC162" i="5"/>
  <c r="DK161" i="5" s="1"/>
  <c r="DD162" i="5"/>
  <c r="DB162" i="5"/>
  <c r="DB134" i="4"/>
  <c r="DC134" i="4" s="1"/>
  <c r="CU136" i="4"/>
  <c r="W137" i="4"/>
  <c r="C155" i="4"/>
  <c r="DA135" i="4" l="1"/>
  <c r="CK156" i="5"/>
  <c r="CL156" i="5"/>
  <c r="BJ95" i="4"/>
  <c r="BQ95" i="4" s="1"/>
  <c r="BB153" i="5"/>
  <c r="AU154" i="5"/>
  <c r="CC157" i="5"/>
  <c r="CE157" i="5" s="1"/>
  <c r="CH157" i="5" s="1"/>
  <c r="CB158" i="5"/>
  <c r="CJ163" i="5"/>
  <c r="CF163" i="5"/>
  <c r="BB163" i="5"/>
  <c r="AY163" i="5"/>
  <c r="BA163" i="5"/>
  <c r="BE163" i="5"/>
  <c r="BZ163" i="5"/>
  <c r="CG163" i="5" s="1"/>
  <c r="AC137" i="4"/>
  <c r="BD151" i="5"/>
  <c r="BF151" i="5" s="1"/>
  <c r="BC151" i="5"/>
  <c r="BG151" i="5" s="1"/>
  <c r="D152" i="5" s="1"/>
  <c r="P152" i="5" s="1"/>
  <c r="AX152" i="5"/>
  <c r="AZ152" i="5" s="1"/>
  <c r="AW153" i="5"/>
  <c r="CA163" i="5"/>
  <c r="AV163" i="5"/>
  <c r="BN163" i="5"/>
  <c r="BK163" i="5"/>
  <c r="BQ163" i="5"/>
  <c r="BO163" i="5"/>
  <c r="J155" i="4"/>
  <c r="BP152" i="5"/>
  <c r="BM153" i="5"/>
  <c r="BV151" i="5"/>
  <c r="BL153" i="5"/>
  <c r="BT152" i="5" s="1"/>
  <c r="AL163" i="5"/>
  <c r="AQ136" i="4"/>
  <c r="AD136" i="4"/>
  <c r="Z137" i="4"/>
  <c r="E17" i="5"/>
  <c r="E33" i="5" s="1"/>
  <c r="J162" i="5"/>
  <c r="V162" i="5" s="1"/>
  <c r="AF137" i="4"/>
  <c r="AU137" i="4"/>
  <c r="CE137" i="4"/>
  <c r="Y137" i="4"/>
  <c r="AA133" i="4"/>
  <c r="AW130" i="4"/>
  <c r="AE132" i="4"/>
  <c r="AG132" i="4" s="1"/>
  <c r="AB133" i="4"/>
  <c r="BN136" i="4"/>
  <c r="BU163" i="5"/>
  <c r="AK163" i="5"/>
  <c r="AO163" i="5"/>
  <c r="AI163" i="5"/>
  <c r="BY77" i="4"/>
  <c r="CO77" i="4" s="1"/>
  <c r="CP77" i="4" s="1"/>
  <c r="BZ89" i="4"/>
  <c r="CB89" i="4" s="1"/>
  <c r="CC89" i="4"/>
  <c r="BK94" i="4"/>
  <c r="CD93" i="4" s="1"/>
  <c r="BM93" i="4"/>
  <c r="BO93" i="4" s="1"/>
  <c r="BL94" i="4"/>
  <c r="CM77" i="4"/>
  <c r="CN77" i="4" s="1"/>
  <c r="F96" i="4" s="1"/>
  <c r="BR78" i="4"/>
  <c r="BS90" i="4" s="1"/>
  <c r="BT102" i="4" s="1"/>
  <c r="BU114" i="4" s="1"/>
  <c r="AD166" i="5"/>
  <c r="AC167" i="5"/>
  <c r="BJ167" i="5"/>
  <c r="CR162" i="5"/>
  <c r="CS162" i="5" s="1"/>
  <c r="CW136" i="4"/>
  <c r="CX136" i="4" s="1"/>
  <c r="DF136" i="4" s="1"/>
  <c r="CV137" i="4"/>
  <c r="CT137" i="4"/>
  <c r="CZ136" i="4" s="1"/>
  <c r="DA136" i="4" s="1"/>
  <c r="BP137" i="4"/>
  <c r="CY137" i="4"/>
  <c r="CS138" i="4" s="1"/>
  <c r="BI137" i="4"/>
  <c r="X137" i="4"/>
  <c r="K156" i="4" s="1"/>
  <c r="DL163" i="5"/>
  <c r="DZ163" i="5"/>
  <c r="EA161" i="5"/>
  <c r="EB160" i="5"/>
  <c r="I161" i="5" s="1"/>
  <c r="U161" i="5" s="1"/>
  <c r="DM161" i="5"/>
  <c r="H161" i="5"/>
  <c r="T161" i="5" s="1"/>
  <c r="CX163" i="5"/>
  <c r="CY160" i="5"/>
  <c r="CZ160" i="5"/>
  <c r="G161" i="5" s="1"/>
  <c r="S161" i="5" s="1"/>
  <c r="DH132" i="4"/>
  <c r="I151" i="4" s="1"/>
  <c r="DD133" i="4"/>
  <c r="DE133" i="4" s="1"/>
  <c r="H152" i="4" s="1"/>
  <c r="N163" i="5"/>
  <c r="DG135" i="4"/>
  <c r="DI161" i="5"/>
  <c r="DJ161" i="5" s="1"/>
  <c r="DF162" i="5"/>
  <c r="DG162" i="5" s="1"/>
  <c r="DT162" i="5"/>
  <c r="DU162" i="5" s="1"/>
  <c r="CU161" i="5"/>
  <c r="CV161" i="5" s="1"/>
  <c r="DR163" i="5"/>
  <c r="DQ163" i="5"/>
  <c r="DY162" i="5" s="1"/>
  <c r="DP163" i="5"/>
  <c r="DS163" i="5"/>
  <c r="B164" i="5"/>
  <c r="DH163" i="5"/>
  <c r="BY163" i="5"/>
  <c r="CD163" i="5" s="1"/>
  <c r="AA164" i="5"/>
  <c r="DV163" i="5"/>
  <c r="CT163" i="5"/>
  <c r="CU163" i="5"/>
  <c r="AB163" i="5"/>
  <c r="K164" i="5" s="1"/>
  <c r="W164" i="5" s="1"/>
  <c r="DB163" i="5"/>
  <c r="DD163" i="5"/>
  <c r="DE163" i="5"/>
  <c r="DC163" i="5"/>
  <c r="DK162" i="5" s="1"/>
  <c r="DW161" i="5"/>
  <c r="DX161" i="5" s="1"/>
  <c r="EB161" i="5" s="1"/>
  <c r="CP163" i="5"/>
  <c r="CO163" i="5"/>
  <c r="CW162" i="5" s="1"/>
  <c r="CN163" i="5"/>
  <c r="CQ163" i="5"/>
  <c r="DB135" i="4"/>
  <c r="DC135" i="4" s="1"/>
  <c r="CU137" i="4"/>
  <c r="W138" i="4"/>
  <c r="C156" i="4"/>
  <c r="BJ96" i="4" l="1"/>
  <c r="BQ96" i="4" s="1"/>
  <c r="CK157" i="5"/>
  <c r="CL157" i="5"/>
  <c r="BD152" i="5"/>
  <c r="BF152" i="5" s="1"/>
  <c r="BC152" i="5"/>
  <c r="BG152" i="5" s="1"/>
  <c r="D153" i="5" s="1"/>
  <c r="P153" i="5" s="1"/>
  <c r="CC158" i="5"/>
  <c r="CE158" i="5" s="1"/>
  <c r="CH158" i="5" s="1"/>
  <c r="CB159" i="5"/>
  <c r="AX153" i="5"/>
  <c r="AZ153" i="5" s="1"/>
  <c r="AW154" i="5"/>
  <c r="BO164" i="5"/>
  <c r="CF164" i="5"/>
  <c r="CI164" i="5" s="1"/>
  <c r="AY164" i="5"/>
  <c r="BA164" i="5"/>
  <c r="CJ164" i="5"/>
  <c r="BE164" i="5"/>
  <c r="BK164" i="5"/>
  <c r="AC138" i="4"/>
  <c r="BZ164" i="5"/>
  <c r="CG164" i="5" s="1"/>
  <c r="BB154" i="5"/>
  <c r="AU155" i="5"/>
  <c r="CA164" i="5"/>
  <c r="CA165" i="5" s="1"/>
  <c r="J156" i="4"/>
  <c r="Z138" i="4"/>
  <c r="AA134" i="4"/>
  <c r="AT133" i="4" s="1"/>
  <c r="AT132" i="4"/>
  <c r="BQ164" i="5"/>
  <c r="BV152" i="5"/>
  <c r="BL154" i="5"/>
  <c r="BT153" i="5" s="1"/>
  <c r="BM154" i="5"/>
  <c r="BR152" i="5"/>
  <c r="BS152" i="5" s="1"/>
  <c r="BW152" i="5" s="1"/>
  <c r="E153" i="5" s="1"/>
  <c r="Q153" i="5" s="1"/>
  <c r="BJ97" i="4"/>
  <c r="BQ97" i="4" s="1"/>
  <c r="AQ137" i="4"/>
  <c r="AD137" i="4"/>
  <c r="J163" i="5"/>
  <c r="V163" i="5" s="1"/>
  <c r="BN137" i="4"/>
  <c r="AE133" i="4"/>
  <c r="AG133" i="4" s="1"/>
  <c r="AB134" i="4"/>
  <c r="AF138" i="4"/>
  <c r="Y138" i="4"/>
  <c r="AW131" i="4"/>
  <c r="BU164" i="5"/>
  <c r="AI164" i="5"/>
  <c r="AK164" i="5"/>
  <c r="AO164" i="5"/>
  <c r="CQ77" i="4"/>
  <c r="G96" i="4" s="1"/>
  <c r="BL95" i="4"/>
  <c r="BM94" i="4"/>
  <c r="BO94" i="4" s="1"/>
  <c r="F153" i="5"/>
  <c r="R153" i="5" s="1"/>
  <c r="BV78" i="4"/>
  <c r="BX78" i="4" s="1"/>
  <c r="CE78" i="4" s="1"/>
  <c r="BK95" i="4"/>
  <c r="CD94" i="4" s="1"/>
  <c r="AD167" i="5"/>
  <c r="AC168" i="5"/>
  <c r="BJ168" i="5"/>
  <c r="DF163" i="5"/>
  <c r="DG163" i="5" s="1"/>
  <c r="DE164" i="5" s="1"/>
  <c r="A153" i="5"/>
  <c r="CW137" i="4"/>
  <c r="CX137" i="4" s="1"/>
  <c r="DF137" i="4" s="1"/>
  <c r="CA137" i="4"/>
  <c r="CT138" i="4"/>
  <c r="CZ137" i="4" s="1"/>
  <c r="DA137" i="4" s="1"/>
  <c r="CV138" i="4"/>
  <c r="BP138" i="4"/>
  <c r="DF138" i="4"/>
  <c r="CY138" i="4"/>
  <c r="BI138" i="4"/>
  <c r="X138" i="4"/>
  <c r="K157" i="4" s="1"/>
  <c r="DL164" i="5"/>
  <c r="DZ164" i="5"/>
  <c r="EA162" i="5"/>
  <c r="I162" i="5"/>
  <c r="U162" i="5" s="1"/>
  <c r="DM162" i="5"/>
  <c r="DN161" i="5"/>
  <c r="H162" i="5" s="1"/>
  <c r="T162" i="5" s="1"/>
  <c r="CY161" i="5"/>
  <c r="CZ161" i="5"/>
  <c r="G162" i="5" s="1"/>
  <c r="S162" i="5" s="1"/>
  <c r="CX164" i="5"/>
  <c r="DD134" i="4"/>
  <c r="DE134" i="4" s="1"/>
  <c r="H153" i="4" s="1"/>
  <c r="DH133" i="4"/>
  <c r="I152" i="4" s="1"/>
  <c r="N164" i="5"/>
  <c r="DG136" i="4"/>
  <c r="DW162" i="5"/>
  <c r="DX162" i="5" s="1"/>
  <c r="EB162" i="5" s="1"/>
  <c r="DT163" i="5"/>
  <c r="DU163" i="5" s="1"/>
  <c r="DS164" i="5" s="1"/>
  <c r="CR163" i="5"/>
  <c r="CS163" i="5" s="1"/>
  <c r="CV163" i="5" s="1"/>
  <c r="CN164" i="5" s="1"/>
  <c r="DR164" i="5"/>
  <c r="DQ164" i="5"/>
  <c r="DY163" i="5" s="1"/>
  <c r="DP164" i="5"/>
  <c r="CU162" i="5"/>
  <c r="CV162" i="5" s="1"/>
  <c r="B165" i="5"/>
  <c r="DH164" i="5"/>
  <c r="BY164" i="5"/>
  <c r="CD164" i="5" s="1"/>
  <c r="CR164" i="5"/>
  <c r="DV164" i="5"/>
  <c r="CT164" i="5"/>
  <c r="AA165" i="5"/>
  <c r="AB164" i="5"/>
  <c r="K165" i="5" s="1"/>
  <c r="W165" i="5" s="1"/>
  <c r="DI162" i="5"/>
  <c r="DJ162" i="5" s="1"/>
  <c r="DC164" i="5"/>
  <c r="DK163" i="5" s="1"/>
  <c r="DD164" i="5"/>
  <c r="DB164" i="5"/>
  <c r="DB136" i="4"/>
  <c r="DC136" i="4" s="1"/>
  <c r="CU138" i="4"/>
  <c r="W139" i="4"/>
  <c r="C157" i="4"/>
  <c r="AA135" i="4" l="1"/>
  <c r="AT134" i="4" s="1"/>
  <c r="CL158" i="5"/>
  <c r="CK158" i="5"/>
  <c r="Z139" i="4"/>
  <c r="BZ165" i="5"/>
  <c r="CG165" i="5" s="1"/>
  <c r="BO165" i="5"/>
  <c r="BA165" i="5"/>
  <c r="AY165" i="5"/>
  <c r="CF165" i="5"/>
  <c r="CI165" i="5" s="1"/>
  <c r="CJ165" i="5"/>
  <c r="BE165" i="5"/>
  <c r="BB155" i="5"/>
  <c r="AU156" i="5"/>
  <c r="AX154" i="5"/>
  <c r="AZ154" i="5" s="1"/>
  <c r="AW155" i="5"/>
  <c r="BK165" i="5"/>
  <c r="BD153" i="5"/>
  <c r="BF153" i="5" s="1"/>
  <c r="BC153" i="5"/>
  <c r="BG153" i="5" s="1"/>
  <c r="D154" i="5" s="1"/>
  <c r="P154" i="5" s="1"/>
  <c r="CC159" i="5"/>
  <c r="CE159" i="5" s="1"/>
  <c r="CH159" i="5" s="1"/>
  <c r="CB160" i="5"/>
  <c r="J157" i="4"/>
  <c r="T34" i="4" s="1"/>
  <c r="BP153" i="5"/>
  <c r="BR153" i="5" s="1"/>
  <c r="BS153" i="5" s="1"/>
  <c r="BW153" i="5" s="1"/>
  <c r="E154" i="5" s="1"/>
  <c r="Q154" i="5" s="1"/>
  <c r="BQ165" i="5"/>
  <c r="BJ98" i="4"/>
  <c r="BQ98" i="4" s="1"/>
  <c r="BM155" i="5"/>
  <c r="BV153" i="5"/>
  <c r="BL155" i="5"/>
  <c r="BT154" i="5" s="1"/>
  <c r="J164" i="5"/>
  <c r="V164" i="5" s="1"/>
  <c r="AQ138" i="4"/>
  <c r="AD138" i="4"/>
  <c r="AF139" i="4"/>
  <c r="AU139" i="4"/>
  <c r="CE139" i="4"/>
  <c r="Y139" i="4"/>
  <c r="BN138" i="4"/>
  <c r="AW133" i="4"/>
  <c r="AE134" i="4"/>
  <c r="AG134" i="4" s="1"/>
  <c r="AB135" i="4"/>
  <c r="BU165" i="5"/>
  <c r="AK165" i="5"/>
  <c r="AO165" i="5"/>
  <c r="AI165" i="5"/>
  <c r="BK96" i="4"/>
  <c r="CD95" i="4" s="1"/>
  <c r="BM95" i="4"/>
  <c r="BO95" i="4" s="1"/>
  <c r="BL96" i="4"/>
  <c r="BZ90" i="4"/>
  <c r="CB90" i="4" s="1"/>
  <c r="CC90" i="4"/>
  <c r="BY78" i="4"/>
  <c r="CO78" i="4" s="1"/>
  <c r="CF78" i="4"/>
  <c r="CG78" i="4" s="1"/>
  <c r="CK78" i="4"/>
  <c r="CL78" i="4" s="1"/>
  <c r="F154" i="5"/>
  <c r="R154" i="5" s="1"/>
  <c r="AD168" i="5"/>
  <c r="AC169" i="5"/>
  <c r="BJ169" i="5"/>
  <c r="N165" i="5"/>
  <c r="CW138" i="4"/>
  <c r="CX138" i="4" s="1"/>
  <c r="CA138" i="4"/>
  <c r="BP139" i="4"/>
  <c r="CY139" i="4"/>
  <c r="CW139" i="4"/>
  <c r="BI139" i="4"/>
  <c r="CA139" i="4" s="1"/>
  <c r="X139" i="4"/>
  <c r="K158" i="4" s="1"/>
  <c r="DL165" i="5"/>
  <c r="DZ165" i="5"/>
  <c r="EA163" i="5"/>
  <c r="I163" i="5"/>
  <c r="U163" i="5" s="1"/>
  <c r="DM163" i="5"/>
  <c r="DN162" i="5"/>
  <c r="H163" i="5" s="1"/>
  <c r="T163" i="5" s="1"/>
  <c r="CX165" i="5"/>
  <c r="CY162" i="5"/>
  <c r="CZ162" i="5"/>
  <c r="G163" i="5" s="1"/>
  <c r="S163" i="5" s="1"/>
  <c r="DD135" i="4"/>
  <c r="DE135" i="4" s="1"/>
  <c r="H154" i="4" s="1"/>
  <c r="DH134" i="4"/>
  <c r="I153" i="4" s="1"/>
  <c r="DF164" i="5"/>
  <c r="DG164" i="5" s="1"/>
  <c r="CP164" i="5"/>
  <c r="CQ164" i="5" s="1"/>
  <c r="CS164" i="5" s="1"/>
  <c r="CO164" i="5"/>
  <c r="CW163" i="5" s="1"/>
  <c r="B166" i="5"/>
  <c r="DV165" i="5"/>
  <c r="CT165" i="5"/>
  <c r="CR165" i="5"/>
  <c r="DH165" i="5"/>
  <c r="BY165" i="5"/>
  <c r="CD165" i="5" s="1"/>
  <c r="AA166" i="5"/>
  <c r="AB165" i="5"/>
  <c r="K166" i="5" s="1"/>
  <c r="W166" i="5" s="1"/>
  <c r="CN165" i="5"/>
  <c r="DT164" i="5"/>
  <c r="DU164" i="5" s="1"/>
  <c r="DS165" i="5"/>
  <c r="DR165" i="5"/>
  <c r="DP165" i="5"/>
  <c r="DQ165" i="5"/>
  <c r="DY164" i="5" s="1"/>
  <c r="DD165" i="5"/>
  <c r="DB165" i="5"/>
  <c r="DE165" i="5"/>
  <c r="DC165" i="5"/>
  <c r="DK164" i="5" s="1"/>
  <c r="DI163" i="5"/>
  <c r="DJ163" i="5" s="1"/>
  <c r="DN163" i="5" s="1"/>
  <c r="DW163" i="5"/>
  <c r="DX163" i="5" s="1"/>
  <c r="DG137" i="4"/>
  <c r="DB137" i="4"/>
  <c r="DC137" i="4" s="1"/>
  <c r="W140" i="4"/>
  <c r="C158" i="4"/>
  <c r="B157" i="4" s="1"/>
  <c r="AA136" i="4" l="1"/>
  <c r="AT135" i="4" s="1"/>
  <c r="CA166" i="5"/>
  <c r="CL159" i="5"/>
  <c r="CK159" i="5"/>
  <c r="BK166" i="5"/>
  <c r="AX155" i="5"/>
  <c r="AZ155" i="5" s="1"/>
  <c r="AW156" i="5"/>
  <c r="BD154" i="5"/>
  <c r="BF154" i="5" s="1"/>
  <c r="BC154" i="5"/>
  <c r="BG154" i="5" s="1"/>
  <c r="D155" i="5" s="1"/>
  <c r="P155" i="5" s="1"/>
  <c r="BO166" i="5"/>
  <c r="CF166" i="5"/>
  <c r="BA166" i="5"/>
  <c r="BE166" i="5"/>
  <c r="CJ166" i="5"/>
  <c r="AY166" i="5"/>
  <c r="CC160" i="5"/>
  <c r="CE160" i="5" s="1"/>
  <c r="CH160" i="5" s="1"/>
  <c r="CB161" i="5"/>
  <c r="BB156" i="5"/>
  <c r="AU157" i="5"/>
  <c r="BZ166" i="5"/>
  <c r="CG166" i="5" s="1"/>
  <c r="BP154" i="5"/>
  <c r="BR154" i="5" s="1"/>
  <c r="BS154" i="5" s="1"/>
  <c r="BW154" i="5" s="1"/>
  <c r="E155" i="5" s="1"/>
  <c r="Q155" i="5" s="1"/>
  <c r="BJ99" i="4"/>
  <c r="BQ99" i="4" s="1"/>
  <c r="BQ166" i="5"/>
  <c r="BL156" i="5"/>
  <c r="BT155" i="5" s="1"/>
  <c r="BV154" i="5"/>
  <c r="BM156" i="5"/>
  <c r="J165" i="5"/>
  <c r="V165" i="5" s="1"/>
  <c r="AQ139" i="4"/>
  <c r="AD139" i="4"/>
  <c r="BN139" i="4"/>
  <c r="CE140" i="4"/>
  <c r="AF140" i="4"/>
  <c r="AU140" i="4"/>
  <c r="Y140" i="4"/>
  <c r="AE135" i="4"/>
  <c r="AG135" i="4" s="1"/>
  <c r="AB136" i="4"/>
  <c r="AA137" i="4"/>
  <c r="AT136" i="4" s="1"/>
  <c r="AW134" i="4"/>
  <c r="Z140" i="4"/>
  <c r="BU166" i="5"/>
  <c r="AK166" i="5"/>
  <c r="AO166" i="5"/>
  <c r="AI166" i="5"/>
  <c r="F155" i="5"/>
  <c r="R155" i="5" s="1"/>
  <c r="BK97" i="4"/>
  <c r="CD96" i="4" s="1"/>
  <c r="CM78" i="4"/>
  <c r="CP78" i="4"/>
  <c r="CH78" i="4"/>
  <c r="CI78" i="4" s="1"/>
  <c r="CJ78" i="4" s="1"/>
  <c r="CF79" i="4" s="1"/>
  <c r="BM96" i="4"/>
  <c r="BO96" i="4" s="1"/>
  <c r="BL97" i="4"/>
  <c r="AD169" i="5"/>
  <c r="AC170" i="5"/>
  <c r="BJ170" i="5"/>
  <c r="DT165" i="5"/>
  <c r="DU165" i="5" s="1"/>
  <c r="J158" i="4"/>
  <c r="CY140" i="4"/>
  <c r="BP140" i="4"/>
  <c r="CW140" i="4"/>
  <c r="BI140" i="4"/>
  <c r="BN140" i="4" s="1"/>
  <c r="X140" i="4"/>
  <c r="K159" i="4" s="1"/>
  <c r="DL166" i="5"/>
  <c r="DZ166" i="5"/>
  <c r="EA164" i="5"/>
  <c r="EB163" i="5"/>
  <c r="I164" i="5" s="1"/>
  <c r="U164" i="5" s="1"/>
  <c r="DM164" i="5"/>
  <c r="H164" i="5"/>
  <c r="T164" i="5" s="1"/>
  <c r="CZ163" i="5"/>
  <c r="G164" i="5" s="1"/>
  <c r="S164" i="5" s="1"/>
  <c r="CY163" i="5"/>
  <c r="CX166" i="5"/>
  <c r="DD136" i="4"/>
  <c r="DE136" i="4" s="1"/>
  <c r="H155" i="4" s="1"/>
  <c r="DH135" i="4"/>
  <c r="I154" i="4" s="1"/>
  <c r="N166" i="5"/>
  <c r="DG138" i="4"/>
  <c r="CS139" i="4"/>
  <c r="CQ165" i="5"/>
  <c r="CS165" i="5" s="1"/>
  <c r="CP165" i="5"/>
  <c r="CP166" i="5" s="1"/>
  <c r="DW164" i="5"/>
  <c r="DX164" i="5" s="1"/>
  <c r="DE166" i="5"/>
  <c r="DC166" i="5"/>
  <c r="DK165" i="5" s="1"/>
  <c r="DB166" i="5"/>
  <c r="DD166" i="5"/>
  <c r="DS166" i="5"/>
  <c r="DQ166" i="5"/>
  <c r="DY165" i="5" s="1"/>
  <c r="DR166" i="5"/>
  <c r="DP166" i="5"/>
  <c r="CO165" i="5"/>
  <c r="CW164" i="5" s="1"/>
  <c r="DI164" i="5"/>
  <c r="DJ164" i="5" s="1"/>
  <c r="DN164" i="5" s="1"/>
  <c r="DF165" i="5"/>
  <c r="DG165" i="5" s="1"/>
  <c r="B167" i="5"/>
  <c r="CR166" i="5"/>
  <c r="CT166" i="5"/>
  <c r="AA167" i="5"/>
  <c r="DH166" i="5"/>
  <c r="BY166" i="5"/>
  <c r="CD166" i="5" s="1"/>
  <c r="DV166" i="5"/>
  <c r="AB166" i="5"/>
  <c r="K167" i="5" s="1"/>
  <c r="W167" i="5" s="1"/>
  <c r="CN166" i="5"/>
  <c r="CU164" i="5"/>
  <c r="CV164" i="5" s="1"/>
  <c r="DB138" i="4"/>
  <c r="DC138" i="4" s="1"/>
  <c r="W141" i="4"/>
  <c r="C159" i="4"/>
  <c r="BK167" i="5" l="1"/>
  <c r="CA167" i="5"/>
  <c r="CI166" i="5"/>
  <c r="CL160" i="5"/>
  <c r="CK160" i="5"/>
  <c r="BB157" i="5"/>
  <c r="AU158" i="5"/>
  <c r="CC161" i="5"/>
  <c r="CE161" i="5" s="1"/>
  <c r="CH161" i="5" s="1"/>
  <c r="CB162" i="5"/>
  <c r="AX156" i="5"/>
  <c r="AZ156" i="5" s="1"/>
  <c r="AW157" i="5"/>
  <c r="BZ167" i="5"/>
  <c r="CG167" i="5" s="1"/>
  <c r="BD155" i="5"/>
  <c r="BF155" i="5" s="1"/>
  <c r="BC155" i="5"/>
  <c r="BG155" i="5" s="1"/>
  <c r="D156" i="5" s="1"/>
  <c r="P156" i="5" s="1"/>
  <c r="BO167" i="5"/>
  <c r="CF167" i="5"/>
  <c r="CI167" i="5" s="1"/>
  <c r="CJ167" i="5"/>
  <c r="BA167" i="5"/>
  <c r="AY167" i="5"/>
  <c r="BE167" i="5"/>
  <c r="BJ100" i="4"/>
  <c r="BQ100" i="4" s="1"/>
  <c r="BP155" i="5"/>
  <c r="BR155" i="5" s="1"/>
  <c r="BS155" i="5" s="1"/>
  <c r="BW155" i="5" s="1"/>
  <c r="E156" i="5" s="1"/>
  <c r="Q156" i="5" s="1"/>
  <c r="J166" i="5"/>
  <c r="V166" i="5" s="1"/>
  <c r="BQ167" i="5"/>
  <c r="BK168" i="5" s="1"/>
  <c r="BM157" i="5"/>
  <c r="BL157" i="5"/>
  <c r="BT156" i="5" s="1"/>
  <c r="BV155" i="5"/>
  <c r="AQ140" i="4"/>
  <c r="AD140" i="4"/>
  <c r="Z141" i="4"/>
  <c r="AE136" i="4"/>
  <c r="AG136" i="4" s="1"/>
  <c r="AB137" i="4"/>
  <c r="AW135" i="4"/>
  <c r="AF141" i="4"/>
  <c r="AU141" i="4"/>
  <c r="CE141" i="4"/>
  <c r="Y141" i="4"/>
  <c r="AA138" i="4"/>
  <c r="AT137" i="4" s="1"/>
  <c r="AK167" i="5"/>
  <c r="BU167" i="5"/>
  <c r="AO167" i="5"/>
  <c r="AI167" i="5"/>
  <c r="CQ78" i="4"/>
  <c r="G97" i="4" s="1"/>
  <c r="CN78" i="4"/>
  <c r="F97" i="4" s="1"/>
  <c r="BR79" i="4"/>
  <c r="BS91" i="4" s="1"/>
  <c r="BT103" i="4" s="1"/>
  <c r="BU115" i="4" s="1"/>
  <c r="BM97" i="4"/>
  <c r="BO97" i="4" s="1"/>
  <c r="BL98" i="4"/>
  <c r="CG79" i="4"/>
  <c r="CH79" i="4" s="1"/>
  <c r="CI79" i="4" s="1"/>
  <c r="CJ79" i="4" s="1"/>
  <c r="CF80" i="4" s="1"/>
  <c r="BK98" i="4"/>
  <c r="CD97" i="4" s="1"/>
  <c r="F156" i="5"/>
  <c r="R156" i="5" s="1"/>
  <c r="AD170" i="5"/>
  <c r="AC171" i="5"/>
  <c r="BJ171" i="5"/>
  <c r="DF166" i="5"/>
  <c r="DG166" i="5" s="1"/>
  <c r="J159" i="4"/>
  <c r="BP141" i="4"/>
  <c r="CW141" i="4"/>
  <c r="CY141" i="4"/>
  <c r="BI141" i="4"/>
  <c r="CA141" i="4" s="1"/>
  <c r="X141" i="4"/>
  <c r="K160" i="4" s="1"/>
  <c r="CA140" i="4"/>
  <c r="DL167" i="5"/>
  <c r="DZ167" i="5"/>
  <c r="EB164" i="5"/>
  <c r="I165" i="5" s="1"/>
  <c r="U165" i="5" s="1"/>
  <c r="EA165" i="5"/>
  <c r="H165" i="5"/>
  <c r="T165" i="5" s="1"/>
  <c r="DM165" i="5"/>
  <c r="CY164" i="5"/>
  <c r="CZ164" i="5"/>
  <c r="G165" i="5" s="1"/>
  <c r="S165" i="5" s="1"/>
  <c r="CX167" i="5"/>
  <c r="DD137" i="4"/>
  <c r="DE137" i="4" s="1"/>
  <c r="H156" i="4" s="1"/>
  <c r="DH136" i="4"/>
  <c r="I155" i="4" s="1"/>
  <c r="N167" i="5"/>
  <c r="CS140" i="4"/>
  <c r="CS141" i="4" s="1"/>
  <c r="CT139" i="4"/>
  <c r="CT140" i="4" s="1"/>
  <c r="CT141" i="4" s="1"/>
  <c r="CQ166" i="5"/>
  <c r="CS166" i="5" s="1"/>
  <c r="CU165" i="5"/>
  <c r="CV165" i="5" s="1"/>
  <c r="DT166" i="5"/>
  <c r="DU166" i="5" s="1"/>
  <c r="CO166" i="5"/>
  <c r="CW165" i="5" s="1"/>
  <c r="DI165" i="5"/>
  <c r="DJ165" i="5" s="1"/>
  <c r="DE167" i="5"/>
  <c r="DD167" i="5"/>
  <c r="DB167" i="5"/>
  <c r="DC167" i="5"/>
  <c r="DK166" i="5" s="1"/>
  <c r="B168" i="5"/>
  <c r="CR167" i="5"/>
  <c r="BY167" i="5"/>
  <c r="CD167" i="5" s="1"/>
  <c r="DV167" i="5"/>
  <c r="CT167" i="5"/>
  <c r="DH167" i="5"/>
  <c r="AA168" i="5"/>
  <c r="AB167" i="5"/>
  <c r="K168" i="5" s="1"/>
  <c r="W168" i="5" s="1"/>
  <c r="DW165" i="5"/>
  <c r="DX165" i="5" s="1"/>
  <c r="EB165" i="5" s="1"/>
  <c r="CP167" i="5"/>
  <c r="CN167" i="5"/>
  <c r="DS167" i="5"/>
  <c r="DQ167" i="5"/>
  <c r="DY166" i="5" s="1"/>
  <c r="DR167" i="5"/>
  <c r="DP167" i="5"/>
  <c r="CU139" i="4"/>
  <c r="W142" i="4"/>
  <c r="C160" i="4"/>
  <c r="CK161" i="5" l="1"/>
  <c r="CL161" i="5"/>
  <c r="BO168" i="5"/>
  <c r="CJ168" i="5"/>
  <c r="AY168" i="5"/>
  <c r="CF168" i="5"/>
  <c r="CI168" i="5" s="1"/>
  <c r="BA168" i="5"/>
  <c r="BE168" i="5"/>
  <c r="CC162" i="5"/>
  <c r="CE162" i="5" s="1"/>
  <c r="CH162" i="5" s="1"/>
  <c r="CB163" i="5"/>
  <c r="BB158" i="5"/>
  <c r="AU159" i="5"/>
  <c r="BZ168" i="5"/>
  <c r="CG168" i="5" s="1"/>
  <c r="AX157" i="5"/>
  <c r="AZ157" i="5" s="1"/>
  <c r="AW158" i="5"/>
  <c r="BD156" i="5"/>
  <c r="BF156" i="5" s="1"/>
  <c r="BC156" i="5"/>
  <c r="BG156" i="5" s="1"/>
  <c r="D157" i="5" s="1"/>
  <c r="P157" i="5" s="1"/>
  <c r="CA168" i="5"/>
  <c r="BJ101" i="4"/>
  <c r="BQ101" i="4" s="1"/>
  <c r="J167" i="5"/>
  <c r="V167" i="5" s="1"/>
  <c r="BP156" i="5"/>
  <c r="BR156" i="5" s="1"/>
  <c r="BS156" i="5" s="1"/>
  <c r="BW156" i="5" s="1"/>
  <c r="E157" i="5" s="1"/>
  <c r="Q157" i="5" s="1"/>
  <c r="BQ168" i="5"/>
  <c r="BK169" i="5" s="1"/>
  <c r="BV156" i="5"/>
  <c r="BL158" i="5"/>
  <c r="BT157" i="5" s="1"/>
  <c r="BM158" i="5"/>
  <c r="AQ141" i="4"/>
  <c r="AD141" i="4"/>
  <c r="AA139" i="4"/>
  <c r="AW136" i="4"/>
  <c r="Z142" i="4"/>
  <c r="AE137" i="4"/>
  <c r="AG137" i="4" s="1"/>
  <c r="AB138" i="4"/>
  <c r="AF142" i="4"/>
  <c r="AU142" i="4"/>
  <c r="CE142" i="4"/>
  <c r="Y142" i="4"/>
  <c r="BN141" i="4"/>
  <c r="BU168" i="5"/>
  <c r="AK168" i="5"/>
  <c r="AO168" i="5"/>
  <c r="AI168" i="5"/>
  <c r="CG80" i="4"/>
  <c r="CH80" i="4" s="1"/>
  <c r="CI80" i="4" s="1"/>
  <c r="CJ80" i="4" s="1"/>
  <c r="CF81" i="4" s="1"/>
  <c r="BR80" i="4"/>
  <c r="BS92" i="4" s="1"/>
  <c r="BT104" i="4" s="1"/>
  <c r="BU116" i="4" s="1"/>
  <c r="F157" i="5"/>
  <c r="R157" i="5" s="1"/>
  <c r="BM98" i="4"/>
  <c r="BO98" i="4" s="1"/>
  <c r="BL99" i="4"/>
  <c r="BV79" i="4"/>
  <c r="BX79" i="4" s="1"/>
  <c r="CK79" i="4" s="1"/>
  <c r="CL79" i="4" s="1"/>
  <c r="BK99" i="4"/>
  <c r="CD98" i="4" s="1"/>
  <c r="AD171" i="5"/>
  <c r="AC172" i="5"/>
  <c r="BJ172" i="5"/>
  <c r="DF167" i="5"/>
  <c r="DG167" i="5" s="1"/>
  <c r="J160" i="4"/>
  <c r="CT142" i="4"/>
  <c r="CS142" i="4"/>
  <c r="DD138" i="4"/>
  <c r="DH138" i="4" s="1"/>
  <c r="I157" i="4" s="1"/>
  <c r="DH137" i="4"/>
  <c r="I156" i="4" s="1"/>
  <c r="CY142" i="4"/>
  <c r="CW142" i="4"/>
  <c r="BP142" i="4"/>
  <c r="BI142" i="4"/>
  <c r="CA142" i="4" s="1"/>
  <c r="X142" i="4"/>
  <c r="K161" i="4" s="1"/>
  <c r="CO167" i="5"/>
  <c r="CW166" i="5" s="1"/>
  <c r="DL168" i="5"/>
  <c r="DZ168" i="5"/>
  <c r="EA166" i="5"/>
  <c r="I166" i="5"/>
  <c r="U166" i="5" s="1"/>
  <c r="DM166" i="5"/>
  <c r="DN165" i="5"/>
  <c r="H166" i="5" s="1"/>
  <c r="T166" i="5" s="1"/>
  <c r="CX168" i="5"/>
  <c r="CZ165" i="5"/>
  <c r="G166" i="5" s="1"/>
  <c r="S166" i="5" s="1"/>
  <c r="CY165" i="5"/>
  <c r="CZ138" i="4"/>
  <c r="DA138" i="4" s="1"/>
  <c r="N168" i="5"/>
  <c r="CV139" i="4"/>
  <c r="CV140" i="4" s="1"/>
  <c r="CV141" i="4" s="1"/>
  <c r="CV142" i="4" s="1"/>
  <c r="CQ167" i="5"/>
  <c r="CS167" i="5" s="1"/>
  <c r="CZ139" i="4"/>
  <c r="DB168" i="5"/>
  <c r="DE168" i="5"/>
  <c r="DC168" i="5"/>
  <c r="DK167" i="5" s="1"/>
  <c r="DD168" i="5"/>
  <c r="CN168" i="5"/>
  <c r="CP168" i="5"/>
  <c r="DT167" i="5"/>
  <c r="DU167" i="5" s="1"/>
  <c r="DP168" i="5"/>
  <c r="DR168" i="5"/>
  <c r="DS168" i="5"/>
  <c r="DQ168" i="5"/>
  <c r="DY167" i="5" s="1"/>
  <c r="B169" i="5"/>
  <c r="CR168" i="5"/>
  <c r="DH168" i="5"/>
  <c r="BY168" i="5"/>
  <c r="CD168" i="5" s="1"/>
  <c r="CT168" i="5"/>
  <c r="DV168" i="5"/>
  <c r="AA169" i="5"/>
  <c r="AB168" i="5"/>
  <c r="K169" i="5" s="1"/>
  <c r="W169" i="5" s="1"/>
  <c r="CU166" i="5"/>
  <c r="CV166" i="5" s="1"/>
  <c r="DI166" i="5"/>
  <c r="DJ166" i="5" s="1"/>
  <c r="DW166" i="5"/>
  <c r="DX166" i="5" s="1"/>
  <c r="CU140" i="4"/>
  <c r="CU141" i="4" s="1"/>
  <c r="CU142" i="4" s="1"/>
  <c r="W143" i="4"/>
  <c r="C161" i="4"/>
  <c r="CL162" i="5" l="1"/>
  <c r="CK162" i="5"/>
  <c r="AX158" i="5"/>
  <c r="AZ158" i="5" s="1"/>
  <c r="AW159" i="5"/>
  <c r="CC163" i="5"/>
  <c r="CE163" i="5" s="1"/>
  <c r="CI163" i="5" s="1"/>
  <c r="CB164" i="5"/>
  <c r="BZ169" i="5"/>
  <c r="CG169" i="5" s="1"/>
  <c r="BO169" i="5"/>
  <c r="BA169" i="5"/>
  <c r="AY169" i="5"/>
  <c r="CJ169" i="5"/>
  <c r="CF169" i="5"/>
  <c r="CI169" i="5" s="1"/>
  <c r="BE169" i="5"/>
  <c r="BD157" i="5"/>
  <c r="BF157" i="5" s="1"/>
  <c r="BC157" i="5"/>
  <c r="BG157" i="5" s="1"/>
  <c r="D158" i="5" s="1"/>
  <c r="P158" i="5" s="1"/>
  <c r="CA169" i="5"/>
  <c r="BB159" i="5"/>
  <c r="AU160" i="5"/>
  <c r="BJ102" i="4"/>
  <c r="BQ102" i="4" s="1"/>
  <c r="J168" i="5"/>
  <c r="V168" i="5" s="1"/>
  <c r="AA140" i="4"/>
  <c r="AT139" i="4" s="1"/>
  <c r="AT138" i="4"/>
  <c r="BP157" i="5"/>
  <c r="BR157" i="5" s="1"/>
  <c r="BS157" i="5" s="1"/>
  <c r="BW157" i="5" s="1"/>
  <c r="E158" i="5" s="1"/>
  <c r="Q158" i="5" s="1"/>
  <c r="BQ169" i="5"/>
  <c r="BK170" i="5" s="1"/>
  <c r="BM159" i="5"/>
  <c r="BP158" i="5"/>
  <c r="BL159" i="5"/>
  <c r="BT158" i="5" s="1"/>
  <c r="BV157" i="5"/>
  <c r="AQ142" i="4"/>
  <c r="AD142" i="4"/>
  <c r="BN142" i="4"/>
  <c r="AW137" i="4"/>
  <c r="AF143" i="4"/>
  <c r="CE143" i="4"/>
  <c r="AU143" i="4"/>
  <c r="Y143" i="4"/>
  <c r="Z143" i="4"/>
  <c r="AE138" i="4"/>
  <c r="AB139" i="4"/>
  <c r="BU169" i="5"/>
  <c r="AK169" i="5"/>
  <c r="AO169" i="5"/>
  <c r="AI169" i="5"/>
  <c r="CG81" i="4"/>
  <c r="CC91" i="4"/>
  <c r="BZ91" i="4"/>
  <c r="CB91" i="4" s="1"/>
  <c r="F158" i="5"/>
  <c r="R158" i="5" s="1"/>
  <c r="BK100" i="4"/>
  <c r="CD99" i="4" s="1"/>
  <c r="BR81" i="4"/>
  <c r="BS93" i="4" s="1"/>
  <c r="BT105" i="4" s="1"/>
  <c r="BU117" i="4" s="1"/>
  <c r="BY79" i="4"/>
  <c r="CO79" i="4" s="1"/>
  <c r="CP79" i="4" s="1"/>
  <c r="BM99" i="4"/>
  <c r="BO99" i="4" s="1"/>
  <c r="BL100" i="4"/>
  <c r="BV80" i="4"/>
  <c r="BX80" i="4" s="1"/>
  <c r="CK80" i="4" s="1"/>
  <c r="CL80" i="4" s="1"/>
  <c r="CM79" i="4"/>
  <c r="CN79" i="4" s="1"/>
  <c r="F98" i="4" s="1"/>
  <c r="AD172" i="5"/>
  <c r="AC173" i="5"/>
  <c r="BJ173" i="5"/>
  <c r="DF168" i="5"/>
  <c r="DG168" i="5" s="1"/>
  <c r="DE138" i="4"/>
  <c r="H157" i="4" s="1"/>
  <c r="J161" i="4"/>
  <c r="CT143" i="4"/>
  <c r="CV143" i="4"/>
  <c r="CO168" i="5"/>
  <c r="CW167" i="5" s="1"/>
  <c r="CY143" i="4"/>
  <c r="CW143" i="4"/>
  <c r="BP143" i="4"/>
  <c r="BI143" i="4"/>
  <c r="CA143" i="4" s="1"/>
  <c r="X143" i="4"/>
  <c r="K162" i="4" s="1"/>
  <c r="CS143" i="4"/>
  <c r="DL169" i="5"/>
  <c r="DZ169" i="5"/>
  <c r="EA167" i="5"/>
  <c r="EB166" i="5"/>
  <c r="I167" i="5" s="1"/>
  <c r="U167" i="5" s="1"/>
  <c r="DM167" i="5"/>
  <c r="DN166" i="5"/>
  <c r="H167" i="5" s="1"/>
  <c r="T167" i="5" s="1"/>
  <c r="CZ166" i="5"/>
  <c r="G167" i="5" s="1"/>
  <c r="S167" i="5" s="1"/>
  <c r="CY166" i="5"/>
  <c r="CX169" i="5"/>
  <c r="DA139" i="4"/>
  <c r="N169" i="5"/>
  <c r="CX140" i="4"/>
  <c r="DF140" i="4" s="1"/>
  <c r="CX139" i="4"/>
  <c r="DF139" i="4" s="1"/>
  <c r="CQ168" i="5"/>
  <c r="CQ169" i="5" s="1"/>
  <c r="CZ140" i="4"/>
  <c r="DW167" i="5"/>
  <c r="DX167" i="5" s="1"/>
  <c r="EB167" i="5" s="1"/>
  <c r="B170" i="5"/>
  <c r="AA170" i="5"/>
  <c r="DV169" i="5"/>
  <c r="CT169" i="5"/>
  <c r="CR169" i="5"/>
  <c r="DH169" i="5"/>
  <c r="BY169" i="5"/>
  <c r="CD169" i="5" s="1"/>
  <c r="AB169" i="5"/>
  <c r="K170" i="5" s="1"/>
  <c r="W170" i="5" s="1"/>
  <c r="DP169" i="5"/>
  <c r="DR169" i="5"/>
  <c r="DQ169" i="5"/>
  <c r="DY168" i="5" s="1"/>
  <c r="DS169" i="5"/>
  <c r="CN169" i="5"/>
  <c r="CP169" i="5"/>
  <c r="DT168" i="5"/>
  <c r="DU168" i="5" s="1"/>
  <c r="DD169" i="5"/>
  <c r="DC169" i="5"/>
  <c r="DK168" i="5" s="1"/>
  <c r="DB169" i="5"/>
  <c r="DE169" i="5"/>
  <c r="DI167" i="5"/>
  <c r="DJ167" i="5" s="1"/>
  <c r="DN167" i="5" s="1"/>
  <c r="CU167" i="5"/>
  <c r="CV167" i="5" s="1"/>
  <c r="CX141" i="4"/>
  <c r="DF141" i="4" s="1"/>
  <c r="CU143" i="4"/>
  <c r="W144" i="4"/>
  <c r="C162" i="4"/>
  <c r="CA170" i="5" l="1"/>
  <c r="AA141" i="4"/>
  <c r="AT140" i="4" s="1"/>
  <c r="BB160" i="5"/>
  <c r="AU161" i="5"/>
  <c r="CC164" i="5"/>
  <c r="CE164" i="5" s="1"/>
  <c r="CH164" i="5" s="1"/>
  <c r="CB165" i="5"/>
  <c r="BZ170" i="5"/>
  <c r="CG170" i="5" s="1"/>
  <c r="CK163" i="5"/>
  <c r="CH163" i="5"/>
  <c r="CL163" i="5" s="1"/>
  <c r="AX159" i="5"/>
  <c r="AZ159" i="5" s="1"/>
  <c r="AW160" i="5"/>
  <c r="BO170" i="5"/>
  <c r="CF170" i="5"/>
  <c r="CJ170" i="5"/>
  <c r="BA170" i="5"/>
  <c r="BE170" i="5"/>
  <c r="AY170" i="5"/>
  <c r="BD158" i="5"/>
  <c r="BF158" i="5" s="1"/>
  <c r="BC158" i="5"/>
  <c r="BG158" i="5" s="1"/>
  <c r="D159" i="5" s="1"/>
  <c r="P159" i="5" s="1"/>
  <c r="J169" i="5"/>
  <c r="V169" i="5" s="1"/>
  <c r="AG138" i="4"/>
  <c r="AC139" i="4"/>
  <c r="AC140" i="4" s="1"/>
  <c r="AC141" i="4" s="1"/>
  <c r="AC142" i="4" s="1"/>
  <c r="AC143" i="4" s="1"/>
  <c r="AC144" i="4" s="1"/>
  <c r="BR158" i="5"/>
  <c r="BS158" i="5" s="1"/>
  <c r="BW158" i="5" s="1"/>
  <c r="E159" i="5" s="1"/>
  <c r="Q159" i="5" s="1"/>
  <c r="BQ170" i="5"/>
  <c r="BK171" i="5" s="1"/>
  <c r="BL160" i="5"/>
  <c r="BT159" i="5" s="1"/>
  <c r="BV158" i="5"/>
  <c r="BM160" i="5"/>
  <c r="BP159" i="5"/>
  <c r="AQ143" i="4"/>
  <c r="AD143" i="4"/>
  <c r="AU144" i="4"/>
  <c r="AF144" i="4"/>
  <c r="CE144" i="4"/>
  <c r="Y144" i="4"/>
  <c r="AW139" i="4"/>
  <c r="Z144" i="4"/>
  <c r="AB140" i="4"/>
  <c r="BN143" i="4"/>
  <c r="BU170" i="5"/>
  <c r="AO170" i="5"/>
  <c r="AK170" i="5"/>
  <c r="AI170" i="5"/>
  <c r="BY80" i="4"/>
  <c r="CO80" i="4" s="1"/>
  <c r="CP80" i="4" s="1"/>
  <c r="BV81" i="4"/>
  <c r="BX81" i="4" s="1"/>
  <c r="CK81" i="4" s="1"/>
  <c r="CL81" i="4" s="1"/>
  <c r="CH81" i="4"/>
  <c r="CI81" i="4" s="1"/>
  <c r="CJ81" i="4" s="1"/>
  <c r="CF82" i="4" s="1"/>
  <c r="CM80" i="4"/>
  <c r="CN80" i="4" s="1"/>
  <c r="F99" i="4" s="1"/>
  <c r="F159" i="5"/>
  <c r="R159" i="5" s="1"/>
  <c r="CC92" i="4"/>
  <c r="BZ92" i="4"/>
  <c r="CB92" i="4" s="1"/>
  <c r="CQ79" i="4"/>
  <c r="G98" i="4" s="1"/>
  <c r="BM100" i="4"/>
  <c r="BO100" i="4" s="1"/>
  <c r="BL101" i="4"/>
  <c r="BK101" i="4"/>
  <c r="CD100" i="4" s="1"/>
  <c r="AD173" i="5"/>
  <c r="AC174" i="5"/>
  <c r="BJ174" i="5"/>
  <c r="DT169" i="5"/>
  <c r="DU169" i="5" s="1"/>
  <c r="CO169" i="5"/>
  <c r="CW168" i="5" s="1"/>
  <c r="CT144" i="4"/>
  <c r="CV144" i="4"/>
  <c r="J162" i="4"/>
  <c r="CY144" i="4"/>
  <c r="CW144" i="4"/>
  <c r="BP144" i="4"/>
  <c r="BI144" i="4"/>
  <c r="CA144" i="4" s="1"/>
  <c r="X144" i="4"/>
  <c r="K163" i="4" s="1"/>
  <c r="CS144" i="4"/>
  <c r="DL170" i="5"/>
  <c r="DZ170" i="5"/>
  <c r="I168" i="5"/>
  <c r="U168" i="5" s="1"/>
  <c r="EA168" i="5"/>
  <c r="DM168" i="5"/>
  <c r="H168" i="5"/>
  <c r="T168" i="5" s="1"/>
  <c r="CX170" i="5"/>
  <c r="CZ167" i="5"/>
  <c r="G168" i="5" s="1"/>
  <c r="S168" i="5" s="1"/>
  <c r="CY167" i="5"/>
  <c r="DA140" i="4"/>
  <c r="DB141" i="4" s="1"/>
  <c r="DC141" i="4" s="1"/>
  <c r="N170" i="5"/>
  <c r="DG140" i="4"/>
  <c r="DB140" i="4"/>
  <c r="DC140" i="4" s="1"/>
  <c r="DB139" i="4"/>
  <c r="DC139" i="4" s="1"/>
  <c r="DG139" i="4"/>
  <c r="CS168" i="5"/>
  <c r="CU168" i="5" s="1"/>
  <c r="CV168" i="5" s="1"/>
  <c r="CZ141" i="4"/>
  <c r="CS169" i="5"/>
  <c r="CU169" i="5" s="1"/>
  <c r="CV169" i="5" s="1"/>
  <c r="DW168" i="5"/>
  <c r="DX168" i="5" s="1"/>
  <c r="EB168" i="5" s="1"/>
  <c r="DQ170" i="5"/>
  <c r="DY169" i="5" s="1"/>
  <c r="DS170" i="5"/>
  <c r="DR170" i="5"/>
  <c r="DP170" i="5"/>
  <c r="CN170" i="5"/>
  <c r="CQ170" i="5"/>
  <c r="CP170" i="5"/>
  <c r="DF169" i="5"/>
  <c r="DG169" i="5" s="1"/>
  <c r="DE170" i="5"/>
  <c r="DD170" i="5"/>
  <c r="DC170" i="5"/>
  <c r="DK169" i="5" s="1"/>
  <c r="DB170" i="5"/>
  <c r="B171" i="5"/>
  <c r="DV170" i="5"/>
  <c r="CT170" i="5"/>
  <c r="AA171" i="5"/>
  <c r="BY170" i="5"/>
  <c r="CD170" i="5" s="1"/>
  <c r="DH170" i="5"/>
  <c r="CR170" i="5"/>
  <c r="AB170" i="5"/>
  <c r="K171" i="5" s="1"/>
  <c r="W171" i="5" s="1"/>
  <c r="DI168" i="5"/>
  <c r="DJ168" i="5" s="1"/>
  <c r="DN168" i="5" s="1"/>
  <c r="DG141" i="4"/>
  <c r="CX143" i="4"/>
  <c r="DF143" i="4" s="1"/>
  <c r="C163" i="4"/>
  <c r="W145" i="4"/>
  <c r="CU144" i="4"/>
  <c r="AA142" i="4" l="1"/>
  <c r="AT141" i="4" s="1"/>
  <c r="CA171" i="5"/>
  <c r="CI170" i="5"/>
  <c r="CK164" i="5"/>
  <c r="CL164" i="5"/>
  <c r="AX160" i="5"/>
  <c r="AZ160" i="5" s="1"/>
  <c r="AW161" i="5"/>
  <c r="BD159" i="5"/>
  <c r="BF159" i="5" s="1"/>
  <c r="BC159" i="5"/>
  <c r="BG159" i="5" s="1"/>
  <c r="D160" i="5" s="1"/>
  <c r="P160" i="5" s="1"/>
  <c r="BB161" i="5"/>
  <c r="AU162" i="5"/>
  <c r="BZ171" i="5"/>
  <c r="CG171" i="5" s="1"/>
  <c r="BO171" i="5"/>
  <c r="CF171" i="5"/>
  <c r="CI171" i="5" s="1"/>
  <c r="CJ171" i="5"/>
  <c r="BA171" i="5"/>
  <c r="BE171" i="5"/>
  <c r="AY171" i="5"/>
  <c r="CC165" i="5"/>
  <c r="CE165" i="5" s="1"/>
  <c r="CH165" i="5" s="1"/>
  <c r="CB166" i="5"/>
  <c r="AE139" i="4"/>
  <c r="AG139" i="4" s="1"/>
  <c r="AC145" i="4"/>
  <c r="J170" i="5"/>
  <c r="V170" i="5" s="1"/>
  <c r="BR159" i="5"/>
  <c r="BS159" i="5" s="1"/>
  <c r="BW159" i="5" s="1"/>
  <c r="E160" i="5" s="1"/>
  <c r="Q160" i="5" s="1"/>
  <c r="BQ171" i="5"/>
  <c r="BK172" i="5" s="1"/>
  <c r="BM161" i="5"/>
  <c r="BP160" i="5"/>
  <c r="BV159" i="5"/>
  <c r="BL161" i="5"/>
  <c r="BT160" i="5" s="1"/>
  <c r="AQ144" i="4"/>
  <c r="AD144" i="4"/>
  <c r="AF145" i="4"/>
  <c r="AU145" i="4"/>
  <c r="CE145" i="4"/>
  <c r="Y145" i="4"/>
  <c r="Z145" i="4"/>
  <c r="AE140" i="4"/>
  <c r="AG140" i="4" s="1"/>
  <c r="AB141" i="4"/>
  <c r="BN144" i="4"/>
  <c r="AA143" i="4"/>
  <c r="AT142" i="4" s="1"/>
  <c r="AW140" i="4"/>
  <c r="BU171" i="5"/>
  <c r="AK171" i="5"/>
  <c r="AO171" i="5"/>
  <c r="AI171" i="5"/>
  <c r="CQ80" i="4"/>
  <c r="G99" i="4" s="1"/>
  <c r="F160" i="5"/>
  <c r="R160" i="5" s="1"/>
  <c r="CG82" i="4"/>
  <c r="BR82" i="4"/>
  <c r="BS94" i="4" s="1"/>
  <c r="BT106" i="4" s="1"/>
  <c r="BU118" i="4" s="1"/>
  <c r="BM101" i="4"/>
  <c r="BO101" i="4" s="1"/>
  <c r="BL102" i="4"/>
  <c r="BM102" i="4" s="1"/>
  <c r="BO102" i="4" s="1"/>
  <c r="BY81" i="4"/>
  <c r="CO81" i="4" s="1"/>
  <c r="CP81" i="4" s="1"/>
  <c r="CM81" i="4"/>
  <c r="CN81" i="4" s="1"/>
  <c r="F100" i="4" s="1"/>
  <c r="CC93" i="4"/>
  <c r="BZ93" i="4"/>
  <c r="CB93" i="4" s="1"/>
  <c r="BK102" i="4"/>
  <c r="CD101" i="4" s="1"/>
  <c r="AD174" i="5"/>
  <c r="AC175" i="5"/>
  <c r="BJ175" i="5"/>
  <c r="CT145" i="4"/>
  <c r="CO170" i="5"/>
  <c r="CW169" i="5" s="1"/>
  <c r="J163" i="4"/>
  <c r="BP145" i="4"/>
  <c r="CW145" i="4"/>
  <c r="CY145" i="4"/>
  <c r="BI145" i="4"/>
  <c r="CA145" i="4" s="1"/>
  <c r="X145" i="4"/>
  <c r="K164" i="4" s="1"/>
  <c r="CV145" i="4"/>
  <c r="CS145" i="4"/>
  <c r="DL171" i="5"/>
  <c r="DZ171" i="5"/>
  <c r="I169" i="5"/>
  <c r="U169" i="5" s="1"/>
  <c r="EA169" i="5"/>
  <c r="DM169" i="5"/>
  <c r="H169" i="5"/>
  <c r="T169" i="5" s="1"/>
  <c r="CY168" i="5"/>
  <c r="CZ168" i="5"/>
  <c r="G169" i="5" s="1"/>
  <c r="S169" i="5" s="1"/>
  <c r="CX171" i="5"/>
  <c r="DA141" i="4"/>
  <c r="N171" i="5"/>
  <c r="CZ142" i="4"/>
  <c r="DD139" i="4"/>
  <c r="DG143" i="4"/>
  <c r="DT170" i="5"/>
  <c r="DU170" i="5" s="1"/>
  <c r="DF170" i="5"/>
  <c r="DG170" i="5" s="1"/>
  <c r="DE171" i="5"/>
  <c r="DD171" i="5"/>
  <c r="DB171" i="5"/>
  <c r="DC171" i="5"/>
  <c r="DK170" i="5" s="1"/>
  <c r="DW169" i="5"/>
  <c r="DX169" i="5" s="1"/>
  <c r="CP171" i="5"/>
  <c r="CN171" i="5"/>
  <c r="CQ171" i="5"/>
  <c r="CS170" i="5"/>
  <c r="B172" i="5"/>
  <c r="DH171" i="5"/>
  <c r="BY171" i="5"/>
  <c r="CD171" i="5" s="1"/>
  <c r="AA172" i="5"/>
  <c r="DV171" i="5"/>
  <c r="CT171" i="5"/>
  <c r="CR171" i="5"/>
  <c r="AB171" i="5"/>
  <c r="K172" i="5" s="1"/>
  <c r="W172" i="5" s="1"/>
  <c r="DI169" i="5"/>
  <c r="DJ169" i="5" s="1"/>
  <c r="DR171" i="5"/>
  <c r="DP171" i="5"/>
  <c r="DS171" i="5"/>
  <c r="DQ171" i="5"/>
  <c r="DY170" i="5" s="1"/>
  <c r="CX142" i="4"/>
  <c r="DF142" i="4" s="1"/>
  <c r="W146" i="4"/>
  <c r="C164" i="4"/>
  <c r="CU145" i="4"/>
  <c r="CK165" i="5" l="1"/>
  <c r="CL165" i="5"/>
  <c r="CC166" i="5"/>
  <c r="CE166" i="5" s="1"/>
  <c r="CH166" i="5" s="1"/>
  <c r="CB167" i="5"/>
  <c r="BZ172" i="5"/>
  <c r="CG172" i="5" s="1"/>
  <c r="AX161" i="5"/>
  <c r="AZ161" i="5" s="1"/>
  <c r="AW162" i="5"/>
  <c r="BD160" i="5"/>
  <c r="BF160" i="5" s="1"/>
  <c r="BC160" i="5"/>
  <c r="BG160" i="5" s="1"/>
  <c r="D161" i="5" s="1"/>
  <c r="P161" i="5" s="1"/>
  <c r="BO172" i="5"/>
  <c r="AY172" i="5"/>
  <c r="CF172" i="5"/>
  <c r="CI172" i="5" s="1"/>
  <c r="BA172" i="5"/>
  <c r="CJ172" i="5"/>
  <c r="BE172" i="5"/>
  <c r="BB162" i="5"/>
  <c r="AU163" i="5"/>
  <c r="CA172" i="5"/>
  <c r="CA173" i="5" s="1"/>
  <c r="AC146" i="4"/>
  <c r="J171" i="5"/>
  <c r="V171" i="5" s="1"/>
  <c r="BR160" i="5"/>
  <c r="BS160" i="5" s="1"/>
  <c r="BW160" i="5" s="1"/>
  <c r="E161" i="5" s="1"/>
  <c r="Q161" i="5" s="1"/>
  <c r="BQ172" i="5"/>
  <c r="BK173" i="5" s="1"/>
  <c r="BV160" i="5"/>
  <c r="BL162" i="5"/>
  <c r="BT161" i="5" s="1"/>
  <c r="BM162" i="5"/>
  <c r="BP161" i="5"/>
  <c r="AQ145" i="4"/>
  <c r="AD145" i="4"/>
  <c r="AA144" i="4"/>
  <c r="AT143" i="4" s="1"/>
  <c r="AE141" i="4"/>
  <c r="AG141" i="4" s="1"/>
  <c r="AB142" i="4"/>
  <c r="Z146" i="4"/>
  <c r="BN145" i="4"/>
  <c r="AU146" i="4"/>
  <c r="AF146" i="4"/>
  <c r="CE146" i="4"/>
  <c r="Y146" i="4"/>
  <c r="AW141" i="4"/>
  <c r="BU172" i="5"/>
  <c r="AK172" i="5"/>
  <c r="AO172" i="5"/>
  <c r="AI172" i="5"/>
  <c r="BJ103" i="4"/>
  <c r="BQ103" i="4" s="1"/>
  <c r="CH82" i="4"/>
  <c r="CI82" i="4" s="1"/>
  <c r="CJ82" i="4" s="1"/>
  <c r="CF83" i="4" s="1"/>
  <c r="CQ81" i="4"/>
  <c r="G100" i="4" s="1"/>
  <c r="BV82" i="4"/>
  <c r="BX82" i="4" s="1"/>
  <c r="CK82" i="4" s="1"/>
  <c r="CL82" i="4" s="1"/>
  <c r="F161" i="5"/>
  <c r="R161" i="5" s="1"/>
  <c r="AD175" i="5"/>
  <c r="AC176" i="5"/>
  <c r="BJ176" i="5"/>
  <c r="DF171" i="5"/>
  <c r="DG171" i="5" s="1"/>
  <c r="CT146" i="4"/>
  <c r="CO171" i="5"/>
  <c r="CW170" i="5" s="1"/>
  <c r="J164" i="4"/>
  <c r="CS146" i="4"/>
  <c r="BP146" i="4"/>
  <c r="CY146" i="4"/>
  <c r="CW146" i="4"/>
  <c r="BI146" i="4"/>
  <c r="CA146" i="4" s="1"/>
  <c r="X146" i="4"/>
  <c r="K165" i="4" s="1"/>
  <c r="CV146" i="4"/>
  <c r="DL172" i="5"/>
  <c r="DZ172" i="5"/>
  <c r="EA170" i="5"/>
  <c r="EB169" i="5"/>
  <c r="I170" i="5" s="1"/>
  <c r="U170" i="5" s="1"/>
  <c r="DN169" i="5"/>
  <c r="H170" i="5" s="1"/>
  <c r="T170" i="5" s="1"/>
  <c r="DM170" i="5"/>
  <c r="CX172" i="5"/>
  <c r="CY169" i="5"/>
  <c r="CZ169" i="5"/>
  <c r="G170" i="5" s="1"/>
  <c r="S170" i="5" s="1"/>
  <c r="DA142" i="4"/>
  <c r="DB143" i="4" s="1"/>
  <c r="DC143" i="4" s="1"/>
  <c r="N172" i="5"/>
  <c r="CZ143" i="4"/>
  <c r="DE139" i="4"/>
  <c r="H158" i="4" s="1"/>
  <c r="DD140" i="4"/>
  <c r="DH139" i="4"/>
  <c r="I158" i="4" s="1"/>
  <c r="DG142" i="4"/>
  <c r="DT171" i="5"/>
  <c r="DU171" i="5" s="1"/>
  <c r="DW171" i="5" s="1"/>
  <c r="DX171" i="5" s="1"/>
  <c r="DI170" i="5"/>
  <c r="DJ170" i="5" s="1"/>
  <c r="DN170" i="5" s="1"/>
  <c r="B173" i="5"/>
  <c r="AA173" i="5"/>
  <c r="DH172" i="5"/>
  <c r="BY172" i="5"/>
  <c r="CD172" i="5" s="1"/>
  <c r="DV172" i="5"/>
  <c r="CT172" i="5"/>
  <c r="CR172" i="5"/>
  <c r="AB172" i="5"/>
  <c r="K173" i="5" s="1"/>
  <c r="W173" i="5" s="1"/>
  <c r="CQ172" i="5"/>
  <c r="CN172" i="5"/>
  <c r="CP172" i="5"/>
  <c r="DS172" i="5"/>
  <c r="DQ172" i="5"/>
  <c r="DY171" i="5" s="1"/>
  <c r="DP172" i="5"/>
  <c r="DR172" i="5"/>
  <c r="DE172" i="5"/>
  <c r="DC172" i="5"/>
  <c r="DK171" i="5" s="1"/>
  <c r="DB172" i="5"/>
  <c r="DD172" i="5"/>
  <c r="CS171" i="5"/>
  <c r="DW170" i="5"/>
  <c r="DX170" i="5" s="1"/>
  <c r="EB170" i="5" s="1"/>
  <c r="CU170" i="5"/>
  <c r="CV170" i="5" s="1"/>
  <c r="DB142" i="4"/>
  <c r="DC142" i="4" s="1"/>
  <c r="CX144" i="4"/>
  <c r="DF144" i="4" s="1"/>
  <c r="CX145" i="4"/>
  <c r="DF145" i="4" s="1"/>
  <c r="W147" i="4"/>
  <c r="C165" i="4"/>
  <c r="CU146" i="4"/>
  <c r="CK166" i="5" l="1"/>
  <c r="CL166" i="5"/>
  <c r="BZ173" i="5"/>
  <c r="BD161" i="5"/>
  <c r="BF161" i="5" s="1"/>
  <c r="BC161" i="5"/>
  <c r="BG161" i="5" s="1"/>
  <c r="D162" i="5" s="1"/>
  <c r="P162" i="5" s="1"/>
  <c r="CC167" i="5"/>
  <c r="CE167" i="5" s="1"/>
  <c r="CH167" i="5" s="1"/>
  <c r="CB168" i="5"/>
  <c r="BO173" i="5"/>
  <c r="BA173" i="5"/>
  <c r="CF173" i="5"/>
  <c r="CI173" i="5" s="1"/>
  <c r="AY173" i="5"/>
  <c r="CJ173" i="5"/>
  <c r="BE173" i="5"/>
  <c r="CG173" i="5"/>
  <c r="AX162" i="5"/>
  <c r="AZ162" i="5" s="1"/>
  <c r="AW163" i="5"/>
  <c r="AX163" i="5" s="1"/>
  <c r="AZ163" i="5" s="1"/>
  <c r="AC147" i="4"/>
  <c r="J172" i="5"/>
  <c r="V172" i="5" s="1"/>
  <c r="BR161" i="5"/>
  <c r="BS161" i="5" s="1"/>
  <c r="BW161" i="5" s="1"/>
  <c r="E162" i="5" s="1"/>
  <c r="Q162" i="5" s="1"/>
  <c r="BQ173" i="5"/>
  <c r="BK174" i="5" s="1"/>
  <c r="BM163" i="5"/>
  <c r="BP162" i="5"/>
  <c r="BV161" i="5"/>
  <c r="BL163" i="5"/>
  <c r="BT162" i="5" s="1"/>
  <c r="AQ146" i="4"/>
  <c r="AD146" i="4"/>
  <c r="BN146" i="4"/>
  <c r="AE142" i="4"/>
  <c r="AG142" i="4" s="1"/>
  <c r="AB143" i="4"/>
  <c r="AA145" i="4"/>
  <c r="AF147" i="4"/>
  <c r="AU147" i="4"/>
  <c r="CE147" i="4"/>
  <c r="Y147" i="4"/>
  <c r="Z147" i="4"/>
  <c r="AW142" i="4"/>
  <c r="BU173" i="5"/>
  <c r="AK173" i="5"/>
  <c r="AO173" i="5"/>
  <c r="AI173" i="5"/>
  <c r="BY82" i="4"/>
  <c r="CO82" i="4" s="1"/>
  <c r="CP82" i="4" s="1"/>
  <c r="BR83" i="4"/>
  <c r="BS95" i="4" s="1"/>
  <c r="BT107" i="4" s="1"/>
  <c r="BU119" i="4" s="1"/>
  <c r="CM82" i="4"/>
  <c r="CC94" i="4"/>
  <c r="BZ94" i="4"/>
  <c r="CB94" i="4" s="1"/>
  <c r="CG83" i="4"/>
  <c r="F162" i="5"/>
  <c r="R162" i="5" s="1"/>
  <c r="BK103" i="4"/>
  <c r="CD102" i="4" s="1"/>
  <c r="BJ104" i="4"/>
  <c r="BQ104" i="4" s="1"/>
  <c r="BL103" i="4"/>
  <c r="AD176" i="5"/>
  <c r="AC177" i="5"/>
  <c r="BJ177" i="5"/>
  <c r="DT172" i="5"/>
  <c r="DU172" i="5" s="1"/>
  <c r="CT147" i="4"/>
  <c r="CO172" i="5"/>
  <c r="CW171" i="5" s="1"/>
  <c r="J165" i="4"/>
  <c r="CS147" i="4"/>
  <c r="BP147" i="4"/>
  <c r="CY147" i="4"/>
  <c r="CW147" i="4"/>
  <c r="BI147" i="4"/>
  <c r="CA147" i="4" s="1"/>
  <c r="X147" i="4"/>
  <c r="K166" i="4" s="1"/>
  <c r="CV147" i="4"/>
  <c r="DL173" i="5"/>
  <c r="DZ173" i="5"/>
  <c r="EB171" i="5"/>
  <c r="I172" i="5" s="1"/>
  <c r="U172" i="5" s="1"/>
  <c r="EA171" i="5"/>
  <c r="I171" i="5"/>
  <c r="U171" i="5" s="1"/>
  <c r="H171" i="5"/>
  <c r="T171" i="5" s="1"/>
  <c r="DM171" i="5"/>
  <c r="CZ170" i="5"/>
  <c r="G171" i="5" s="1"/>
  <c r="S171" i="5" s="1"/>
  <c r="CY170" i="5"/>
  <c r="CX173" i="5"/>
  <c r="DA143" i="4"/>
  <c r="DB144" i="4" s="1"/>
  <c r="DC144" i="4" s="1"/>
  <c r="N173" i="5"/>
  <c r="CZ144" i="4"/>
  <c r="DD141" i="4"/>
  <c r="DD142" i="4" s="1"/>
  <c r="DE142" i="4" s="1"/>
  <c r="H161" i="4" s="1"/>
  <c r="DE140" i="4"/>
  <c r="H159" i="4" s="1"/>
  <c r="DH140" i="4"/>
  <c r="I159" i="4" s="1"/>
  <c r="DG144" i="4"/>
  <c r="DG145" i="4"/>
  <c r="CU171" i="5"/>
  <c r="CV171" i="5" s="1"/>
  <c r="DB173" i="5"/>
  <c r="DD173" i="5"/>
  <c r="DC173" i="5"/>
  <c r="DK172" i="5" s="1"/>
  <c r="DE173" i="5"/>
  <c r="CP173" i="5"/>
  <c r="CN173" i="5"/>
  <c r="CQ173" i="5"/>
  <c r="DR173" i="5"/>
  <c r="DQ173" i="5"/>
  <c r="DY172" i="5" s="1"/>
  <c r="DP173" i="5"/>
  <c r="DS173" i="5"/>
  <c r="CS172" i="5"/>
  <c r="DF172" i="5"/>
  <c r="DG172" i="5" s="1"/>
  <c r="DI171" i="5"/>
  <c r="DJ171" i="5" s="1"/>
  <c r="B174" i="5"/>
  <c r="CR173" i="5"/>
  <c r="DH173" i="5"/>
  <c r="BY173" i="5"/>
  <c r="CD173" i="5" s="1"/>
  <c r="AA174" i="5"/>
  <c r="DV173" i="5"/>
  <c r="CT173" i="5"/>
  <c r="AB173" i="5"/>
  <c r="K174" i="5" s="1"/>
  <c r="W174" i="5" s="1"/>
  <c r="CX146" i="4"/>
  <c r="DF146" i="4" s="1"/>
  <c r="CU147" i="4"/>
  <c r="W148" i="4"/>
  <c r="C166" i="4"/>
  <c r="CK167" i="5" l="1"/>
  <c r="CL167" i="5"/>
  <c r="AC148" i="4"/>
  <c r="BD162" i="5"/>
  <c r="BF162" i="5" s="1"/>
  <c r="BC162" i="5"/>
  <c r="BG162" i="5" s="1"/>
  <c r="D163" i="5" s="1"/>
  <c r="P163" i="5" s="1"/>
  <c r="BD163" i="5"/>
  <c r="BC163" i="5"/>
  <c r="BO174" i="5"/>
  <c r="CF174" i="5"/>
  <c r="CI174" i="5" s="1"/>
  <c r="BA174" i="5"/>
  <c r="AY174" i="5"/>
  <c r="BE174" i="5"/>
  <c r="CJ174" i="5"/>
  <c r="BZ174" i="5"/>
  <c r="CG174" i="5" s="1"/>
  <c r="CA174" i="5"/>
  <c r="CA175" i="5" s="1"/>
  <c r="CC168" i="5"/>
  <c r="CE168" i="5" s="1"/>
  <c r="CH168" i="5" s="1"/>
  <c r="CB169" i="5"/>
  <c r="J173" i="5"/>
  <c r="V173" i="5" s="1"/>
  <c r="AA146" i="4"/>
  <c r="AT145" i="4" s="1"/>
  <c r="AW145" i="4" s="1"/>
  <c r="AT144" i="4"/>
  <c r="BR162" i="5"/>
  <c r="BS162" i="5" s="1"/>
  <c r="BW162" i="5" s="1"/>
  <c r="E163" i="5" s="1"/>
  <c r="Q163" i="5" s="1"/>
  <c r="BQ174" i="5"/>
  <c r="BK175" i="5" s="1"/>
  <c r="BL164" i="5"/>
  <c r="BT163" i="5" s="1"/>
  <c r="BV162" i="5"/>
  <c r="BP163" i="5"/>
  <c r="BN164" i="5" s="1"/>
  <c r="BN165" i="5" s="1"/>
  <c r="BN166" i="5" s="1"/>
  <c r="BN167" i="5" s="1"/>
  <c r="BN168" i="5" s="1"/>
  <c r="BN169" i="5" s="1"/>
  <c r="BN170" i="5" s="1"/>
  <c r="BN171" i="5" s="1"/>
  <c r="BN172" i="5" s="1"/>
  <c r="BN173" i="5" s="1"/>
  <c r="BN174" i="5" s="1"/>
  <c r="BM164" i="5"/>
  <c r="AQ147" i="4"/>
  <c r="AD147" i="4"/>
  <c r="CE148" i="4"/>
  <c r="AU148" i="4"/>
  <c r="AF148" i="4"/>
  <c r="Y148" i="4"/>
  <c r="Z148" i="4"/>
  <c r="BN147" i="4"/>
  <c r="AW143" i="4"/>
  <c r="AE143" i="4"/>
  <c r="AG143" i="4" s="1"/>
  <c r="AB144" i="4"/>
  <c r="CQ82" i="4"/>
  <c r="G101" i="4" s="1"/>
  <c r="BU174" i="5"/>
  <c r="AK174" i="5"/>
  <c r="AO174" i="5"/>
  <c r="AI174" i="5"/>
  <c r="CO173" i="5"/>
  <c r="CW172" i="5" s="1"/>
  <c r="CN82" i="4"/>
  <c r="F101" i="4" s="1"/>
  <c r="BV83" i="4"/>
  <c r="BX83" i="4" s="1"/>
  <c r="CK83" i="4" s="1"/>
  <c r="BM103" i="4"/>
  <c r="BO103" i="4" s="1"/>
  <c r="BL104" i="4"/>
  <c r="F163" i="5"/>
  <c r="R163" i="5" s="1"/>
  <c r="BJ105" i="4"/>
  <c r="BQ105" i="4" s="1"/>
  <c r="BK104" i="4"/>
  <c r="CD103" i="4" s="1"/>
  <c r="CH83" i="4"/>
  <c r="CI83" i="4" s="1"/>
  <c r="CJ83" i="4" s="1"/>
  <c r="CF84" i="4" s="1"/>
  <c r="CC95" i="4"/>
  <c r="BZ95" i="4"/>
  <c r="CB95" i="4" s="1"/>
  <c r="AD177" i="5"/>
  <c r="AC178" i="5"/>
  <c r="BJ178" i="5"/>
  <c r="DF173" i="5"/>
  <c r="DG173" i="5" s="1"/>
  <c r="CT148" i="4"/>
  <c r="J166" i="4"/>
  <c r="CY148" i="4"/>
  <c r="BP148" i="4"/>
  <c r="CW148" i="4"/>
  <c r="BI148" i="4"/>
  <c r="BN148" i="4" s="1"/>
  <c r="X148" i="4"/>
  <c r="K167" i="4" s="1"/>
  <c r="CS148" i="4"/>
  <c r="CV148" i="4"/>
  <c r="DL174" i="5"/>
  <c r="DZ174" i="5"/>
  <c r="EA172" i="5"/>
  <c r="DM172" i="5"/>
  <c r="DN171" i="5"/>
  <c r="H172" i="5" s="1"/>
  <c r="T172" i="5" s="1"/>
  <c r="CY171" i="5"/>
  <c r="CZ171" i="5"/>
  <c r="G172" i="5" s="1"/>
  <c r="S172" i="5" s="1"/>
  <c r="CX174" i="5"/>
  <c r="DA144" i="4"/>
  <c r="DB145" i="4" s="1"/>
  <c r="DC145" i="4" s="1"/>
  <c r="N174" i="5"/>
  <c r="CZ145" i="4"/>
  <c r="DE141" i="4"/>
  <c r="H160" i="4" s="1"/>
  <c r="DH141" i="4"/>
  <c r="I160" i="4" s="1"/>
  <c r="DG146" i="4"/>
  <c r="CS173" i="5"/>
  <c r="CU173" i="5" s="1"/>
  <c r="CV173" i="5" s="1"/>
  <c r="DW172" i="5"/>
  <c r="DX172" i="5" s="1"/>
  <c r="DI172" i="5"/>
  <c r="DJ172" i="5" s="1"/>
  <c r="CU172" i="5"/>
  <c r="CV172" i="5" s="1"/>
  <c r="DS174" i="5"/>
  <c r="DR174" i="5"/>
  <c r="DQ174" i="5"/>
  <c r="DY173" i="5" s="1"/>
  <c r="DP174" i="5"/>
  <c r="B175" i="5"/>
  <c r="AA175" i="5"/>
  <c r="DH174" i="5"/>
  <c r="BY174" i="5"/>
  <c r="CD174" i="5" s="1"/>
  <c r="CR174" i="5"/>
  <c r="DV174" i="5"/>
  <c r="CT174" i="5"/>
  <c r="AB174" i="5"/>
  <c r="K175" i="5" s="1"/>
  <c r="W175" i="5" s="1"/>
  <c r="DT173" i="5"/>
  <c r="DU173" i="5" s="1"/>
  <c r="CQ174" i="5"/>
  <c r="CP174" i="5"/>
  <c r="CN174" i="5"/>
  <c r="DC174" i="5"/>
  <c r="DK173" i="5" s="1"/>
  <c r="DE174" i="5"/>
  <c r="DD174" i="5"/>
  <c r="DB174" i="5"/>
  <c r="DH142" i="4"/>
  <c r="I161" i="4" s="1"/>
  <c r="DD143" i="4"/>
  <c r="CZ146" i="4"/>
  <c r="C167" i="4"/>
  <c r="W149" i="4"/>
  <c r="CU148" i="4"/>
  <c r="CX147" i="4"/>
  <c r="DF147" i="4" s="1"/>
  <c r="AA147" i="4" l="1"/>
  <c r="AT146" i="4" s="1"/>
  <c r="AW146" i="4" s="1"/>
  <c r="CK168" i="5"/>
  <c r="CL168" i="5"/>
  <c r="BF163" i="5"/>
  <c r="AV164" i="5" s="1"/>
  <c r="AV165" i="5" s="1"/>
  <c r="AV166" i="5" s="1"/>
  <c r="AV167" i="5" s="1"/>
  <c r="AV168" i="5" s="1"/>
  <c r="AV169" i="5" s="1"/>
  <c r="AV170" i="5" s="1"/>
  <c r="AV171" i="5" s="1"/>
  <c r="AV172" i="5" s="1"/>
  <c r="AV173" i="5" s="1"/>
  <c r="AV174" i="5" s="1"/>
  <c r="AV175" i="5" s="1"/>
  <c r="AV176" i="5" s="1"/>
  <c r="BG163" i="5"/>
  <c r="D164" i="5" s="1"/>
  <c r="P164" i="5" s="1"/>
  <c r="AC149" i="4"/>
  <c r="CC169" i="5"/>
  <c r="CE169" i="5" s="1"/>
  <c r="CH169" i="5" s="1"/>
  <c r="CB170" i="5"/>
  <c r="CF175" i="5"/>
  <c r="CJ175" i="5"/>
  <c r="BA175" i="5"/>
  <c r="BE175" i="5"/>
  <c r="AY175" i="5"/>
  <c r="BZ175" i="5"/>
  <c r="CG175" i="5" s="1"/>
  <c r="J174" i="5"/>
  <c r="V174" i="5" s="1"/>
  <c r="BN175" i="5"/>
  <c r="BQ175" i="5"/>
  <c r="BK176" i="5" s="1"/>
  <c r="BO175" i="5"/>
  <c r="BR163" i="5"/>
  <c r="BS163" i="5" s="1"/>
  <c r="BW163" i="5" s="1"/>
  <c r="BP164" i="5"/>
  <c r="BM165" i="5"/>
  <c r="BL165" i="5"/>
  <c r="BT164" i="5" s="1"/>
  <c r="BV163" i="5"/>
  <c r="AL175" i="5"/>
  <c r="AQ148" i="4"/>
  <c r="AD148" i="4"/>
  <c r="CO174" i="5"/>
  <c r="CW173" i="5" s="1"/>
  <c r="AE144" i="4"/>
  <c r="AB145" i="4"/>
  <c r="Z149" i="4"/>
  <c r="AF149" i="4"/>
  <c r="AU149" i="4"/>
  <c r="CE149" i="4"/>
  <c r="Y149" i="4"/>
  <c r="CL83" i="4"/>
  <c r="CM83" i="4" s="1"/>
  <c r="CN83" i="4" s="1"/>
  <c r="F102" i="4" s="1"/>
  <c r="BY83" i="4"/>
  <c r="CO83" i="4" s="1"/>
  <c r="CP83" i="4" s="1"/>
  <c r="AK175" i="5"/>
  <c r="AO175" i="5"/>
  <c r="BU175" i="5"/>
  <c r="AI175" i="5"/>
  <c r="F164" i="5"/>
  <c r="R164" i="5" s="1"/>
  <c r="BR84" i="4"/>
  <c r="BS96" i="4" s="1"/>
  <c r="BT108" i="4" s="1"/>
  <c r="BU120" i="4" s="1"/>
  <c r="BL105" i="4"/>
  <c r="BM104" i="4"/>
  <c r="BO104" i="4" s="1"/>
  <c r="BK105" i="4"/>
  <c r="CD104" i="4" s="1"/>
  <c r="BJ106" i="4"/>
  <c r="BQ106" i="4" s="1"/>
  <c r="CG84" i="4"/>
  <c r="CH84" i="4" s="1"/>
  <c r="CI84" i="4" s="1"/>
  <c r="CJ84" i="4" s="1"/>
  <c r="CF85" i="4" s="1"/>
  <c r="AD178" i="5"/>
  <c r="AC179" i="5"/>
  <c r="BJ179" i="5"/>
  <c r="DT174" i="5"/>
  <c r="DU174" i="5" s="1"/>
  <c r="CT149" i="4"/>
  <c r="J167" i="4"/>
  <c r="CV149" i="4"/>
  <c r="CS149" i="4"/>
  <c r="CW149" i="4"/>
  <c r="CY149" i="4"/>
  <c r="BP149" i="4"/>
  <c r="BI149" i="4"/>
  <c r="CA149" i="4" s="1"/>
  <c r="X149" i="4"/>
  <c r="K168" i="4" s="1"/>
  <c r="CA148" i="4"/>
  <c r="DA145" i="4"/>
  <c r="DA146" i="4" s="1"/>
  <c r="DL175" i="5"/>
  <c r="DZ175" i="5"/>
  <c r="EB172" i="5"/>
  <c r="I173" i="5" s="1"/>
  <c r="U173" i="5" s="1"/>
  <c r="EA173" i="5"/>
  <c r="DM173" i="5"/>
  <c r="DN172" i="5"/>
  <c r="H173" i="5" s="1"/>
  <c r="T173" i="5" s="1"/>
  <c r="CX175" i="5"/>
  <c r="CZ172" i="5"/>
  <c r="G173" i="5" s="1"/>
  <c r="S173" i="5" s="1"/>
  <c r="CY172" i="5"/>
  <c r="N175" i="5"/>
  <c r="CS174" i="5"/>
  <c r="CU174" i="5" s="1"/>
  <c r="CV174" i="5" s="1"/>
  <c r="DW173" i="5"/>
  <c r="DX173" i="5" s="1"/>
  <c r="DS175" i="5"/>
  <c r="DP175" i="5"/>
  <c r="DQ175" i="5"/>
  <c r="DY174" i="5" s="1"/>
  <c r="DR175" i="5"/>
  <c r="DI173" i="5"/>
  <c r="DJ173" i="5" s="1"/>
  <c r="CQ175" i="5"/>
  <c r="CN175" i="5"/>
  <c r="CP175" i="5"/>
  <c r="DF174" i="5"/>
  <c r="DG174" i="5" s="1"/>
  <c r="DC175" i="5"/>
  <c r="DK174" i="5" s="1"/>
  <c r="DE175" i="5"/>
  <c r="DB175" i="5"/>
  <c r="DD175" i="5"/>
  <c r="B176" i="5"/>
  <c r="AA176" i="5"/>
  <c r="DH175" i="5"/>
  <c r="CT175" i="5"/>
  <c r="CR175" i="5"/>
  <c r="DV175" i="5"/>
  <c r="BY175" i="5"/>
  <c r="CD175" i="5" s="1"/>
  <c r="AB175" i="5"/>
  <c r="K176" i="5" s="1"/>
  <c r="W176" i="5" s="1"/>
  <c r="DG147" i="4"/>
  <c r="DH143" i="4"/>
  <c r="I162" i="4" s="1"/>
  <c r="DE143" i="4"/>
  <c r="H162" i="4" s="1"/>
  <c r="DD144" i="4"/>
  <c r="DD145" i="4" s="1"/>
  <c r="CZ147" i="4"/>
  <c r="CX148" i="4"/>
  <c r="DF148" i="4" s="1"/>
  <c r="CU149" i="4"/>
  <c r="W150" i="4"/>
  <c r="C168" i="4"/>
  <c r="AA148" i="4" l="1"/>
  <c r="AC150" i="4"/>
  <c r="CK169" i="5"/>
  <c r="CL169" i="5"/>
  <c r="BZ176" i="5"/>
  <c r="CG176" i="5" s="1"/>
  <c r="BO176" i="5"/>
  <c r="CF176" i="5"/>
  <c r="CI176" i="5" s="1"/>
  <c r="CJ176" i="5"/>
  <c r="AY176" i="5"/>
  <c r="BE176" i="5"/>
  <c r="BA176" i="5"/>
  <c r="CC170" i="5"/>
  <c r="CE170" i="5" s="1"/>
  <c r="CH170" i="5" s="1"/>
  <c r="CB171" i="5"/>
  <c r="CA176" i="5"/>
  <c r="AU164" i="5"/>
  <c r="J175" i="5"/>
  <c r="V175" i="5" s="1"/>
  <c r="AT147" i="4"/>
  <c r="AW147" i="4" s="1"/>
  <c r="AG144" i="4"/>
  <c r="BR164" i="5"/>
  <c r="BS164" i="5" s="1"/>
  <c r="BW164" i="5" s="1"/>
  <c r="E165" i="5" s="1"/>
  <c r="Q165" i="5" s="1"/>
  <c r="BQ176" i="5"/>
  <c r="BK177" i="5" s="1"/>
  <c r="BV164" i="5"/>
  <c r="BL166" i="5"/>
  <c r="BT165" i="5" s="1"/>
  <c r="E4" i="5"/>
  <c r="E164" i="5"/>
  <c r="Q164" i="5" s="1"/>
  <c r="E18" i="5"/>
  <c r="E34" i="5" s="1"/>
  <c r="BM166" i="5"/>
  <c r="BP165" i="5"/>
  <c r="CO175" i="5"/>
  <c r="CW174" i="5" s="1"/>
  <c r="AQ149" i="4"/>
  <c r="AD149" i="4"/>
  <c r="AA149" i="4"/>
  <c r="AF150" i="4"/>
  <c r="Y150" i="4"/>
  <c r="AE145" i="4"/>
  <c r="AG145" i="4" s="1"/>
  <c r="AB146" i="4"/>
  <c r="Z150" i="4"/>
  <c r="BN149" i="4"/>
  <c r="CQ83" i="4"/>
  <c r="G102" i="4" s="1"/>
  <c r="AI176" i="5"/>
  <c r="AK176" i="5"/>
  <c r="AO176" i="5"/>
  <c r="BU176" i="5"/>
  <c r="BJ107" i="4"/>
  <c r="BQ107" i="4" s="1"/>
  <c r="BK106" i="4"/>
  <c r="CD105" i="4" s="1"/>
  <c r="BR85" i="4"/>
  <c r="BS97" i="4" s="1"/>
  <c r="BT109" i="4" s="1"/>
  <c r="BU121" i="4" s="1"/>
  <c r="CG85" i="4"/>
  <c r="BV84" i="4"/>
  <c r="BX84" i="4" s="1"/>
  <c r="CK84" i="4" s="1"/>
  <c r="CL84" i="4" s="1"/>
  <c r="BL106" i="4"/>
  <c r="BM105" i="4"/>
  <c r="BO105" i="4" s="1"/>
  <c r="AD179" i="5"/>
  <c r="AC180" i="5"/>
  <c r="BJ180" i="5"/>
  <c r="DB146" i="4"/>
  <c r="DC146" i="4" s="1"/>
  <c r="DD146" i="4" s="1"/>
  <c r="DT175" i="5"/>
  <c r="DU175" i="5" s="1"/>
  <c r="DS176" i="5" s="1"/>
  <c r="A165" i="5"/>
  <c r="CT150" i="4"/>
  <c r="J168" i="4"/>
  <c r="CV150" i="4"/>
  <c r="CS150" i="4"/>
  <c r="CY150" i="4"/>
  <c r="CW150" i="4"/>
  <c r="BP150" i="4"/>
  <c r="BI150" i="4"/>
  <c r="CA150" i="4" s="1"/>
  <c r="X150" i="4"/>
  <c r="K169" i="4" s="1"/>
  <c r="DL176" i="5"/>
  <c r="DZ176" i="5"/>
  <c r="EA174" i="5"/>
  <c r="EB173" i="5"/>
  <c r="I174" i="5" s="1"/>
  <c r="U174" i="5" s="1"/>
  <c r="DM174" i="5"/>
  <c r="DN173" i="5"/>
  <c r="H174" i="5" s="1"/>
  <c r="T174" i="5" s="1"/>
  <c r="CZ173" i="5"/>
  <c r="G174" i="5" s="1"/>
  <c r="S174" i="5" s="1"/>
  <c r="CY173" i="5"/>
  <c r="CX176" i="5"/>
  <c r="N176" i="5"/>
  <c r="CZ148" i="4"/>
  <c r="DF175" i="5"/>
  <c r="DG175" i="5" s="1"/>
  <c r="DV176" i="5"/>
  <c r="CT176" i="5"/>
  <c r="DH176" i="5"/>
  <c r="BY176" i="5"/>
  <c r="CD176" i="5" s="1"/>
  <c r="B177" i="5"/>
  <c r="AA177" i="5"/>
  <c r="AB176" i="5"/>
  <c r="K177" i="5" s="1"/>
  <c r="W177" i="5" s="1"/>
  <c r="DW174" i="5"/>
  <c r="DX174" i="5" s="1"/>
  <c r="DR176" i="5"/>
  <c r="DQ176" i="5"/>
  <c r="DY175" i="5" s="1"/>
  <c r="DP176" i="5"/>
  <c r="CS175" i="5"/>
  <c r="CQ176" i="5" s="1"/>
  <c r="DI174" i="5"/>
  <c r="DJ174" i="5" s="1"/>
  <c r="DN174" i="5" s="1"/>
  <c r="CP176" i="5"/>
  <c r="CN176" i="5"/>
  <c r="DD176" i="5"/>
  <c r="DC176" i="5"/>
  <c r="DK175" i="5" s="1"/>
  <c r="DB176" i="5"/>
  <c r="DH145" i="4"/>
  <c r="I164" i="4" s="1"/>
  <c r="DE145" i="4"/>
  <c r="H164" i="4" s="1"/>
  <c r="DG148" i="4"/>
  <c r="DA147" i="4"/>
  <c r="DB147" i="4"/>
  <c r="DC147" i="4" s="1"/>
  <c r="DH144" i="4"/>
  <c r="I163" i="4" s="1"/>
  <c r="DE144" i="4"/>
  <c r="H163" i="4" s="1"/>
  <c r="W151" i="4"/>
  <c r="C169" i="4"/>
  <c r="CX149" i="4"/>
  <c r="DF149" i="4" s="1"/>
  <c r="CU150" i="4"/>
  <c r="CL170" i="5" l="1"/>
  <c r="CK170" i="5"/>
  <c r="J176" i="5"/>
  <c r="V176" i="5" s="1"/>
  <c r="BZ177" i="5"/>
  <c r="CG177" i="5" s="1"/>
  <c r="AU165" i="5"/>
  <c r="AW164" i="5"/>
  <c r="CC171" i="5"/>
  <c r="CE171" i="5" s="1"/>
  <c r="CH171" i="5" s="1"/>
  <c r="CB172" i="5"/>
  <c r="CA177" i="5"/>
  <c r="BO177" i="5"/>
  <c r="CF177" i="5"/>
  <c r="CI177" i="5" s="1"/>
  <c r="BA177" i="5"/>
  <c r="AY177" i="5"/>
  <c r="CJ177" i="5"/>
  <c r="BE177" i="5"/>
  <c r="AV177" i="5"/>
  <c r="AT148" i="4"/>
  <c r="AW148" i="4" s="1"/>
  <c r="AA150" i="4"/>
  <c r="AT149" i="4" s="1"/>
  <c r="AW149" i="4" s="1"/>
  <c r="BR165" i="5"/>
  <c r="BS165" i="5" s="1"/>
  <c r="BW165" i="5" s="1"/>
  <c r="E166" i="5" s="1"/>
  <c r="Q166" i="5" s="1"/>
  <c r="CO176" i="5"/>
  <c r="CW175" i="5" s="1"/>
  <c r="BQ177" i="5"/>
  <c r="BK178" i="5" s="1"/>
  <c r="BL167" i="5"/>
  <c r="BT166" i="5" s="1"/>
  <c r="BV165" i="5"/>
  <c r="BM167" i="5"/>
  <c r="BP166" i="5"/>
  <c r="AQ150" i="4"/>
  <c r="AD150" i="4"/>
  <c r="AF151" i="4"/>
  <c r="CE151" i="4"/>
  <c r="AU151" i="4"/>
  <c r="Y151" i="4"/>
  <c r="Z151" i="4"/>
  <c r="AE146" i="4"/>
  <c r="AG146" i="4" s="1"/>
  <c r="AB147" i="4"/>
  <c r="BN150" i="4"/>
  <c r="BU177" i="5"/>
  <c r="AK177" i="5"/>
  <c r="AO177" i="5"/>
  <c r="AI177" i="5"/>
  <c r="BY84" i="4"/>
  <c r="CO84" i="4" s="1"/>
  <c r="CP84" i="4" s="1"/>
  <c r="BV85" i="4"/>
  <c r="BX85" i="4" s="1"/>
  <c r="CK85" i="4" s="1"/>
  <c r="CL85" i="4" s="1"/>
  <c r="CM84" i="4"/>
  <c r="CC96" i="4"/>
  <c r="BZ96" i="4"/>
  <c r="CB96" i="4" s="1"/>
  <c r="F165" i="5"/>
  <c r="R165" i="5" s="1"/>
  <c r="CH85" i="4"/>
  <c r="CI85" i="4" s="1"/>
  <c r="CJ85" i="4" s="1"/>
  <c r="CF86" i="4" s="1"/>
  <c r="BK107" i="4"/>
  <c r="CD106" i="4" s="1"/>
  <c r="BL107" i="4"/>
  <c r="BM106" i="4"/>
  <c r="BO106" i="4" s="1"/>
  <c r="BJ108" i="4"/>
  <c r="BQ108" i="4" s="1"/>
  <c r="AD180" i="5"/>
  <c r="AC181" i="5"/>
  <c r="BJ181" i="5"/>
  <c r="DT176" i="5"/>
  <c r="DU176" i="5" s="1"/>
  <c r="DW176" i="5" s="1"/>
  <c r="DX176" i="5" s="1"/>
  <c r="CT151" i="4"/>
  <c r="N177" i="5"/>
  <c r="J169" i="4"/>
  <c r="CY151" i="4"/>
  <c r="BP151" i="4"/>
  <c r="BI151" i="4"/>
  <c r="BN151" i="4" s="1"/>
  <c r="X151" i="4"/>
  <c r="K170" i="4" s="1"/>
  <c r="CS151" i="4"/>
  <c r="DL177" i="5"/>
  <c r="DZ177" i="5"/>
  <c r="EA175" i="5"/>
  <c r="EB174" i="5"/>
  <c r="I175" i="5" s="1"/>
  <c r="U175" i="5" s="1"/>
  <c r="DM175" i="5"/>
  <c r="H175" i="5"/>
  <c r="T175" i="5" s="1"/>
  <c r="CX177" i="5"/>
  <c r="CY174" i="5"/>
  <c r="CZ174" i="5"/>
  <c r="G175" i="5" s="1"/>
  <c r="S175" i="5" s="1"/>
  <c r="CZ149" i="4"/>
  <c r="CR176" i="5"/>
  <c r="CS176" i="5" s="1"/>
  <c r="CU176" i="5" s="1"/>
  <c r="DF176" i="5"/>
  <c r="DD177" i="5"/>
  <c r="DC177" i="5"/>
  <c r="DK176" i="5" s="1"/>
  <c r="DB177" i="5"/>
  <c r="DD147" i="4"/>
  <c r="DE147" i="4" s="1"/>
  <c r="H166" i="4" s="1"/>
  <c r="DI175" i="5"/>
  <c r="DJ175" i="5" s="1"/>
  <c r="B178" i="5"/>
  <c r="DV177" i="5"/>
  <c r="CT177" i="5"/>
  <c r="DH177" i="5"/>
  <c r="BY177" i="5"/>
  <c r="CD177" i="5" s="1"/>
  <c r="AA178" i="5"/>
  <c r="AB177" i="5"/>
  <c r="K178" i="5" s="1"/>
  <c r="W178" i="5" s="1"/>
  <c r="CU175" i="5"/>
  <c r="CV175" i="5" s="1"/>
  <c r="DE176" i="5"/>
  <c r="CQ177" i="5"/>
  <c r="CP177" i="5"/>
  <c r="CN177" i="5"/>
  <c r="DS177" i="5"/>
  <c r="DR177" i="5"/>
  <c r="DQ177" i="5"/>
  <c r="DY176" i="5" s="1"/>
  <c r="DP177" i="5"/>
  <c r="DW175" i="5"/>
  <c r="DX175" i="5" s="1"/>
  <c r="EB175" i="5" s="1"/>
  <c r="DG149" i="4"/>
  <c r="DB148" i="4"/>
  <c r="DC148" i="4" s="1"/>
  <c r="DA148" i="4"/>
  <c r="DH146" i="4"/>
  <c r="I165" i="4" s="1"/>
  <c r="DE146" i="4"/>
  <c r="H165" i="4" s="1"/>
  <c r="CX150" i="4"/>
  <c r="DF150" i="4" s="1"/>
  <c r="CU151" i="4"/>
  <c r="W152" i="4"/>
  <c r="C170" i="4"/>
  <c r="B169" i="4" s="1"/>
  <c r="J177" i="5" l="1"/>
  <c r="V177" i="5" s="1"/>
  <c r="AV178" i="5"/>
  <c r="CA178" i="5"/>
  <c r="CL171" i="5"/>
  <c r="CK171" i="5"/>
  <c r="CC172" i="5"/>
  <c r="CE172" i="5" s="1"/>
  <c r="CH172" i="5" s="1"/>
  <c r="CB173" i="5"/>
  <c r="BZ178" i="5"/>
  <c r="CG178" i="5" s="1"/>
  <c r="AX164" i="5"/>
  <c r="AZ164" i="5" s="1"/>
  <c r="AW165" i="5"/>
  <c r="BO178" i="5"/>
  <c r="CJ178" i="5"/>
  <c r="CF178" i="5"/>
  <c r="CI178" i="5" s="1"/>
  <c r="BA178" i="5"/>
  <c r="BE178" i="5"/>
  <c r="AY178" i="5"/>
  <c r="BB165" i="5"/>
  <c r="AU166" i="5"/>
  <c r="AA151" i="4"/>
  <c r="AT150" i="4" s="1"/>
  <c r="CO177" i="5"/>
  <c r="CW176" i="5" s="1"/>
  <c r="BR166" i="5"/>
  <c r="BS166" i="5" s="1"/>
  <c r="BW166" i="5" s="1"/>
  <c r="E167" i="5" s="1"/>
  <c r="Q167" i="5" s="1"/>
  <c r="BQ178" i="5"/>
  <c r="BK179" i="5" s="1"/>
  <c r="BP167" i="5"/>
  <c r="BM168" i="5"/>
  <c r="BV166" i="5"/>
  <c r="BL168" i="5"/>
  <c r="BT167" i="5" s="1"/>
  <c r="AQ151" i="4"/>
  <c r="AD151" i="4"/>
  <c r="CE152" i="4"/>
  <c r="AU152" i="4"/>
  <c r="AF152" i="4"/>
  <c r="Y152" i="4"/>
  <c r="AE147" i="4"/>
  <c r="AG147" i="4" s="1"/>
  <c r="AB148" i="4"/>
  <c r="Z152" i="4"/>
  <c r="CQ84" i="4"/>
  <c r="G103" i="4" s="1"/>
  <c r="AO178" i="5"/>
  <c r="AK178" i="5"/>
  <c r="BU178" i="5"/>
  <c r="AI178" i="5"/>
  <c r="BY85" i="4"/>
  <c r="CO85" i="4" s="1"/>
  <c r="CP85" i="4" s="1"/>
  <c r="CG86" i="4"/>
  <c r="F166" i="5"/>
  <c r="R166" i="5" s="1"/>
  <c r="BJ109" i="4"/>
  <c r="BQ109" i="4" s="1"/>
  <c r="CM85" i="4"/>
  <c r="CN85" i="4" s="1"/>
  <c r="F104" i="4" s="1"/>
  <c r="BM107" i="4"/>
  <c r="BO107" i="4" s="1"/>
  <c r="BL108" i="4"/>
  <c r="CC97" i="4"/>
  <c r="BZ97" i="4"/>
  <c r="CB97" i="4" s="1"/>
  <c r="BK108" i="4"/>
  <c r="CD107" i="4" s="1"/>
  <c r="BR86" i="4"/>
  <c r="BS98" i="4" s="1"/>
  <c r="BT110" i="4" s="1"/>
  <c r="BU122" i="4" s="1"/>
  <c r="CN84" i="4"/>
  <c r="F103" i="4" s="1"/>
  <c r="AD181" i="5"/>
  <c r="AC182" i="5"/>
  <c r="J178" i="5"/>
  <c r="V178" i="5" s="1"/>
  <c r="BJ182" i="5"/>
  <c r="CT152" i="4"/>
  <c r="CZ151" i="4" s="1"/>
  <c r="CS152" i="4"/>
  <c r="J170" i="4"/>
  <c r="CW151" i="4"/>
  <c r="CA151" i="4"/>
  <c r="CY152" i="4"/>
  <c r="BP152" i="4"/>
  <c r="BI152" i="4"/>
  <c r="CA152" i="4" s="1"/>
  <c r="X152" i="4"/>
  <c r="K171" i="4" s="1"/>
  <c r="DL178" i="5"/>
  <c r="DZ178" i="5"/>
  <c r="EA176" i="5"/>
  <c r="EB176" i="5"/>
  <c r="I177" i="5" s="1"/>
  <c r="U177" i="5" s="1"/>
  <c r="I176" i="5"/>
  <c r="U176" i="5" s="1"/>
  <c r="DM176" i="5"/>
  <c r="DN175" i="5"/>
  <c r="H176" i="5" s="1"/>
  <c r="T176" i="5" s="1"/>
  <c r="CX178" i="5"/>
  <c r="CZ175" i="5"/>
  <c r="G176" i="5" s="1"/>
  <c r="S176" i="5" s="1"/>
  <c r="CY175" i="5"/>
  <c r="N178" i="5"/>
  <c r="CZ150" i="4"/>
  <c r="CV151" i="4"/>
  <c r="CV152" i="4" s="1"/>
  <c r="DG150" i="4"/>
  <c r="DG176" i="5"/>
  <c r="DI176" i="5" s="1"/>
  <c r="DJ176" i="5" s="1"/>
  <c r="DN176" i="5" s="1"/>
  <c r="DT177" i="5"/>
  <c r="DU177" i="5" s="1"/>
  <c r="CV176" i="5"/>
  <c r="CR177" i="5"/>
  <c r="CS177" i="5" s="1"/>
  <c r="DF177" i="5"/>
  <c r="DP178" i="5"/>
  <c r="DS178" i="5"/>
  <c r="DR178" i="5"/>
  <c r="DQ178" i="5"/>
  <c r="DY177" i="5" s="1"/>
  <c r="DD148" i="4"/>
  <c r="DH148" i="4" s="1"/>
  <c r="I167" i="4" s="1"/>
  <c r="DH147" i="4"/>
  <c r="I166" i="4" s="1"/>
  <c r="DD178" i="5"/>
  <c r="DC178" i="5"/>
  <c r="DK177" i="5" s="1"/>
  <c r="DB178" i="5"/>
  <c r="CN178" i="5"/>
  <c r="CQ178" i="5"/>
  <c r="CP178" i="5"/>
  <c r="DE177" i="5"/>
  <c r="AA179" i="5"/>
  <c r="DV178" i="5"/>
  <c r="CT178" i="5"/>
  <c r="B179" i="5"/>
  <c r="DH178" i="5"/>
  <c r="BY178" i="5"/>
  <c r="CD178" i="5" s="1"/>
  <c r="AB178" i="5"/>
  <c r="K179" i="5" s="1"/>
  <c r="W179" i="5" s="1"/>
  <c r="DB149" i="4"/>
  <c r="DC149" i="4" s="1"/>
  <c r="DA149" i="4"/>
  <c r="CU152" i="4"/>
  <c r="C171" i="4"/>
  <c r="W153" i="4"/>
  <c r="CK172" i="5" l="1"/>
  <c r="CL172" i="5"/>
  <c r="BB166" i="5"/>
  <c r="AU167" i="5"/>
  <c r="BZ179" i="5"/>
  <c r="CG179" i="5" s="1"/>
  <c r="AV179" i="5"/>
  <c r="CC173" i="5"/>
  <c r="CE173" i="5" s="1"/>
  <c r="CH173" i="5" s="1"/>
  <c r="CB174" i="5"/>
  <c r="AX165" i="5"/>
  <c r="AZ165" i="5" s="1"/>
  <c r="AW166" i="5"/>
  <c r="BO179" i="5"/>
  <c r="CJ179" i="5"/>
  <c r="CF179" i="5"/>
  <c r="CI179" i="5" s="1"/>
  <c r="BA179" i="5"/>
  <c r="BE179" i="5"/>
  <c r="AY179" i="5"/>
  <c r="AA152" i="4"/>
  <c r="AT151" i="4" s="1"/>
  <c r="AW151" i="4" s="1"/>
  <c r="BD164" i="5"/>
  <c r="BF164" i="5" s="1"/>
  <c r="BB164" i="5"/>
  <c r="BC164" i="5" s="1"/>
  <c r="BG164" i="5" s="1"/>
  <c r="D165" i="5" s="1"/>
  <c r="P165" i="5" s="1"/>
  <c r="CA179" i="5"/>
  <c r="CO178" i="5"/>
  <c r="CW177" i="5" s="1"/>
  <c r="BR167" i="5"/>
  <c r="BS167" i="5" s="1"/>
  <c r="BW167" i="5" s="1"/>
  <c r="E168" i="5" s="1"/>
  <c r="Q168" i="5" s="1"/>
  <c r="BQ179" i="5"/>
  <c r="BK180" i="5" s="1"/>
  <c r="BV167" i="5"/>
  <c r="BL169" i="5"/>
  <c r="BT168" i="5" s="1"/>
  <c r="BM169" i="5"/>
  <c r="BP168" i="5"/>
  <c r="AQ152" i="4"/>
  <c r="AD152" i="4"/>
  <c r="AU153" i="4"/>
  <c r="AF153" i="4"/>
  <c r="CE153" i="4"/>
  <c r="Y153" i="4"/>
  <c r="Z153" i="4"/>
  <c r="AE148" i="4"/>
  <c r="AG148" i="4" s="1"/>
  <c r="AB149" i="4"/>
  <c r="BN152" i="4"/>
  <c r="BU179" i="5"/>
  <c r="AK179" i="5"/>
  <c r="AO179" i="5"/>
  <c r="AI179" i="5"/>
  <c r="BL109" i="4"/>
  <c r="BM108" i="4"/>
  <c r="BO108" i="4" s="1"/>
  <c r="BJ110" i="4"/>
  <c r="BQ110" i="4" s="1"/>
  <c r="CH86" i="4"/>
  <c r="CI86" i="4" s="1"/>
  <c r="CJ86" i="4" s="1"/>
  <c r="CF87" i="4" s="1"/>
  <c r="BK109" i="4"/>
  <c r="CQ85" i="4"/>
  <c r="G104" i="4" s="1"/>
  <c r="F167" i="5"/>
  <c r="R167" i="5" s="1"/>
  <c r="BV86" i="4"/>
  <c r="BX86" i="4" s="1"/>
  <c r="CK86" i="4" s="1"/>
  <c r="CL86" i="4" s="1"/>
  <c r="J179" i="5"/>
  <c r="V179" i="5" s="1"/>
  <c r="AD182" i="5"/>
  <c r="AC183" i="5"/>
  <c r="DE178" i="5"/>
  <c r="DE179" i="5" s="1"/>
  <c r="BJ183" i="5"/>
  <c r="CT153" i="4"/>
  <c r="CZ152" i="4" s="1"/>
  <c r="DT178" i="5"/>
  <c r="DU178" i="5" s="1"/>
  <c r="J171" i="4"/>
  <c r="CW152" i="4"/>
  <c r="CX152" i="4" s="1"/>
  <c r="DF152" i="4" s="1"/>
  <c r="CY153" i="4"/>
  <c r="BP153" i="4"/>
  <c r="BI153" i="4"/>
  <c r="X153" i="4"/>
  <c r="K172" i="4" s="1"/>
  <c r="CS153" i="4"/>
  <c r="CV153" i="4"/>
  <c r="DL179" i="5"/>
  <c r="DZ179" i="5"/>
  <c r="EA177" i="5"/>
  <c r="DM177" i="5"/>
  <c r="H177" i="5"/>
  <c r="T177" i="5" s="1"/>
  <c r="CY176" i="5"/>
  <c r="CZ176" i="5"/>
  <c r="G177" i="5" s="1"/>
  <c r="S177" i="5" s="1"/>
  <c r="CX179" i="5"/>
  <c r="N179" i="5"/>
  <c r="DD149" i="4"/>
  <c r="DE149" i="4" s="1"/>
  <c r="H168" i="4" s="1"/>
  <c r="DE148" i="4"/>
  <c r="H167" i="4" s="1"/>
  <c r="CR178" i="5"/>
  <c r="CS178" i="5" s="1"/>
  <c r="DF178" i="5"/>
  <c r="CU177" i="5"/>
  <c r="CV177" i="5" s="1"/>
  <c r="DW177" i="5"/>
  <c r="DX177" i="5" s="1"/>
  <c r="EB177" i="5" s="1"/>
  <c r="B180" i="5"/>
  <c r="AA180" i="5"/>
  <c r="DV179" i="5"/>
  <c r="CT179" i="5"/>
  <c r="BY179" i="5"/>
  <c r="CD179" i="5" s="1"/>
  <c r="DH179" i="5"/>
  <c r="AB179" i="5"/>
  <c r="K180" i="5" s="1"/>
  <c r="W180" i="5" s="1"/>
  <c r="DD179" i="5"/>
  <c r="DC179" i="5"/>
  <c r="DK178" i="5" s="1"/>
  <c r="DB179" i="5"/>
  <c r="CN179" i="5"/>
  <c r="CP179" i="5"/>
  <c r="CQ179" i="5"/>
  <c r="DQ179" i="5"/>
  <c r="DY178" i="5" s="1"/>
  <c r="DP179" i="5"/>
  <c r="DS179" i="5"/>
  <c r="DR179" i="5"/>
  <c r="DG177" i="5"/>
  <c r="CX151" i="4"/>
  <c r="DF151" i="4" s="1"/>
  <c r="DA150" i="4"/>
  <c r="DB150" i="4"/>
  <c r="DC150" i="4" s="1"/>
  <c r="C172" i="4"/>
  <c r="W154" i="4"/>
  <c r="CU153" i="4"/>
  <c r="AA153" i="4" l="1"/>
  <c r="AT152" i="4" s="1"/>
  <c r="CO179" i="5"/>
  <c r="CW178" i="5" s="1"/>
  <c r="AV180" i="5"/>
  <c r="CL173" i="5"/>
  <c r="CK173" i="5"/>
  <c r="BZ180" i="5"/>
  <c r="CG180" i="5" s="1"/>
  <c r="AX166" i="5"/>
  <c r="AZ166" i="5" s="1"/>
  <c r="AW167" i="5"/>
  <c r="BB167" i="5"/>
  <c r="AU168" i="5"/>
  <c r="BD165" i="5"/>
  <c r="BF165" i="5" s="1"/>
  <c r="BC165" i="5"/>
  <c r="BG165" i="5" s="1"/>
  <c r="D166" i="5" s="1"/>
  <c r="P166" i="5" s="1"/>
  <c r="CA180" i="5"/>
  <c r="BO180" i="5"/>
  <c r="CF180" i="5"/>
  <c r="CI180" i="5" s="1"/>
  <c r="AY180" i="5"/>
  <c r="CJ180" i="5"/>
  <c r="BA180" i="5"/>
  <c r="BE180" i="5"/>
  <c r="CC174" i="5"/>
  <c r="CE174" i="5" s="1"/>
  <c r="CH174" i="5" s="1"/>
  <c r="CB175" i="5"/>
  <c r="BR168" i="5"/>
  <c r="BS168" i="5" s="1"/>
  <c r="BW168" i="5" s="1"/>
  <c r="E169" i="5" s="1"/>
  <c r="Q169" i="5" s="1"/>
  <c r="BQ180" i="5"/>
  <c r="BK181" i="5" s="1"/>
  <c r="BP169" i="5"/>
  <c r="BM170" i="5"/>
  <c r="BV168" i="5"/>
  <c r="BL170" i="5"/>
  <c r="BT169" i="5" s="1"/>
  <c r="J180" i="5"/>
  <c r="V180" i="5" s="1"/>
  <c r="AQ153" i="4"/>
  <c r="AD153" i="4"/>
  <c r="BN153" i="4"/>
  <c r="CE154" i="4"/>
  <c r="AF154" i="4"/>
  <c r="AU154" i="4"/>
  <c r="Y154" i="4"/>
  <c r="AW152" i="4"/>
  <c r="Z154" i="4"/>
  <c r="AA154" i="4"/>
  <c r="AT153" i="4" s="1"/>
  <c r="AE149" i="4"/>
  <c r="AG149" i="4" s="1"/>
  <c r="AB150" i="4"/>
  <c r="CD108" i="4"/>
  <c r="BU180" i="5"/>
  <c r="AO180" i="5"/>
  <c r="AK180" i="5"/>
  <c r="AI180" i="5"/>
  <c r="BY86" i="4"/>
  <c r="CO86" i="4" s="1"/>
  <c r="CP86" i="4" s="1"/>
  <c r="BM109" i="4"/>
  <c r="BO109" i="4" s="1"/>
  <c r="BL110" i="4"/>
  <c r="F168" i="5"/>
  <c r="R168" i="5" s="1"/>
  <c r="CC98" i="4"/>
  <c r="BZ98" i="4"/>
  <c r="CB98" i="4" s="1"/>
  <c r="CG87" i="4"/>
  <c r="CH87" i="4" s="1"/>
  <c r="CI87" i="4" s="1"/>
  <c r="CJ87" i="4" s="1"/>
  <c r="CF88" i="4" s="1"/>
  <c r="CM86" i="4"/>
  <c r="CN86" i="4" s="1"/>
  <c r="F105" i="4" s="1"/>
  <c r="BJ111" i="4"/>
  <c r="BQ111" i="4" s="1"/>
  <c r="BR87" i="4"/>
  <c r="BS99" i="4" s="1"/>
  <c r="BT111" i="4" s="1"/>
  <c r="BU123" i="4" s="1"/>
  <c r="BK110" i="4"/>
  <c r="CD109" i="4" s="1"/>
  <c r="DG178" i="5"/>
  <c r="DI178" i="5" s="1"/>
  <c r="DJ178" i="5" s="1"/>
  <c r="AD183" i="5"/>
  <c r="AC184" i="5"/>
  <c r="BJ184" i="5"/>
  <c r="CT154" i="4"/>
  <c r="CZ153" i="4" s="1"/>
  <c r="DT179" i="5"/>
  <c r="DU179" i="5" s="1"/>
  <c r="J172" i="4"/>
  <c r="CV154" i="4"/>
  <c r="CS154" i="4"/>
  <c r="CW153" i="4"/>
  <c r="CX153" i="4" s="1"/>
  <c r="DF153" i="4" s="1"/>
  <c r="CA153" i="4"/>
  <c r="CY154" i="4"/>
  <c r="BP154" i="4"/>
  <c r="BI154" i="4"/>
  <c r="BN154" i="4" s="1"/>
  <c r="X154" i="4"/>
  <c r="K173" i="4" s="1"/>
  <c r="DL180" i="5"/>
  <c r="DZ180" i="5"/>
  <c r="I178" i="5"/>
  <c r="U178" i="5" s="1"/>
  <c r="EA178" i="5"/>
  <c r="DM178" i="5"/>
  <c r="CX180" i="5"/>
  <c r="CZ177" i="5"/>
  <c r="G178" i="5" s="1"/>
  <c r="S178" i="5" s="1"/>
  <c r="CY177" i="5"/>
  <c r="N180" i="5"/>
  <c r="DG152" i="4"/>
  <c r="DG151" i="4"/>
  <c r="DH149" i="4"/>
  <c r="I168" i="4" s="1"/>
  <c r="DD150" i="4"/>
  <c r="DE150" i="4" s="1"/>
  <c r="H169" i="4" s="1"/>
  <c r="CU178" i="5"/>
  <c r="CV178" i="5" s="1"/>
  <c r="DI177" i="5"/>
  <c r="DJ177" i="5" s="1"/>
  <c r="DP180" i="5"/>
  <c r="DS180" i="5"/>
  <c r="DR180" i="5"/>
  <c r="DQ180" i="5"/>
  <c r="DY179" i="5" s="1"/>
  <c r="DW178" i="5"/>
  <c r="DX178" i="5" s="1"/>
  <c r="CR179" i="5"/>
  <c r="CS179" i="5" s="1"/>
  <c r="DF179" i="5"/>
  <c r="DG179" i="5" s="1"/>
  <c r="DV180" i="5"/>
  <c r="BY180" i="5"/>
  <c r="CD180" i="5" s="1"/>
  <c r="DH180" i="5"/>
  <c r="AA181" i="5"/>
  <c r="CT180" i="5"/>
  <c r="B181" i="5"/>
  <c r="AB180" i="5"/>
  <c r="K181" i="5" s="1"/>
  <c r="W181" i="5" s="1"/>
  <c r="DD180" i="5"/>
  <c r="DE180" i="5"/>
  <c r="DB180" i="5"/>
  <c r="DC180" i="5"/>
  <c r="DK179" i="5" s="1"/>
  <c r="CP180" i="5"/>
  <c r="CO180" i="5"/>
  <c r="CW179" i="5" s="1"/>
  <c r="CN180" i="5"/>
  <c r="CQ180" i="5"/>
  <c r="DB151" i="4"/>
  <c r="DC151" i="4" s="1"/>
  <c r="DA151" i="4"/>
  <c r="C173" i="4"/>
  <c r="W155" i="4"/>
  <c r="CU154" i="4"/>
  <c r="CL174" i="5" l="1"/>
  <c r="CK174" i="5"/>
  <c r="BO181" i="5"/>
  <c r="BA181" i="5"/>
  <c r="AY181" i="5"/>
  <c r="CF181" i="5"/>
  <c r="CI181" i="5" s="1"/>
  <c r="CJ181" i="5"/>
  <c r="BE181" i="5"/>
  <c r="BZ181" i="5"/>
  <c r="CG181" i="5" s="1"/>
  <c r="AX167" i="5"/>
  <c r="AZ167" i="5" s="1"/>
  <c r="AW168" i="5"/>
  <c r="BD166" i="5"/>
  <c r="BF166" i="5" s="1"/>
  <c r="BC166" i="5"/>
  <c r="BG166" i="5" s="1"/>
  <c r="D167" i="5" s="1"/>
  <c r="P167" i="5" s="1"/>
  <c r="CA181" i="5"/>
  <c r="AV181" i="5"/>
  <c r="AV182" i="5" s="1"/>
  <c r="CC175" i="5"/>
  <c r="CE175" i="5" s="1"/>
  <c r="CI175" i="5" s="1"/>
  <c r="CB176" i="5"/>
  <c r="BB168" i="5"/>
  <c r="AU169" i="5"/>
  <c r="BR169" i="5"/>
  <c r="BS169" i="5" s="1"/>
  <c r="BW169" i="5" s="1"/>
  <c r="E170" i="5" s="1"/>
  <c r="Q170" i="5" s="1"/>
  <c r="BQ181" i="5"/>
  <c r="BK182" i="5" s="1"/>
  <c r="BV169" i="5"/>
  <c r="BL171" i="5"/>
  <c r="BT170" i="5" s="1"/>
  <c r="BM171" i="5"/>
  <c r="BP170" i="5"/>
  <c r="J181" i="5"/>
  <c r="V181" i="5" s="1"/>
  <c r="AQ154" i="4"/>
  <c r="AD154" i="4"/>
  <c r="Z155" i="4"/>
  <c r="AA155" i="4"/>
  <c r="AT154" i="4" s="1"/>
  <c r="AE150" i="4"/>
  <c r="AB151" i="4"/>
  <c r="AF155" i="4"/>
  <c r="AU155" i="4"/>
  <c r="CE155" i="4"/>
  <c r="Y155" i="4"/>
  <c r="AW153" i="4"/>
  <c r="CT155" i="4"/>
  <c r="CZ154" i="4" s="1"/>
  <c r="BU181" i="5"/>
  <c r="AK181" i="5"/>
  <c r="AO181" i="5"/>
  <c r="AI181" i="5"/>
  <c r="CQ86" i="4"/>
  <c r="G105" i="4" s="1"/>
  <c r="BK111" i="4"/>
  <c r="CD110" i="4" s="1"/>
  <c r="BM110" i="4"/>
  <c r="BO110" i="4" s="1"/>
  <c r="BL111" i="4"/>
  <c r="BR88" i="4"/>
  <c r="BS100" i="4" s="1"/>
  <c r="BT112" i="4" s="1"/>
  <c r="BU124" i="4" s="1"/>
  <c r="BV87" i="4"/>
  <c r="BX87" i="4" s="1"/>
  <c r="CK87" i="4" s="1"/>
  <c r="CL87" i="4" s="1"/>
  <c r="CG88" i="4"/>
  <c r="F169" i="5"/>
  <c r="R169" i="5" s="1"/>
  <c r="BJ112" i="4"/>
  <c r="BQ112" i="4" s="1"/>
  <c r="AD184" i="5"/>
  <c r="AC185" i="5"/>
  <c r="BJ185" i="5"/>
  <c r="J173" i="4"/>
  <c r="CW154" i="4"/>
  <c r="CX154" i="4" s="1"/>
  <c r="DF154" i="4" s="1"/>
  <c r="CA154" i="4"/>
  <c r="BP155" i="4"/>
  <c r="CY155" i="4"/>
  <c r="BI155" i="4"/>
  <c r="BN155" i="4" s="1"/>
  <c r="X155" i="4"/>
  <c r="K174" i="4" s="1"/>
  <c r="CV155" i="4"/>
  <c r="CS155" i="4"/>
  <c r="DL181" i="5"/>
  <c r="DZ181" i="5"/>
  <c r="EA179" i="5"/>
  <c r="EB178" i="5"/>
  <c r="I179" i="5" s="1"/>
  <c r="U179" i="5" s="1"/>
  <c r="DN177" i="5"/>
  <c r="H178" i="5" s="1"/>
  <c r="T178" i="5" s="1"/>
  <c r="DN178" i="5"/>
  <c r="H179" i="5" s="1"/>
  <c r="T179" i="5" s="1"/>
  <c r="DM179" i="5"/>
  <c r="CZ178" i="5"/>
  <c r="G179" i="5" s="1"/>
  <c r="S179" i="5" s="1"/>
  <c r="CY178" i="5"/>
  <c r="CX181" i="5"/>
  <c r="N181" i="5"/>
  <c r="DD151" i="4"/>
  <c r="DE151" i="4" s="1"/>
  <c r="H170" i="4" s="1"/>
  <c r="DG153" i="4"/>
  <c r="DH150" i="4"/>
  <c r="I169" i="4" s="1"/>
  <c r="CU179" i="5"/>
  <c r="CV179" i="5" s="1"/>
  <c r="DI179" i="5"/>
  <c r="DJ179" i="5" s="1"/>
  <c r="CN181" i="5"/>
  <c r="CO181" i="5"/>
  <c r="CW180" i="5" s="1"/>
  <c r="CP181" i="5"/>
  <c r="CQ181" i="5"/>
  <c r="AA182" i="5"/>
  <c r="B182" i="5"/>
  <c r="DV181" i="5"/>
  <c r="CT181" i="5"/>
  <c r="BY181" i="5"/>
  <c r="CD181" i="5" s="1"/>
  <c r="DH181" i="5"/>
  <c r="AB181" i="5"/>
  <c r="K182" i="5" s="1"/>
  <c r="W182" i="5" s="1"/>
  <c r="DP181" i="5"/>
  <c r="DR181" i="5"/>
  <c r="DQ181" i="5"/>
  <c r="DY180" i="5" s="1"/>
  <c r="DS181" i="5"/>
  <c r="DE181" i="5"/>
  <c r="DD181" i="5"/>
  <c r="DB181" i="5"/>
  <c r="DC181" i="5"/>
  <c r="DK180" i="5" s="1"/>
  <c r="DF180" i="5"/>
  <c r="DG180" i="5" s="1"/>
  <c r="DW179" i="5"/>
  <c r="DX179" i="5" s="1"/>
  <c r="CR180" i="5"/>
  <c r="CS180" i="5" s="1"/>
  <c r="DT180" i="5"/>
  <c r="DU180" i="5" s="1"/>
  <c r="DB152" i="4"/>
  <c r="DC152" i="4" s="1"/>
  <c r="DA152" i="4"/>
  <c r="CU155" i="4"/>
  <c r="C174" i="4"/>
  <c r="W156" i="4"/>
  <c r="CC176" i="5" l="1"/>
  <c r="CE176" i="5" s="1"/>
  <c r="CH176" i="5" s="1"/>
  <c r="CB177" i="5"/>
  <c r="AX168" i="5"/>
  <c r="AZ168" i="5" s="1"/>
  <c r="AW169" i="5"/>
  <c r="BZ182" i="5"/>
  <c r="CG182" i="5" s="1"/>
  <c r="CK175" i="5"/>
  <c r="CH175" i="5"/>
  <c r="CL175" i="5" s="1"/>
  <c r="BD167" i="5"/>
  <c r="BF167" i="5" s="1"/>
  <c r="BC167" i="5"/>
  <c r="BG167" i="5" s="1"/>
  <c r="D168" i="5" s="1"/>
  <c r="P168" i="5" s="1"/>
  <c r="BO182" i="5"/>
  <c r="CF182" i="5"/>
  <c r="CI182" i="5" s="1"/>
  <c r="BA182" i="5"/>
  <c r="AV183" i="5" s="1"/>
  <c r="BE182" i="5"/>
  <c r="CJ182" i="5"/>
  <c r="AY182" i="5"/>
  <c r="CA182" i="5"/>
  <c r="BB169" i="5"/>
  <c r="AU170" i="5"/>
  <c r="AG150" i="4"/>
  <c r="AC151" i="4"/>
  <c r="AC152" i="4" s="1"/>
  <c r="AC153" i="4" s="1"/>
  <c r="AC154" i="4" s="1"/>
  <c r="AC155" i="4" s="1"/>
  <c r="AC156" i="4" s="1"/>
  <c r="BR170" i="5"/>
  <c r="BS170" i="5" s="1"/>
  <c r="BW170" i="5" s="1"/>
  <c r="E171" i="5" s="1"/>
  <c r="Q171" i="5" s="1"/>
  <c r="BQ182" i="5"/>
  <c r="BK183" i="5" s="1"/>
  <c r="BM172" i="5"/>
  <c r="BP171" i="5"/>
  <c r="BV170" i="5"/>
  <c r="BL172" i="5"/>
  <c r="BT171" i="5" s="1"/>
  <c r="J182" i="5"/>
  <c r="V182" i="5" s="1"/>
  <c r="AQ155" i="4"/>
  <c r="AD155" i="4"/>
  <c r="AW154" i="4"/>
  <c r="AB152" i="4"/>
  <c r="AU156" i="4"/>
  <c r="AF156" i="4"/>
  <c r="CE156" i="4"/>
  <c r="Y156" i="4"/>
  <c r="Z156" i="4"/>
  <c r="AA156" i="4"/>
  <c r="AT155" i="4" s="1"/>
  <c r="CT156" i="4"/>
  <c r="CZ155" i="4" s="1"/>
  <c r="BU182" i="5"/>
  <c r="AO182" i="5"/>
  <c r="AK182" i="5"/>
  <c r="AI182" i="5"/>
  <c r="F170" i="5"/>
  <c r="R170" i="5" s="1"/>
  <c r="BK112" i="4"/>
  <c r="CD111" i="4" s="1"/>
  <c r="BJ113" i="4"/>
  <c r="BQ113" i="4" s="1"/>
  <c r="CH88" i="4"/>
  <c r="CI88" i="4" s="1"/>
  <c r="CJ88" i="4" s="1"/>
  <c r="CF89" i="4" s="1"/>
  <c r="BV88" i="4"/>
  <c r="BX88" i="4" s="1"/>
  <c r="CK88" i="4" s="1"/>
  <c r="CL88" i="4" s="1"/>
  <c r="BY87" i="4"/>
  <c r="CO87" i="4" s="1"/>
  <c r="CP87" i="4" s="1"/>
  <c r="CM87" i="4"/>
  <c r="CN87" i="4" s="1"/>
  <c r="F106" i="4" s="1"/>
  <c r="CC99" i="4"/>
  <c r="BZ99" i="4"/>
  <c r="CB99" i="4" s="1"/>
  <c r="BM111" i="4"/>
  <c r="BO111" i="4" s="1"/>
  <c r="BL112" i="4"/>
  <c r="AD185" i="5"/>
  <c r="AC186" i="5"/>
  <c r="BJ186" i="5"/>
  <c r="DF181" i="5"/>
  <c r="DG181" i="5" s="1"/>
  <c r="J174" i="4"/>
  <c r="CS156" i="4"/>
  <c r="CW155" i="4"/>
  <c r="CX155" i="4" s="1"/>
  <c r="DF155" i="4" s="1"/>
  <c r="CA155" i="4"/>
  <c r="BP156" i="4"/>
  <c r="CY156" i="4"/>
  <c r="BI156" i="4"/>
  <c r="CA156" i="4" s="1"/>
  <c r="X156" i="4"/>
  <c r="K175" i="4" s="1"/>
  <c r="CV156" i="4"/>
  <c r="DL182" i="5"/>
  <c r="DZ182" i="5"/>
  <c r="EA180" i="5"/>
  <c r="EB179" i="5"/>
  <c r="I180" i="5" s="1"/>
  <c r="U180" i="5" s="1"/>
  <c r="DM180" i="5"/>
  <c r="DN179" i="5"/>
  <c r="H180" i="5" s="1"/>
  <c r="T180" i="5" s="1"/>
  <c r="CY179" i="5"/>
  <c r="CZ179" i="5"/>
  <c r="G180" i="5" s="1"/>
  <c r="S180" i="5" s="1"/>
  <c r="CX182" i="5"/>
  <c r="N182" i="5"/>
  <c r="DD152" i="4"/>
  <c r="DH151" i="4"/>
  <c r="I170" i="4" s="1"/>
  <c r="DG154" i="4"/>
  <c r="DT181" i="5"/>
  <c r="DU181" i="5" s="1"/>
  <c r="CR181" i="5"/>
  <c r="CS181" i="5" s="1"/>
  <c r="DW180" i="5"/>
  <c r="DX180" i="5" s="1"/>
  <c r="EB180" i="5" s="1"/>
  <c r="CU180" i="5"/>
  <c r="CV180" i="5" s="1"/>
  <c r="DI180" i="5"/>
  <c r="DJ180" i="5" s="1"/>
  <c r="DN180" i="5" s="1"/>
  <c r="CO182" i="5"/>
  <c r="CW181" i="5" s="1"/>
  <c r="CN182" i="5"/>
  <c r="CP182" i="5"/>
  <c r="CQ182" i="5"/>
  <c r="DQ182" i="5"/>
  <c r="DY181" i="5" s="1"/>
  <c r="DP182" i="5"/>
  <c r="DS182" i="5"/>
  <c r="DR182" i="5"/>
  <c r="DE182" i="5"/>
  <c r="DC182" i="5"/>
  <c r="DK181" i="5" s="1"/>
  <c r="DB182" i="5"/>
  <c r="DD182" i="5"/>
  <c r="AA183" i="5"/>
  <c r="B183" i="5"/>
  <c r="BY182" i="5"/>
  <c r="CD182" i="5" s="1"/>
  <c r="CT182" i="5"/>
  <c r="DV182" i="5"/>
  <c r="DH182" i="5"/>
  <c r="AB182" i="5"/>
  <c r="K183" i="5" s="1"/>
  <c r="W183" i="5" s="1"/>
  <c r="DA153" i="4"/>
  <c r="DB153" i="4"/>
  <c r="DC153" i="4" s="1"/>
  <c r="C175" i="4"/>
  <c r="W157" i="4"/>
  <c r="CU156" i="4"/>
  <c r="CA183" i="5" l="1"/>
  <c r="CA184" i="5" s="1"/>
  <c r="CK176" i="5"/>
  <c r="CL176" i="5"/>
  <c r="AX169" i="5"/>
  <c r="AZ169" i="5" s="1"/>
  <c r="AW170" i="5"/>
  <c r="BD168" i="5"/>
  <c r="BF168" i="5" s="1"/>
  <c r="BC168" i="5"/>
  <c r="BG168" i="5" s="1"/>
  <c r="D169" i="5" s="1"/>
  <c r="P169" i="5" s="1"/>
  <c r="BO183" i="5"/>
  <c r="CF183" i="5"/>
  <c r="CI183" i="5" s="1"/>
  <c r="CJ183" i="5"/>
  <c r="BA183" i="5"/>
  <c r="BE183" i="5"/>
  <c r="AY183" i="5"/>
  <c r="BB170" i="5"/>
  <c r="AU171" i="5"/>
  <c r="CC177" i="5"/>
  <c r="CE177" i="5" s="1"/>
  <c r="CH177" i="5" s="1"/>
  <c r="CB178" i="5"/>
  <c r="BZ183" i="5"/>
  <c r="CG183" i="5" s="1"/>
  <c r="AC157" i="4"/>
  <c r="AE151" i="4"/>
  <c r="AG151" i="4" s="1"/>
  <c r="BR171" i="5"/>
  <c r="BS171" i="5" s="1"/>
  <c r="BW171" i="5" s="1"/>
  <c r="E172" i="5" s="1"/>
  <c r="Q172" i="5" s="1"/>
  <c r="BQ183" i="5"/>
  <c r="BK184" i="5" s="1"/>
  <c r="BL173" i="5"/>
  <c r="BT172" i="5" s="1"/>
  <c r="BV171" i="5"/>
  <c r="BM173" i="5"/>
  <c r="BP172" i="5"/>
  <c r="J183" i="5"/>
  <c r="V183" i="5" s="1"/>
  <c r="AQ156" i="4"/>
  <c r="AD156" i="4"/>
  <c r="BN156" i="4"/>
  <c r="AE152" i="4"/>
  <c r="AG152" i="4" s="1"/>
  <c r="AB153" i="4"/>
  <c r="Z157" i="4"/>
  <c r="AA157" i="4"/>
  <c r="AT156" i="4" s="1"/>
  <c r="AW155" i="4"/>
  <c r="CE157" i="4"/>
  <c r="AF157" i="4"/>
  <c r="AU157" i="4"/>
  <c r="Y157" i="4"/>
  <c r="CT157" i="4"/>
  <c r="CZ156" i="4" s="1"/>
  <c r="BU183" i="5"/>
  <c r="AK183" i="5"/>
  <c r="AO183" i="5"/>
  <c r="AI183" i="5"/>
  <c r="CQ87" i="4"/>
  <c r="G106" i="4" s="1"/>
  <c r="BY88" i="4"/>
  <c r="CO88" i="4" s="1"/>
  <c r="CP88" i="4" s="1"/>
  <c r="CG89" i="4"/>
  <c r="F171" i="5"/>
  <c r="R171" i="5" s="1"/>
  <c r="BK113" i="4"/>
  <c r="CD112" i="4" s="1"/>
  <c r="BL113" i="4"/>
  <c r="BM112" i="4"/>
  <c r="BO112" i="4" s="1"/>
  <c r="BR89" i="4"/>
  <c r="BS101" i="4" s="1"/>
  <c r="BT113" i="4" s="1"/>
  <c r="BU125" i="4" s="1"/>
  <c r="BJ114" i="4"/>
  <c r="CM88" i="4"/>
  <c r="CC100" i="4"/>
  <c r="BZ100" i="4"/>
  <c r="CB100" i="4" s="1"/>
  <c r="AD186" i="5"/>
  <c r="AC187" i="5"/>
  <c r="BJ187" i="5"/>
  <c r="J175" i="4"/>
  <c r="CW156" i="4"/>
  <c r="CX156" i="4" s="1"/>
  <c r="DF156" i="4" s="1"/>
  <c r="CV157" i="4"/>
  <c r="BP157" i="4"/>
  <c r="CY157" i="4"/>
  <c r="BI157" i="4"/>
  <c r="X157" i="4"/>
  <c r="K176" i="4" s="1"/>
  <c r="CS157" i="4"/>
  <c r="DL183" i="5"/>
  <c r="DZ183" i="5"/>
  <c r="EA181" i="5"/>
  <c r="I181" i="5"/>
  <c r="U181" i="5" s="1"/>
  <c r="DM181" i="5"/>
  <c r="H181" i="5"/>
  <c r="T181" i="5" s="1"/>
  <c r="CY180" i="5"/>
  <c r="CZ180" i="5"/>
  <c r="G181" i="5" s="1"/>
  <c r="S181" i="5" s="1"/>
  <c r="CX183" i="5"/>
  <c r="N183" i="5"/>
  <c r="DH152" i="4"/>
  <c r="I171" i="4" s="1"/>
  <c r="DE152" i="4"/>
  <c r="H171" i="4" s="1"/>
  <c r="DD153" i="4"/>
  <c r="DF182" i="5"/>
  <c r="DG182" i="5" s="1"/>
  <c r="CP183" i="5"/>
  <c r="CO183" i="5"/>
  <c r="CW182" i="5" s="1"/>
  <c r="CN183" i="5"/>
  <c r="CQ183" i="5"/>
  <c r="DH183" i="5"/>
  <c r="BY183" i="5"/>
  <c r="CD183" i="5" s="1"/>
  <c r="B184" i="5"/>
  <c r="AA184" i="5"/>
  <c r="DV183" i="5"/>
  <c r="CT183" i="5"/>
  <c r="AB183" i="5"/>
  <c r="K184" i="5" s="1"/>
  <c r="W184" i="5" s="1"/>
  <c r="DD183" i="5"/>
  <c r="DE183" i="5"/>
  <c r="DB183" i="5"/>
  <c r="DC183" i="5"/>
  <c r="DK182" i="5" s="1"/>
  <c r="CR182" i="5"/>
  <c r="CS182" i="5" s="1"/>
  <c r="DW181" i="5"/>
  <c r="DX181" i="5" s="1"/>
  <c r="EB181" i="5" s="1"/>
  <c r="CU181" i="5"/>
  <c r="CV181" i="5" s="1"/>
  <c r="DT182" i="5"/>
  <c r="DU182" i="5" s="1"/>
  <c r="DI181" i="5"/>
  <c r="DJ181" i="5" s="1"/>
  <c r="DN181" i="5" s="1"/>
  <c r="DR183" i="5"/>
  <c r="DQ183" i="5"/>
  <c r="DY182" i="5" s="1"/>
  <c r="DP183" i="5"/>
  <c r="DS183" i="5"/>
  <c r="DG155" i="4"/>
  <c r="DA154" i="4"/>
  <c r="DB154" i="4"/>
  <c r="DC154" i="4" s="1"/>
  <c r="C176" i="4"/>
  <c r="W158" i="4"/>
  <c r="CU157" i="4"/>
  <c r="CK177" i="5" l="1"/>
  <c r="CL177" i="5"/>
  <c r="CC178" i="5"/>
  <c r="CE178" i="5" s="1"/>
  <c r="CH178" i="5" s="1"/>
  <c r="CB179" i="5"/>
  <c r="AX170" i="5"/>
  <c r="AZ170" i="5" s="1"/>
  <c r="AW171" i="5"/>
  <c r="BO184" i="5"/>
  <c r="CF184" i="5"/>
  <c r="CI184" i="5" s="1"/>
  <c r="CJ184" i="5"/>
  <c r="AY184" i="5"/>
  <c r="BA184" i="5"/>
  <c r="BE184" i="5"/>
  <c r="BD169" i="5"/>
  <c r="BF169" i="5" s="1"/>
  <c r="BC169" i="5"/>
  <c r="BG169" i="5" s="1"/>
  <c r="D170" i="5" s="1"/>
  <c r="P170" i="5" s="1"/>
  <c r="BB171" i="5"/>
  <c r="AU172" i="5"/>
  <c r="AV184" i="5"/>
  <c r="BZ184" i="5"/>
  <c r="CG184" i="5" s="1"/>
  <c r="AC158" i="4"/>
  <c r="BR172" i="5"/>
  <c r="BS172" i="5" s="1"/>
  <c r="BW172" i="5" s="1"/>
  <c r="E173" i="5" s="1"/>
  <c r="Q173" i="5" s="1"/>
  <c r="BQ184" i="5"/>
  <c r="BK185" i="5" s="1"/>
  <c r="BP173" i="5"/>
  <c r="BM174" i="5"/>
  <c r="BV172" i="5"/>
  <c r="BL174" i="5"/>
  <c r="BT173" i="5" s="1"/>
  <c r="J184" i="5"/>
  <c r="V184" i="5" s="1"/>
  <c r="AQ157" i="4"/>
  <c r="AD157" i="4"/>
  <c r="BN157" i="4"/>
  <c r="AE153" i="4"/>
  <c r="AG153" i="4" s="1"/>
  <c r="AB154" i="4"/>
  <c r="AU158" i="4"/>
  <c r="AF158" i="4"/>
  <c r="CE158" i="4"/>
  <c r="Y158" i="4"/>
  <c r="Z158" i="4"/>
  <c r="AA158" i="4"/>
  <c r="AT157" i="4" s="1"/>
  <c r="CQ88" i="4"/>
  <c r="G107" i="4" s="1"/>
  <c r="CT158" i="4"/>
  <c r="CZ157" i="4" s="1"/>
  <c r="BU184" i="5"/>
  <c r="AO184" i="5"/>
  <c r="AK184" i="5"/>
  <c r="AI184" i="5"/>
  <c r="BK114" i="4"/>
  <c r="CD113" i="4" s="1"/>
  <c r="F172" i="5"/>
  <c r="R172" i="5" s="1"/>
  <c r="BV89" i="4"/>
  <c r="BX89" i="4" s="1"/>
  <c r="CK89" i="4" s="1"/>
  <c r="CL89" i="4" s="1"/>
  <c r="CN88" i="4"/>
  <c r="F107" i="4" s="1"/>
  <c r="BM113" i="4"/>
  <c r="BO113" i="4" s="1"/>
  <c r="BL114" i="4"/>
  <c r="BM114" i="4" s="1"/>
  <c r="BO114" i="4" s="1"/>
  <c r="BJ115" i="4" s="1"/>
  <c r="CH89" i="4"/>
  <c r="CI89" i="4" s="1"/>
  <c r="CJ89" i="4" s="1"/>
  <c r="AD187" i="5"/>
  <c r="CR183" i="5"/>
  <c r="CS183" i="5" s="1"/>
  <c r="J176" i="4"/>
  <c r="CS158" i="4"/>
  <c r="CY158" i="4"/>
  <c r="BP158" i="4"/>
  <c r="BI158" i="4"/>
  <c r="BN158" i="4" s="1"/>
  <c r="X158" i="4"/>
  <c r="K177" i="4" s="1"/>
  <c r="CW157" i="4"/>
  <c r="CX157" i="4" s="1"/>
  <c r="DF157" i="4" s="1"/>
  <c r="CA157" i="4"/>
  <c r="CV158" i="4"/>
  <c r="DL184" i="5"/>
  <c r="DZ184" i="5"/>
  <c r="I182" i="5"/>
  <c r="U182" i="5" s="1"/>
  <c r="EA182" i="5"/>
  <c r="DM182" i="5"/>
  <c r="H182" i="5"/>
  <c r="T182" i="5" s="1"/>
  <c r="CX184" i="5"/>
  <c r="CY181" i="5"/>
  <c r="CZ181" i="5"/>
  <c r="G182" i="5" s="1"/>
  <c r="S182" i="5" s="1"/>
  <c r="N184" i="5"/>
  <c r="DE153" i="4"/>
  <c r="H172" i="4" s="1"/>
  <c r="DH153" i="4"/>
  <c r="I172" i="4" s="1"/>
  <c r="DD154" i="4"/>
  <c r="DW182" i="5"/>
  <c r="DX182" i="5" s="1"/>
  <c r="CU182" i="5"/>
  <c r="CV182" i="5" s="1"/>
  <c r="CQ184" i="5"/>
  <c r="CP184" i="5"/>
  <c r="CO184" i="5"/>
  <c r="CW183" i="5" s="1"/>
  <c r="CN184" i="5"/>
  <c r="DE184" i="5"/>
  <c r="DB184" i="5"/>
  <c r="DC184" i="5"/>
  <c r="DK183" i="5" s="1"/>
  <c r="DD184" i="5"/>
  <c r="DS184" i="5"/>
  <c r="DR184" i="5"/>
  <c r="DQ184" i="5"/>
  <c r="DY183" i="5" s="1"/>
  <c r="DP184" i="5"/>
  <c r="DI182" i="5"/>
  <c r="DJ182" i="5" s="1"/>
  <c r="DT183" i="5"/>
  <c r="DU183" i="5" s="1"/>
  <c r="DF183" i="5"/>
  <c r="DG183" i="5" s="1"/>
  <c r="DH184" i="5"/>
  <c r="BY184" i="5"/>
  <c r="CD184" i="5" s="1"/>
  <c r="CT184" i="5"/>
  <c r="B185" i="5"/>
  <c r="AA185" i="5"/>
  <c r="DV184" i="5"/>
  <c r="AB184" i="5"/>
  <c r="K185" i="5" s="1"/>
  <c r="W185" i="5" s="1"/>
  <c r="DB155" i="4"/>
  <c r="DC155" i="4" s="1"/>
  <c r="DA155" i="4"/>
  <c r="DG156" i="4"/>
  <c r="C177" i="4"/>
  <c r="W159" i="4"/>
  <c r="CU158" i="4"/>
  <c r="CA185" i="5" l="1"/>
  <c r="AV185" i="5"/>
  <c r="CK178" i="5"/>
  <c r="CL178" i="5"/>
  <c r="BZ185" i="5"/>
  <c r="CG185" i="5" s="1"/>
  <c r="BB172" i="5"/>
  <c r="AU173" i="5"/>
  <c r="AX171" i="5"/>
  <c r="AZ171" i="5" s="1"/>
  <c r="AW172" i="5"/>
  <c r="BD170" i="5"/>
  <c r="BF170" i="5" s="1"/>
  <c r="BC170" i="5"/>
  <c r="BG170" i="5" s="1"/>
  <c r="D171" i="5" s="1"/>
  <c r="P171" i="5" s="1"/>
  <c r="CC179" i="5"/>
  <c r="CE179" i="5" s="1"/>
  <c r="CH179" i="5" s="1"/>
  <c r="CB180" i="5"/>
  <c r="BO185" i="5"/>
  <c r="BA185" i="5"/>
  <c r="AV186" i="5" s="1"/>
  <c r="AY185" i="5"/>
  <c r="CJ185" i="5"/>
  <c r="CF185" i="5"/>
  <c r="CI185" i="5" s="1"/>
  <c r="BE185" i="5"/>
  <c r="AC159" i="4"/>
  <c r="BR173" i="5"/>
  <c r="BS173" i="5" s="1"/>
  <c r="BW173" i="5" s="1"/>
  <c r="E174" i="5" s="1"/>
  <c r="Q174" i="5" s="1"/>
  <c r="BQ185" i="5"/>
  <c r="BK186" i="5" s="1"/>
  <c r="BL175" i="5"/>
  <c r="BT174" i="5" s="1"/>
  <c r="BV173" i="5"/>
  <c r="BP174" i="5"/>
  <c r="BM175" i="5"/>
  <c r="J185" i="5"/>
  <c r="V185" i="5" s="1"/>
  <c r="AQ158" i="4"/>
  <c r="AD158" i="4"/>
  <c r="AF159" i="4"/>
  <c r="CE159" i="4"/>
  <c r="AU159" i="4"/>
  <c r="Y159" i="4"/>
  <c r="AW157" i="4"/>
  <c r="Z159" i="4"/>
  <c r="AA159" i="4"/>
  <c r="AT158" i="4" s="1"/>
  <c r="AE154" i="4"/>
  <c r="AG154" i="4" s="1"/>
  <c r="AB155" i="4"/>
  <c r="CT159" i="4"/>
  <c r="CZ158" i="4" s="1"/>
  <c r="BU185" i="5"/>
  <c r="AK185" i="5"/>
  <c r="AO185" i="5"/>
  <c r="AI185" i="5"/>
  <c r="BJ116" i="4"/>
  <c r="BJ117" i="4" s="1"/>
  <c r="BJ118" i="4" s="1"/>
  <c r="BJ119" i="4" s="1"/>
  <c r="BJ120" i="4" s="1"/>
  <c r="BJ121" i="4" s="1"/>
  <c r="BJ122" i="4" s="1"/>
  <c r="BJ123" i="4" s="1"/>
  <c r="BJ124" i="4" s="1"/>
  <c r="BJ125" i="4" s="1"/>
  <c r="BJ126" i="4" s="1"/>
  <c r="BK115" i="4"/>
  <c r="CD114" i="4" s="1"/>
  <c r="BY89" i="4"/>
  <c r="CO89" i="4" s="1"/>
  <c r="CP89" i="4" s="1"/>
  <c r="BR90" i="4"/>
  <c r="BS102" i="4" s="1"/>
  <c r="BT114" i="4" s="1"/>
  <c r="BU126" i="4" s="1"/>
  <c r="CM89" i="4"/>
  <c r="F173" i="5"/>
  <c r="R173" i="5" s="1"/>
  <c r="CC101" i="4"/>
  <c r="BZ101" i="4"/>
  <c r="CB101" i="4" s="1"/>
  <c r="CR184" i="5"/>
  <c r="CS184" i="5" s="1"/>
  <c r="J177" i="4"/>
  <c r="CW158" i="4"/>
  <c r="CX158" i="4" s="1"/>
  <c r="DF158" i="4" s="1"/>
  <c r="CA158" i="4"/>
  <c r="CV159" i="4"/>
  <c r="CS159" i="4"/>
  <c r="CY159" i="4"/>
  <c r="BP159" i="4"/>
  <c r="BI159" i="4"/>
  <c r="BN159" i="4" s="1"/>
  <c r="X159" i="4"/>
  <c r="K178" i="4" s="1"/>
  <c r="DL185" i="5"/>
  <c r="DZ185" i="5"/>
  <c r="EB182" i="5"/>
  <c r="I183" i="5" s="1"/>
  <c r="U183" i="5" s="1"/>
  <c r="EA183" i="5"/>
  <c r="DM183" i="5"/>
  <c r="DN182" i="5"/>
  <c r="H183" i="5" s="1"/>
  <c r="T183" i="5" s="1"/>
  <c r="CY182" i="5"/>
  <c r="CZ182" i="5"/>
  <c r="G183" i="5" s="1"/>
  <c r="S183" i="5" s="1"/>
  <c r="CX185" i="5"/>
  <c r="N185" i="5"/>
  <c r="DE154" i="4"/>
  <c r="H173" i="4" s="1"/>
  <c r="DH154" i="4"/>
  <c r="I173" i="4" s="1"/>
  <c r="DD155" i="4"/>
  <c r="DF184" i="5"/>
  <c r="DG184" i="5" s="1"/>
  <c r="DI183" i="5"/>
  <c r="DJ183" i="5" s="1"/>
  <c r="DS185" i="5"/>
  <c r="DR185" i="5"/>
  <c r="DP185" i="5"/>
  <c r="DQ185" i="5"/>
  <c r="DY184" i="5" s="1"/>
  <c r="DT184" i="5"/>
  <c r="DU184" i="5" s="1"/>
  <c r="CU183" i="5"/>
  <c r="CV183" i="5" s="1"/>
  <c r="B186" i="5"/>
  <c r="DH185" i="5"/>
  <c r="BY185" i="5"/>
  <c r="CD185" i="5" s="1"/>
  <c r="AA186" i="5"/>
  <c r="CT185" i="5"/>
  <c r="DV185" i="5"/>
  <c r="AB185" i="5"/>
  <c r="K186" i="5" s="1"/>
  <c r="W186" i="5" s="1"/>
  <c r="DB185" i="5"/>
  <c r="DC185" i="5"/>
  <c r="DK184" i="5" s="1"/>
  <c r="DD185" i="5"/>
  <c r="DE185" i="5"/>
  <c r="DW183" i="5"/>
  <c r="DX183" i="5" s="1"/>
  <c r="CQ185" i="5"/>
  <c r="CP185" i="5"/>
  <c r="CN185" i="5"/>
  <c r="CO185" i="5"/>
  <c r="CW184" i="5" s="1"/>
  <c r="DG157" i="4"/>
  <c r="DB156" i="4"/>
  <c r="DC156" i="4" s="1"/>
  <c r="DA156" i="4"/>
  <c r="W160" i="4"/>
  <c r="C178" i="4"/>
  <c r="CU159" i="4"/>
  <c r="CK179" i="5" l="1"/>
  <c r="CL179" i="5"/>
  <c r="BB173" i="5"/>
  <c r="AU174" i="5"/>
  <c r="BO186" i="5"/>
  <c r="CJ186" i="5"/>
  <c r="CF186" i="5"/>
  <c r="CI186" i="5" s="1"/>
  <c r="BA186" i="5"/>
  <c r="AV187" i="5" s="1"/>
  <c r="AY186" i="5"/>
  <c r="BE186" i="5"/>
  <c r="BZ186" i="5"/>
  <c r="CG186" i="5" s="1"/>
  <c r="AX172" i="5"/>
  <c r="AZ172" i="5" s="1"/>
  <c r="AW173" i="5"/>
  <c r="CA186" i="5"/>
  <c r="BD171" i="5"/>
  <c r="BF171" i="5" s="1"/>
  <c r="BC171" i="5"/>
  <c r="BG171" i="5" s="1"/>
  <c r="D172" i="5" s="1"/>
  <c r="P172" i="5" s="1"/>
  <c r="CC180" i="5"/>
  <c r="CE180" i="5" s="1"/>
  <c r="CH180" i="5" s="1"/>
  <c r="CB181" i="5"/>
  <c r="AC160" i="4"/>
  <c r="BR174" i="5"/>
  <c r="BS174" i="5" s="1"/>
  <c r="BW174" i="5" s="1"/>
  <c r="E175" i="5" s="1"/>
  <c r="Q175" i="5" s="1"/>
  <c r="BQ186" i="5"/>
  <c r="BK187" i="5" s="1"/>
  <c r="J186" i="5"/>
  <c r="V186" i="5" s="1"/>
  <c r="BM176" i="5"/>
  <c r="BP175" i="5"/>
  <c r="BN176" i="5" s="1"/>
  <c r="BN177" i="5" s="1"/>
  <c r="BN178" i="5" s="1"/>
  <c r="BN179" i="5" s="1"/>
  <c r="BN180" i="5" s="1"/>
  <c r="BN181" i="5" s="1"/>
  <c r="BN182" i="5" s="1"/>
  <c r="BN183" i="5" s="1"/>
  <c r="BN184" i="5" s="1"/>
  <c r="BN185" i="5" s="1"/>
  <c r="BN186" i="5" s="1"/>
  <c r="BV174" i="5"/>
  <c r="BL176" i="5"/>
  <c r="BT175" i="5" s="1"/>
  <c r="AQ159" i="4"/>
  <c r="AD159" i="4"/>
  <c r="AW158" i="4"/>
  <c r="AE155" i="4"/>
  <c r="AG155" i="4" s="1"/>
  <c r="AB156" i="4"/>
  <c r="Z160" i="4"/>
  <c r="AA160" i="4"/>
  <c r="AT159" i="4" s="1"/>
  <c r="CE160" i="4"/>
  <c r="AF160" i="4"/>
  <c r="AU160" i="4"/>
  <c r="Y160" i="4"/>
  <c r="CT160" i="4"/>
  <c r="CZ159" i="4" s="1"/>
  <c r="AO186" i="5"/>
  <c r="BU186" i="5"/>
  <c r="AK186" i="5"/>
  <c r="AI186" i="5"/>
  <c r="CQ89" i="4"/>
  <c r="G108" i="4" s="1"/>
  <c r="CN89" i="4"/>
  <c r="F108" i="4" s="1"/>
  <c r="F174" i="5"/>
  <c r="R174" i="5" s="1"/>
  <c r="BK116" i="4"/>
  <c r="BV90" i="4"/>
  <c r="BX90" i="4" s="1"/>
  <c r="CE90" i="4" s="1"/>
  <c r="DT185" i="5"/>
  <c r="DU185" i="5" s="1"/>
  <c r="J178" i="4"/>
  <c r="CW159" i="4"/>
  <c r="CX159" i="4" s="1"/>
  <c r="DF159" i="4" s="1"/>
  <c r="CA159" i="4"/>
  <c r="CY160" i="4"/>
  <c r="BP160" i="4"/>
  <c r="BI160" i="4"/>
  <c r="CA160" i="4" s="1"/>
  <c r="X160" i="4"/>
  <c r="K179" i="4" s="1"/>
  <c r="CS160" i="4"/>
  <c r="CV160" i="4"/>
  <c r="DL186" i="5"/>
  <c r="DZ186" i="5"/>
  <c r="EA184" i="5"/>
  <c r="EB183" i="5"/>
  <c r="I184" i="5" s="1"/>
  <c r="U184" i="5" s="1"/>
  <c r="DN183" i="5"/>
  <c r="H184" i="5" s="1"/>
  <c r="T184" i="5" s="1"/>
  <c r="DM184" i="5"/>
  <c r="CX186" i="5"/>
  <c r="CZ183" i="5"/>
  <c r="G184" i="5" s="1"/>
  <c r="S184" i="5" s="1"/>
  <c r="CY183" i="5"/>
  <c r="N186" i="5"/>
  <c r="DE155" i="4"/>
  <c r="H174" i="4" s="1"/>
  <c r="DH155" i="4"/>
  <c r="I174" i="4" s="1"/>
  <c r="DD156" i="4"/>
  <c r="DG158" i="4"/>
  <c r="CR185" i="5"/>
  <c r="CS185" i="5" s="1"/>
  <c r="DF185" i="5"/>
  <c r="DG185" i="5" s="1"/>
  <c r="DI185" i="5" s="1"/>
  <c r="DJ185" i="5" s="1"/>
  <c r="DS186" i="5"/>
  <c r="DQ186" i="5"/>
  <c r="DY185" i="5" s="1"/>
  <c r="DR186" i="5"/>
  <c r="DP186" i="5"/>
  <c r="CQ186" i="5"/>
  <c r="CO186" i="5"/>
  <c r="CW185" i="5" s="1"/>
  <c r="CP186" i="5"/>
  <c r="CN186" i="5"/>
  <c r="DC186" i="5"/>
  <c r="DK185" i="5" s="1"/>
  <c r="DB186" i="5"/>
  <c r="DD186" i="5"/>
  <c r="DE186" i="5"/>
  <c r="DW184" i="5"/>
  <c r="DX184" i="5" s="1"/>
  <c r="DI184" i="5"/>
  <c r="DJ184" i="5" s="1"/>
  <c r="DV186" i="5"/>
  <c r="CT186" i="5"/>
  <c r="B187" i="5"/>
  <c r="DH186" i="5"/>
  <c r="BY186" i="5"/>
  <c r="CD186" i="5" s="1"/>
  <c r="AA187" i="5"/>
  <c r="AB186" i="5"/>
  <c r="K187" i="5" s="1"/>
  <c r="W187" i="5" s="1"/>
  <c r="CU184" i="5"/>
  <c r="CV184" i="5" s="1"/>
  <c r="DA157" i="4"/>
  <c r="DB157" i="4"/>
  <c r="DC157" i="4" s="1"/>
  <c r="C179" i="4"/>
  <c r="W161" i="4"/>
  <c r="CU160" i="4"/>
  <c r="CA187" i="5" l="1"/>
  <c r="CK180" i="5"/>
  <c r="CL180" i="5"/>
  <c r="BZ187" i="5"/>
  <c r="AX173" i="5"/>
  <c r="AZ173" i="5" s="1"/>
  <c r="AW174" i="5"/>
  <c r="BB174" i="5"/>
  <c r="AU175" i="5"/>
  <c r="BD172" i="5"/>
  <c r="BF172" i="5" s="1"/>
  <c r="BC172" i="5"/>
  <c r="BG172" i="5" s="1"/>
  <c r="D173" i="5" s="1"/>
  <c r="P173" i="5" s="1"/>
  <c r="CG187" i="5"/>
  <c r="CJ187" i="5"/>
  <c r="CF187" i="5"/>
  <c r="BB187" i="5"/>
  <c r="BA187" i="5"/>
  <c r="BE187" i="5"/>
  <c r="AY187" i="5"/>
  <c r="CC181" i="5"/>
  <c r="CE181" i="5" s="1"/>
  <c r="CH181" i="5" s="1"/>
  <c r="CB182" i="5"/>
  <c r="J187" i="5"/>
  <c r="V187" i="5" s="1"/>
  <c r="BN187" i="5"/>
  <c r="BQ187" i="5"/>
  <c r="BT187" i="5" s="1"/>
  <c r="BO187" i="5"/>
  <c r="AC161" i="4"/>
  <c r="BR175" i="5"/>
  <c r="BS175" i="5" s="1"/>
  <c r="BW175" i="5" s="1"/>
  <c r="BV175" i="5"/>
  <c r="BL177" i="5"/>
  <c r="BT176" i="5" s="1"/>
  <c r="BM177" i="5"/>
  <c r="BP176" i="5"/>
  <c r="AL187" i="5"/>
  <c r="BR187" i="5"/>
  <c r="AQ160" i="4"/>
  <c r="AD160" i="4"/>
  <c r="Z161" i="4"/>
  <c r="AA161" i="4"/>
  <c r="AT160" i="4" s="1"/>
  <c r="AE156" i="4"/>
  <c r="AB157" i="4"/>
  <c r="AU161" i="4"/>
  <c r="AF161" i="4"/>
  <c r="CE161" i="4"/>
  <c r="Y161" i="4"/>
  <c r="J179" i="4"/>
  <c r="AW159" i="4"/>
  <c r="BN160" i="4"/>
  <c r="CT161" i="4"/>
  <c r="CZ160" i="4" s="1"/>
  <c r="BK117" i="4"/>
  <c r="CD115" i="4"/>
  <c r="D13" i="5"/>
  <c r="D29" i="5" s="1"/>
  <c r="D10" i="5"/>
  <c r="D26" i="5" s="1"/>
  <c r="D14" i="5"/>
  <c r="D30" i="5" s="1"/>
  <c r="D18" i="5"/>
  <c r="D34" i="5" s="1"/>
  <c r="D17" i="5"/>
  <c r="D33" i="5" s="1"/>
  <c r="D12" i="5"/>
  <c r="D28" i="5" s="1"/>
  <c r="C9" i="5"/>
  <c r="C25" i="5" s="1"/>
  <c r="D9" i="5"/>
  <c r="D25" i="5" s="1"/>
  <c r="D11" i="5"/>
  <c r="D27" i="5" s="1"/>
  <c r="D16" i="5"/>
  <c r="D32" i="5" s="1"/>
  <c r="D15" i="5"/>
  <c r="D31" i="5" s="1"/>
  <c r="D4" i="5"/>
  <c r="BU187" i="5"/>
  <c r="AK187" i="5"/>
  <c r="AO187" i="5"/>
  <c r="AI187" i="5"/>
  <c r="F175" i="5"/>
  <c r="R175" i="5" s="1"/>
  <c r="CC102" i="4"/>
  <c r="BZ102" i="4"/>
  <c r="CB102" i="4" s="1"/>
  <c r="BY90" i="4"/>
  <c r="CO90" i="4" s="1"/>
  <c r="CF90" i="4"/>
  <c r="CG90" i="4" s="1"/>
  <c r="CK90" i="4"/>
  <c r="CL90" i="4" s="1"/>
  <c r="CW160" i="4"/>
  <c r="CX160" i="4" s="1"/>
  <c r="DF160" i="4" s="1"/>
  <c r="CY161" i="4"/>
  <c r="BP161" i="4"/>
  <c r="BI161" i="4"/>
  <c r="BN161" i="4" s="1"/>
  <c r="X161" i="4"/>
  <c r="K180" i="4" s="1"/>
  <c r="CV161" i="4"/>
  <c r="CS161" i="4"/>
  <c r="DL187" i="5"/>
  <c r="DZ187" i="5"/>
  <c r="EA185" i="5"/>
  <c r="EB184" i="5"/>
  <c r="I185" i="5" s="1"/>
  <c r="U185" i="5" s="1"/>
  <c r="DN184" i="5"/>
  <c r="H185" i="5" s="1"/>
  <c r="T185" i="5" s="1"/>
  <c r="DN185" i="5"/>
  <c r="H186" i="5" s="1"/>
  <c r="T186" i="5" s="1"/>
  <c r="DM185" i="5"/>
  <c r="CX187" i="5"/>
  <c r="CY184" i="5"/>
  <c r="CZ184" i="5"/>
  <c r="G185" i="5" s="1"/>
  <c r="S185" i="5" s="1"/>
  <c r="N187" i="5"/>
  <c r="DE156" i="4"/>
  <c r="H175" i="4" s="1"/>
  <c r="DH156" i="4"/>
  <c r="I175" i="4" s="1"/>
  <c r="DD157" i="4"/>
  <c r="DG159" i="4"/>
  <c r="CU185" i="5"/>
  <c r="CV185" i="5" s="1"/>
  <c r="DF186" i="5"/>
  <c r="DG186" i="5" s="1"/>
  <c r="DS187" i="5"/>
  <c r="DR187" i="5"/>
  <c r="DQ187" i="5"/>
  <c r="DY186" i="5" s="1"/>
  <c r="DP187" i="5"/>
  <c r="DE187" i="5"/>
  <c r="DD187" i="5"/>
  <c r="DC187" i="5"/>
  <c r="DK186" i="5" s="1"/>
  <c r="DB187" i="5"/>
  <c r="CR186" i="5"/>
  <c r="CS186" i="5" s="1"/>
  <c r="CQ187" i="5"/>
  <c r="CN187" i="5"/>
  <c r="CP187" i="5"/>
  <c r="CO187" i="5"/>
  <c r="CW186" i="5" s="1"/>
  <c r="DT186" i="5"/>
  <c r="DU186" i="5" s="1"/>
  <c r="DW187" i="5"/>
  <c r="DV187" i="5"/>
  <c r="DY187" i="5" s="1"/>
  <c r="CT187" i="5"/>
  <c r="CW187" i="5" s="1"/>
  <c r="B188" i="5"/>
  <c r="A177" i="5" s="1"/>
  <c r="DI187" i="5"/>
  <c r="BY187" i="5"/>
  <c r="CD187" i="5" s="1"/>
  <c r="DH187" i="5"/>
  <c r="DK187" i="5" s="1"/>
  <c r="AB187" i="5"/>
  <c r="K188" i="5" s="1"/>
  <c r="W188" i="5" s="1"/>
  <c r="I11" i="5"/>
  <c r="I27" i="5" s="1"/>
  <c r="I13" i="5"/>
  <c r="I29" i="5" s="1"/>
  <c r="I9" i="5"/>
  <c r="I25" i="5" s="1"/>
  <c r="H14" i="5"/>
  <c r="H30" i="5" s="1"/>
  <c r="H15" i="5"/>
  <c r="H31" i="5" s="1"/>
  <c r="I10" i="5"/>
  <c r="I26" i="5" s="1"/>
  <c r="F10" i="5"/>
  <c r="G14" i="5"/>
  <c r="G30" i="5" s="1"/>
  <c r="I17" i="5"/>
  <c r="I33" i="5" s="1"/>
  <c r="G16" i="5"/>
  <c r="G32" i="5" s="1"/>
  <c r="K19" i="5"/>
  <c r="K35" i="5" s="1"/>
  <c r="F12" i="5"/>
  <c r="G18" i="5"/>
  <c r="G34" i="5" s="1"/>
  <c r="I15" i="5"/>
  <c r="I31" i="5" s="1"/>
  <c r="F16" i="5"/>
  <c r="K15" i="5"/>
  <c r="K31" i="5" s="1"/>
  <c r="K12" i="5"/>
  <c r="K28" i="5" s="1"/>
  <c r="K13" i="5"/>
  <c r="K29" i="5" s="1"/>
  <c r="K18" i="5"/>
  <c r="K34" i="5" s="1"/>
  <c r="I14" i="5"/>
  <c r="I30" i="5" s="1"/>
  <c r="H12" i="5"/>
  <c r="H28" i="5" s="1"/>
  <c r="F18" i="5"/>
  <c r="K17" i="5"/>
  <c r="K33" i="5" s="1"/>
  <c r="F13" i="5"/>
  <c r="I18" i="5"/>
  <c r="I34" i="5" s="1"/>
  <c r="H18" i="5"/>
  <c r="H34" i="5" s="1"/>
  <c r="I19" i="5"/>
  <c r="I35" i="5" s="1"/>
  <c r="G17" i="5"/>
  <c r="G33" i="5" s="1"/>
  <c r="G10" i="5"/>
  <c r="G26" i="5" s="1"/>
  <c r="H11" i="5"/>
  <c r="H27" i="5" s="1"/>
  <c r="G19" i="5"/>
  <c r="G35" i="5" s="1"/>
  <c r="K16" i="5"/>
  <c r="K32" i="5" s="1"/>
  <c r="G12" i="5"/>
  <c r="G28" i="5" s="1"/>
  <c r="K9" i="5"/>
  <c r="K25" i="5" s="1"/>
  <c r="H10" i="5"/>
  <c r="H26" i="5" s="1"/>
  <c r="H13" i="5"/>
  <c r="H29" i="5" s="1"/>
  <c r="G15" i="5"/>
  <c r="G31" i="5" s="1"/>
  <c r="F15" i="5"/>
  <c r="K11" i="5"/>
  <c r="K27" i="5" s="1"/>
  <c r="H17" i="5"/>
  <c r="H33" i="5" s="1"/>
  <c r="I16" i="5"/>
  <c r="I32" i="5" s="1"/>
  <c r="H16" i="5"/>
  <c r="H32" i="5" s="1"/>
  <c r="H19" i="5"/>
  <c r="H35" i="5" s="1"/>
  <c r="K10" i="5"/>
  <c r="K26" i="5" s="1"/>
  <c r="K14" i="5"/>
  <c r="K30" i="5" s="1"/>
  <c r="I12" i="5"/>
  <c r="I28" i="5" s="1"/>
  <c r="F14" i="5"/>
  <c r="F11" i="5"/>
  <c r="G11" i="5"/>
  <c r="G27" i="5" s="1"/>
  <c r="F17" i="5"/>
  <c r="G13" i="5"/>
  <c r="G29" i="5" s="1"/>
  <c r="DW185" i="5"/>
  <c r="DX185" i="5" s="1"/>
  <c r="EB185" i="5" s="1"/>
  <c r="DB158" i="4"/>
  <c r="DC158" i="4" s="1"/>
  <c r="DA158" i="4"/>
  <c r="CU161" i="4"/>
  <c r="C180" i="4"/>
  <c r="W162" i="4"/>
  <c r="CL181" i="5" l="1"/>
  <c r="CK181" i="5"/>
  <c r="AX174" i="5"/>
  <c r="AZ174" i="5" s="1"/>
  <c r="AW175" i="5"/>
  <c r="CC182" i="5"/>
  <c r="CE182" i="5" s="1"/>
  <c r="CH182" i="5" s="1"/>
  <c r="CB183" i="5"/>
  <c r="BD173" i="5"/>
  <c r="BF173" i="5" s="1"/>
  <c r="BC173" i="5"/>
  <c r="BG173" i="5" s="1"/>
  <c r="D174" i="5" s="1"/>
  <c r="P174" i="5" s="1"/>
  <c r="BB175" i="5"/>
  <c r="AU176" i="5"/>
  <c r="J180" i="4"/>
  <c r="AC162" i="4"/>
  <c r="AG156" i="4"/>
  <c r="BR176" i="5"/>
  <c r="BS176" i="5" s="1"/>
  <c r="BW176" i="5" s="1"/>
  <c r="E177" i="5" s="1"/>
  <c r="Q177" i="5" s="1"/>
  <c r="BM178" i="5"/>
  <c r="BP177" i="5"/>
  <c r="E19" i="5"/>
  <c r="E35" i="5" s="1"/>
  <c r="E176" i="5"/>
  <c r="Q176" i="5" s="1"/>
  <c r="BV176" i="5"/>
  <c r="BL178" i="5"/>
  <c r="BT177" i="5" s="1"/>
  <c r="BQ162" i="4"/>
  <c r="AG162" i="4"/>
  <c r="AQ161" i="4"/>
  <c r="AD161" i="4"/>
  <c r="CT162" i="4"/>
  <c r="CZ161" i="4" s="1"/>
  <c r="AW160" i="4"/>
  <c r="Z162" i="4"/>
  <c r="AA162" i="4"/>
  <c r="AT161" i="4" s="1"/>
  <c r="AE157" i="4"/>
  <c r="AG157" i="4" s="1"/>
  <c r="AB158" i="4"/>
  <c r="AF162" i="4"/>
  <c r="Y162" i="4"/>
  <c r="BK118" i="4"/>
  <c r="CD116" i="4"/>
  <c r="CM90" i="4"/>
  <c r="CN90" i="4" s="1"/>
  <c r="CP90" i="4"/>
  <c r="CH90" i="4"/>
  <c r="CI90" i="4" s="1"/>
  <c r="CJ90" i="4" s="1"/>
  <c r="CF91" i="4" s="1"/>
  <c r="F28" i="5"/>
  <c r="F33" i="5"/>
  <c r="F30" i="5"/>
  <c r="F27" i="5"/>
  <c r="F29" i="5"/>
  <c r="F31" i="5"/>
  <c r="F26" i="5"/>
  <c r="F34" i="5"/>
  <c r="F32" i="5"/>
  <c r="DF187" i="5"/>
  <c r="DG187" i="5" s="1"/>
  <c r="DJ187" i="5" s="1"/>
  <c r="J4" i="5"/>
  <c r="J188" i="5"/>
  <c r="V188" i="5" s="1"/>
  <c r="CS162" i="4"/>
  <c r="CV162" i="4"/>
  <c r="CW161" i="4"/>
  <c r="CX161" i="4" s="1"/>
  <c r="DF161" i="4" s="1"/>
  <c r="CA161" i="4"/>
  <c r="CY162" i="4"/>
  <c r="CZ162" i="4" s="1"/>
  <c r="BP162" i="4"/>
  <c r="BI162" i="4"/>
  <c r="BN162" i="4" s="1"/>
  <c r="X162" i="4"/>
  <c r="K181" i="4" s="1"/>
  <c r="EA186" i="5"/>
  <c r="I186" i="5"/>
  <c r="U186" i="5" s="1"/>
  <c r="DM186" i="5"/>
  <c r="CZ185" i="5"/>
  <c r="G186" i="5" s="1"/>
  <c r="S186" i="5" s="1"/>
  <c r="CY185" i="5"/>
  <c r="N188" i="5"/>
  <c r="DH157" i="4"/>
  <c r="I176" i="4" s="1"/>
  <c r="DE157" i="4"/>
  <c r="H176" i="4" s="1"/>
  <c r="DD158" i="4"/>
  <c r="K4" i="5"/>
  <c r="K20" i="5"/>
  <c r="K36" i="5" s="1"/>
  <c r="CU186" i="5"/>
  <c r="CV186" i="5" s="1"/>
  <c r="DI186" i="5"/>
  <c r="DJ186" i="5" s="1"/>
  <c r="DN186" i="5" s="1"/>
  <c r="CR187" i="5"/>
  <c r="CS187" i="5" s="1"/>
  <c r="DT187" i="5"/>
  <c r="DU187" i="5" s="1"/>
  <c r="DX187" i="5" s="1"/>
  <c r="DW186" i="5"/>
  <c r="DX186" i="5" s="1"/>
  <c r="S34" i="4"/>
  <c r="H31" i="4"/>
  <c r="R31" i="4" s="1"/>
  <c r="H25" i="4"/>
  <c r="R25" i="4" s="1"/>
  <c r="H28" i="4"/>
  <c r="R28" i="4" s="1"/>
  <c r="I27" i="4"/>
  <c r="S27" i="4" s="1"/>
  <c r="H17" i="4"/>
  <c r="R34" i="4" s="1"/>
  <c r="G23" i="4"/>
  <c r="Q23" i="4" s="1"/>
  <c r="F25" i="4"/>
  <c r="P25" i="4" s="1"/>
  <c r="I31" i="4"/>
  <c r="S31" i="4" s="1"/>
  <c r="H22" i="4"/>
  <c r="R22" i="4" s="1"/>
  <c r="F26" i="4"/>
  <c r="P26" i="4" s="1"/>
  <c r="G26" i="4"/>
  <c r="Q26" i="4" s="1"/>
  <c r="H30" i="4"/>
  <c r="R30" i="4" s="1"/>
  <c r="I23" i="4"/>
  <c r="S23" i="4" s="1"/>
  <c r="F22" i="4"/>
  <c r="P22" i="4" s="1"/>
  <c r="F24" i="4"/>
  <c r="P24" i="4" s="1"/>
  <c r="I26" i="4"/>
  <c r="S26" i="4" s="1"/>
  <c r="I30" i="4"/>
  <c r="S30" i="4" s="1"/>
  <c r="G24" i="4"/>
  <c r="Q24" i="4" s="1"/>
  <c r="F23" i="4"/>
  <c r="P23" i="4" s="1"/>
  <c r="I25" i="4"/>
  <c r="S25" i="4" s="1"/>
  <c r="I28" i="4"/>
  <c r="S28" i="4" s="1"/>
  <c r="H24" i="4"/>
  <c r="R24" i="4" s="1"/>
  <c r="I32" i="4"/>
  <c r="S32" i="4" s="1"/>
  <c r="G25" i="4"/>
  <c r="Q25" i="4" s="1"/>
  <c r="H27" i="4"/>
  <c r="R27" i="4" s="1"/>
  <c r="I24" i="4"/>
  <c r="S24" i="4" s="1"/>
  <c r="K17" i="4"/>
  <c r="U34" i="4" s="1"/>
  <c r="G22" i="4"/>
  <c r="Q22" i="4" s="1"/>
  <c r="H26" i="4"/>
  <c r="R26" i="4" s="1"/>
  <c r="I22" i="4"/>
  <c r="S22" i="4" s="1"/>
  <c r="H32" i="4"/>
  <c r="R32" i="4" s="1"/>
  <c r="H29" i="4"/>
  <c r="R29" i="4" s="1"/>
  <c r="I29" i="4"/>
  <c r="S29" i="4" s="1"/>
  <c r="H23" i="4"/>
  <c r="R23" i="4" s="1"/>
  <c r="DG160" i="4"/>
  <c r="DB159" i="4"/>
  <c r="DC159" i="4" s="1"/>
  <c r="DA159" i="4"/>
  <c r="C181" i="4"/>
  <c r="K28" i="4"/>
  <c r="U28" i="4" s="1"/>
  <c r="K25" i="4"/>
  <c r="U25" i="4" s="1"/>
  <c r="K22" i="4"/>
  <c r="U22" i="4" s="1"/>
  <c r="K27" i="4"/>
  <c r="U27" i="4" s="1"/>
  <c r="K23" i="4"/>
  <c r="U23" i="4" s="1"/>
  <c r="K30" i="4"/>
  <c r="U30" i="4" s="1"/>
  <c r="K29" i="4"/>
  <c r="U29" i="4" s="1"/>
  <c r="K26" i="4"/>
  <c r="U26" i="4" s="1"/>
  <c r="K31" i="4"/>
  <c r="U31" i="4" s="1"/>
  <c r="K24" i="4"/>
  <c r="U24" i="4" s="1"/>
  <c r="K32" i="4"/>
  <c r="U32" i="4" s="1"/>
  <c r="CU162" i="4"/>
  <c r="CL182" i="5" l="1"/>
  <c r="CK182" i="5"/>
  <c r="AX175" i="5"/>
  <c r="AZ175" i="5" s="1"/>
  <c r="AW176" i="5"/>
  <c r="BD174" i="5"/>
  <c r="BF174" i="5" s="1"/>
  <c r="BC174" i="5"/>
  <c r="BG174" i="5" s="1"/>
  <c r="D175" i="5" s="1"/>
  <c r="P175" i="5" s="1"/>
  <c r="BB176" i="5"/>
  <c r="AU177" i="5"/>
  <c r="CC183" i="5"/>
  <c r="CE183" i="5" s="1"/>
  <c r="CH183" i="5" s="1"/>
  <c r="CB184" i="5"/>
  <c r="BR177" i="5"/>
  <c r="BS177" i="5" s="1"/>
  <c r="BW177" i="5" s="1"/>
  <c r="E178" i="5" s="1"/>
  <c r="Q178" i="5" s="1"/>
  <c r="BV177" i="5"/>
  <c r="BL179" i="5"/>
  <c r="BT178" i="5" s="1"/>
  <c r="BM179" i="5"/>
  <c r="BP178" i="5"/>
  <c r="AQ162" i="4"/>
  <c r="AD162" i="4"/>
  <c r="AW161" i="4"/>
  <c r="AE158" i="4"/>
  <c r="AG158" i="4" s="1"/>
  <c r="AB159" i="4"/>
  <c r="AW156" i="4"/>
  <c r="BK119" i="4"/>
  <c r="CD117" i="4"/>
  <c r="BR91" i="4"/>
  <c r="BS103" i="4" s="1"/>
  <c r="BT115" i="4" s="1"/>
  <c r="BU127" i="4" s="1"/>
  <c r="F109" i="4"/>
  <c r="F27" i="4"/>
  <c r="P27" i="4" s="1"/>
  <c r="CQ90" i="4"/>
  <c r="CG91" i="4"/>
  <c r="F176" i="5"/>
  <c r="R176" i="5" s="1"/>
  <c r="F19" i="5"/>
  <c r="F35" i="5" s="1"/>
  <c r="J181" i="4"/>
  <c r="CW162" i="4"/>
  <c r="CX162" i="4" s="1"/>
  <c r="DF162" i="4" s="1"/>
  <c r="CA162" i="4"/>
  <c r="EB186" i="5"/>
  <c r="I187" i="5" s="1"/>
  <c r="U187" i="5" s="1"/>
  <c r="EA187" i="5"/>
  <c r="EB187" i="5"/>
  <c r="H187" i="5"/>
  <c r="T187" i="5" s="1"/>
  <c r="DM187" i="5"/>
  <c r="DN187" i="5"/>
  <c r="CY186" i="5"/>
  <c r="CZ186" i="5"/>
  <c r="G187" i="5" s="1"/>
  <c r="S187" i="5" s="1"/>
  <c r="DE158" i="4"/>
  <c r="H177" i="4" s="1"/>
  <c r="DH158" i="4"/>
  <c r="I177" i="4" s="1"/>
  <c r="DD159" i="4"/>
  <c r="H4" i="5"/>
  <c r="I4" i="5"/>
  <c r="CU187" i="5"/>
  <c r="CV187" i="5" s="1"/>
  <c r="DG161" i="4"/>
  <c r="DB160" i="4"/>
  <c r="DC160" i="4" s="1"/>
  <c r="DA160" i="4"/>
  <c r="K33" i="4"/>
  <c r="U33" i="4" s="1"/>
  <c r="CL183" i="5" l="1"/>
  <c r="CK183" i="5"/>
  <c r="BB177" i="5"/>
  <c r="AU178" i="5"/>
  <c r="AX176" i="5"/>
  <c r="AZ176" i="5" s="1"/>
  <c r="AW177" i="5"/>
  <c r="BD175" i="5"/>
  <c r="BF175" i="5" s="1"/>
  <c r="BC175" i="5"/>
  <c r="BG175" i="5" s="1"/>
  <c r="CC184" i="5"/>
  <c r="CE184" i="5" s="1"/>
  <c r="CH184" i="5" s="1"/>
  <c r="CB185" i="5"/>
  <c r="BR178" i="5"/>
  <c r="BS178" i="5" s="1"/>
  <c r="BW178" i="5" s="1"/>
  <c r="E179" i="5" s="1"/>
  <c r="Q179" i="5" s="1"/>
  <c r="BP179" i="5"/>
  <c r="BM180" i="5"/>
  <c r="BV178" i="5"/>
  <c r="BL180" i="5"/>
  <c r="BT179" i="5" s="1"/>
  <c r="AE159" i="4"/>
  <c r="AG159" i="4" s="1"/>
  <c r="AB160" i="4"/>
  <c r="BK120" i="4"/>
  <c r="CD118" i="4"/>
  <c r="BV91" i="4"/>
  <c r="BX91" i="4" s="1"/>
  <c r="CK91" i="4" s="1"/>
  <c r="G109" i="4"/>
  <c r="G27" i="4"/>
  <c r="Q27" i="4" s="1"/>
  <c r="CH91" i="4"/>
  <c r="CI91" i="4" s="1"/>
  <c r="CJ91" i="4" s="1"/>
  <c r="CF92" i="4" s="1"/>
  <c r="F177" i="5"/>
  <c r="R177" i="5" s="1"/>
  <c r="CC103" i="4"/>
  <c r="BZ103" i="4"/>
  <c r="CB103" i="4" s="1"/>
  <c r="CY187" i="5"/>
  <c r="CZ187" i="5"/>
  <c r="G20" i="5" s="1"/>
  <c r="G36" i="5" s="1"/>
  <c r="DH159" i="4"/>
  <c r="I178" i="4" s="1"/>
  <c r="DE159" i="4"/>
  <c r="H178" i="4" s="1"/>
  <c r="DD160" i="4"/>
  <c r="DG162" i="4"/>
  <c r="G9" i="5"/>
  <c r="G25" i="5" s="1"/>
  <c r="F4" i="5"/>
  <c r="I188" i="5"/>
  <c r="U188" i="5" s="1"/>
  <c r="I20" i="5"/>
  <c r="I36" i="5" s="1"/>
  <c r="H188" i="5"/>
  <c r="T188" i="5" s="1"/>
  <c r="H9" i="5"/>
  <c r="H25" i="5" s="1"/>
  <c r="H20" i="5"/>
  <c r="H36" i="5" s="1"/>
  <c r="DA161" i="4"/>
  <c r="DB161" i="4"/>
  <c r="DC161" i="4" s="1"/>
  <c r="CL184" i="5" l="1"/>
  <c r="CK184" i="5"/>
  <c r="D176" i="5"/>
  <c r="P176" i="5" s="1"/>
  <c r="D19" i="5"/>
  <c r="D35" i="5" s="1"/>
  <c r="AX177" i="5"/>
  <c r="AZ177" i="5" s="1"/>
  <c r="AW178" i="5"/>
  <c r="BD176" i="5"/>
  <c r="BF176" i="5" s="1"/>
  <c r="BC176" i="5"/>
  <c r="BG176" i="5" s="1"/>
  <c r="D177" i="5" s="1"/>
  <c r="P177" i="5" s="1"/>
  <c r="BB178" i="5"/>
  <c r="AU179" i="5"/>
  <c r="CC185" i="5"/>
  <c r="CE185" i="5" s="1"/>
  <c r="CH185" i="5" s="1"/>
  <c r="CB186" i="5"/>
  <c r="BR179" i="5"/>
  <c r="BS179" i="5" s="1"/>
  <c r="BW179" i="5" s="1"/>
  <c r="E180" i="5" s="1"/>
  <c r="Q180" i="5" s="1"/>
  <c r="BL181" i="5"/>
  <c r="BT180" i="5" s="1"/>
  <c r="BV179" i="5"/>
  <c r="BM181" i="5"/>
  <c r="BP180" i="5"/>
  <c r="AE160" i="4"/>
  <c r="AG160" i="4" s="1"/>
  <c r="AB161" i="4"/>
  <c r="CD119" i="4"/>
  <c r="BK121" i="4"/>
  <c r="CL91" i="4"/>
  <c r="CM91" i="4" s="1"/>
  <c r="CN91" i="4" s="1"/>
  <c r="F110" i="4" s="1"/>
  <c r="BY91" i="4"/>
  <c r="CO91" i="4" s="1"/>
  <c r="CP91" i="4" s="1"/>
  <c r="F178" i="5"/>
  <c r="R178" i="5" s="1"/>
  <c r="CG92" i="4"/>
  <c r="BR92" i="4"/>
  <c r="BS104" i="4" s="1"/>
  <c r="BT116" i="4" s="1"/>
  <c r="BU128" i="4" s="1"/>
  <c r="G4" i="5"/>
  <c r="G188" i="5"/>
  <c r="S188" i="5" s="1"/>
  <c r="DH160" i="4"/>
  <c r="I179" i="4" s="1"/>
  <c r="DE160" i="4"/>
  <c r="H179" i="4" s="1"/>
  <c r="DD161" i="4"/>
  <c r="F9" i="5"/>
  <c r="DB162" i="4"/>
  <c r="DC162" i="4" s="1"/>
  <c r="DA162" i="4"/>
  <c r="CL185" i="5" l="1"/>
  <c r="CK185" i="5"/>
  <c r="AX178" i="5"/>
  <c r="AZ178" i="5" s="1"/>
  <c r="AW179" i="5"/>
  <c r="BD177" i="5"/>
  <c r="BF177" i="5" s="1"/>
  <c r="BC177" i="5"/>
  <c r="BG177" i="5" s="1"/>
  <c r="D178" i="5" s="1"/>
  <c r="P178" i="5" s="1"/>
  <c r="CC186" i="5"/>
  <c r="CE186" i="5" s="1"/>
  <c r="CH186" i="5" s="1"/>
  <c r="CB187" i="5"/>
  <c r="CC187" i="5" s="1"/>
  <c r="CE187" i="5" s="1"/>
  <c r="CH187" i="5" s="1"/>
  <c r="BB179" i="5"/>
  <c r="AU180" i="5"/>
  <c r="BR180" i="5"/>
  <c r="BS180" i="5" s="1"/>
  <c r="BW180" i="5" s="1"/>
  <c r="E181" i="5" s="1"/>
  <c r="Q181" i="5" s="1"/>
  <c r="BM182" i="5"/>
  <c r="BP181" i="5"/>
  <c r="BV180" i="5"/>
  <c r="BL182" i="5"/>
  <c r="BT181" i="5" s="1"/>
  <c r="AE161" i="4"/>
  <c r="AG161" i="4" s="1"/>
  <c r="AB162" i="4"/>
  <c r="AE162" i="4" s="1"/>
  <c r="BK122" i="4"/>
  <c r="CQ91" i="4"/>
  <c r="G110" i="4" s="1"/>
  <c r="BV92" i="4"/>
  <c r="BX92" i="4" s="1"/>
  <c r="CK92" i="4" s="1"/>
  <c r="CL92" i="4" s="1"/>
  <c r="F179" i="5"/>
  <c r="R179" i="5" s="1"/>
  <c r="CH92" i="4"/>
  <c r="CI92" i="4" s="1"/>
  <c r="CJ92" i="4" s="1"/>
  <c r="CF93" i="4" s="1"/>
  <c r="F25" i="5"/>
  <c r="DH161" i="4"/>
  <c r="I180" i="4" s="1"/>
  <c r="DE161" i="4"/>
  <c r="H180" i="4" s="1"/>
  <c r="DD162" i="4"/>
  <c r="CL186" i="5" l="1"/>
  <c r="CK186" i="5"/>
  <c r="AX179" i="5"/>
  <c r="AZ179" i="5" s="1"/>
  <c r="AW180" i="5"/>
  <c r="BD178" i="5"/>
  <c r="BF178" i="5" s="1"/>
  <c r="BC178" i="5"/>
  <c r="BG178" i="5" s="1"/>
  <c r="D179" i="5" s="1"/>
  <c r="P179" i="5" s="1"/>
  <c r="BB180" i="5"/>
  <c r="AU181" i="5"/>
  <c r="BR181" i="5"/>
  <c r="BS181" i="5" s="1"/>
  <c r="BW181" i="5" s="1"/>
  <c r="E182" i="5" s="1"/>
  <c r="Q182" i="5" s="1"/>
  <c r="BL183" i="5"/>
  <c r="BT182" i="5" s="1"/>
  <c r="BV181" i="5"/>
  <c r="BP182" i="5"/>
  <c r="BM183" i="5"/>
  <c r="CD121" i="4"/>
  <c r="BK123" i="4"/>
  <c r="BY92" i="4"/>
  <c r="CO92" i="4" s="1"/>
  <c r="CP92" i="4" s="1"/>
  <c r="F180" i="5"/>
  <c r="R180" i="5" s="1"/>
  <c r="CG93" i="4"/>
  <c r="CH93" i="4" s="1"/>
  <c r="CI93" i="4" s="1"/>
  <c r="CJ93" i="4" s="1"/>
  <c r="CF94" i="4" s="1"/>
  <c r="CM92" i="4"/>
  <c r="CN92" i="4" s="1"/>
  <c r="F111" i="4" s="1"/>
  <c r="BR93" i="4"/>
  <c r="BS105" i="4" s="1"/>
  <c r="BT117" i="4" s="1"/>
  <c r="BU129" i="4" s="1"/>
  <c r="BZ104" i="4"/>
  <c r="CB104" i="4" s="1"/>
  <c r="CC104" i="4"/>
  <c r="DH162" i="4"/>
  <c r="DE162" i="4"/>
  <c r="H181" i="4" s="1"/>
  <c r="CL187" i="5" l="1"/>
  <c r="CK187" i="5"/>
  <c r="BB181" i="5"/>
  <c r="AU182" i="5"/>
  <c r="AX180" i="5"/>
  <c r="AZ180" i="5" s="1"/>
  <c r="AW181" i="5"/>
  <c r="BD179" i="5"/>
  <c r="BF179" i="5" s="1"/>
  <c r="BC179" i="5"/>
  <c r="BG179" i="5" s="1"/>
  <c r="D180" i="5" s="1"/>
  <c r="P180" i="5" s="1"/>
  <c r="BR182" i="5"/>
  <c r="BS182" i="5" s="1"/>
  <c r="BW182" i="5" s="1"/>
  <c r="E183" i="5" s="1"/>
  <c r="Q183" i="5" s="1"/>
  <c r="BM184" i="5"/>
  <c r="BP183" i="5"/>
  <c r="BV182" i="5"/>
  <c r="BL184" i="5"/>
  <c r="BT183" i="5" s="1"/>
  <c r="CD122" i="4"/>
  <c r="BK124" i="4"/>
  <c r="CG94" i="4"/>
  <c r="BV93" i="4"/>
  <c r="BX93" i="4" s="1"/>
  <c r="CK93" i="4" s="1"/>
  <c r="CL93" i="4" s="1"/>
  <c r="F181" i="5"/>
  <c r="R181" i="5" s="1"/>
  <c r="CQ92" i="4"/>
  <c r="G111" i="4" s="1"/>
  <c r="BR94" i="4"/>
  <c r="BS106" i="4" s="1"/>
  <c r="BT118" i="4" s="1"/>
  <c r="BU130" i="4" s="1"/>
  <c r="H33" i="4"/>
  <c r="R33" i="4" s="1"/>
  <c r="I181" i="4"/>
  <c r="I33" i="4"/>
  <c r="S33" i="4" s="1"/>
  <c r="AX181" i="5" l="1"/>
  <c r="AZ181" i="5" s="1"/>
  <c r="AW182" i="5"/>
  <c r="BD180" i="5"/>
  <c r="BF180" i="5" s="1"/>
  <c r="BC180" i="5"/>
  <c r="BG180" i="5" s="1"/>
  <c r="D181" i="5" s="1"/>
  <c r="P181" i="5" s="1"/>
  <c r="BB182" i="5"/>
  <c r="AU183" i="5"/>
  <c r="BR183" i="5"/>
  <c r="BS183" i="5" s="1"/>
  <c r="BW183" i="5" s="1"/>
  <c r="E184" i="5" s="1"/>
  <c r="Q184" i="5" s="1"/>
  <c r="BL185" i="5"/>
  <c r="BT184" i="5" s="1"/>
  <c r="BV183" i="5"/>
  <c r="BP184" i="5"/>
  <c r="BM185" i="5"/>
  <c r="CD123" i="4"/>
  <c r="BK125" i="4"/>
  <c r="CC105" i="4"/>
  <c r="BZ105" i="4"/>
  <c r="CB105" i="4" s="1"/>
  <c r="CM93" i="4"/>
  <c r="BV94" i="4"/>
  <c r="BX94" i="4" s="1"/>
  <c r="CK94" i="4" s="1"/>
  <c r="CL94" i="4" s="1"/>
  <c r="F182" i="5"/>
  <c r="R182" i="5" s="1"/>
  <c r="BY93" i="4"/>
  <c r="CO93" i="4" s="1"/>
  <c r="CP93" i="4" s="1"/>
  <c r="CH94" i="4"/>
  <c r="CI94" i="4" s="1"/>
  <c r="CJ94" i="4" s="1"/>
  <c r="CF95" i="4" s="1"/>
  <c r="BB183" i="5" l="1"/>
  <c r="AU184" i="5"/>
  <c r="AX182" i="5"/>
  <c r="AZ182" i="5" s="1"/>
  <c r="AW183" i="5"/>
  <c r="BD181" i="5"/>
  <c r="BF181" i="5" s="1"/>
  <c r="BC181" i="5"/>
  <c r="BG181" i="5" s="1"/>
  <c r="D182" i="5" s="1"/>
  <c r="P182" i="5" s="1"/>
  <c r="BR184" i="5"/>
  <c r="BS184" i="5" s="1"/>
  <c r="BW184" i="5" s="1"/>
  <c r="E185" i="5" s="1"/>
  <c r="Q185" i="5" s="1"/>
  <c r="BM186" i="5"/>
  <c r="BP185" i="5"/>
  <c r="BV184" i="5"/>
  <c r="BL186" i="5"/>
  <c r="BT185" i="5" s="1"/>
  <c r="CD124" i="4"/>
  <c r="BK126" i="4"/>
  <c r="CD125" i="4" s="1"/>
  <c r="CQ93" i="4"/>
  <c r="G112" i="4" s="1"/>
  <c r="BR95" i="4"/>
  <c r="BS107" i="4" s="1"/>
  <c r="BT119" i="4" s="1"/>
  <c r="BU131" i="4" s="1"/>
  <c r="CN93" i="4"/>
  <c r="F112" i="4" s="1"/>
  <c r="F183" i="5"/>
  <c r="R183" i="5" s="1"/>
  <c r="CG95" i="4"/>
  <c r="CC106" i="4"/>
  <c r="BZ106" i="4"/>
  <c r="CB106" i="4" s="1"/>
  <c r="BY94" i="4"/>
  <c r="CO94" i="4" s="1"/>
  <c r="CP94" i="4" s="1"/>
  <c r="CM94" i="4"/>
  <c r="CN94" i="4" s="1"/>
  <c r="F113" i="4" s="1"/>
  <c r="AX183" i="5" l="1"/>
  <c r="AZ183" i="5" s="1"/>
  <c r="AW184" i="5"/>
  <c r="BD182" i="5"/>
  <c r="BF182" i="5" s="1"/>
  <c r="BC182" i="5"/>
  <c r="BG182" i="5" s="1"/>
  <c r="D183" i="5" s="1"/>
  <c r="P183" i="5" s="1"/>
  <c r="BB184" i="5"/>
  <c r="AU185" i="5"/>
  <c r="BR185" i="5"/>
  <c r="BS185" i="5" s="1"/>
  <c r="BW185" i="5" s="1"/>
  <c r="E186" i="5" s="1"/>
  <c r="Q186" i="5" s="1"/>
  <c r="BV185" i="5"/>
  <c r="BL187" i="5"/>
  <c r="BT186" i="5" s="1"/>
  <c r="BM187" i="5"/>
  <c r="BP187" i="5" s="1"/>
  <c r="BP186" i="5"/>
  <c r="BV95" i="4"/>
  <c r="BX95" i="4" s="1"/>
  <c r="CK95" i="4" s="1"/>
  <c r="F184" i="5"/>
  <c r="R184" i="5" s="1"/>
  <c r="CQ94" i="4"/>
  <c r="G113" i="4" s="1"/>
  <c r="CH95" i="4"/>
  <c r="CI95" i="4" s="1"/>
  <c r="CJ95" i="4" s="1"/>
  <c r="CF96" i="4" s="1"/>
  <c r="BB185" i="5" l="1"/>
  <c r="AU186" i="5"/>
  <c r="AX184" i="5"/>
  <c r="AZ184" i="5" s="1"/>
  <c r="AW185" i="5"/>
  <c r="BD183" i="5"/>
  <c r="BF183" i="5" s="1"/>
  <c r="BC183" i="5"/>
  <c r="BG183" i="5" s="1"/>
  <c r="D184" i="5" s="1"/>
  <c r="P184" i="5" s="1"/>
  <c r="BR186" i="5"/>
  <c r="BS186" i="5" s="1"/>
  <c r="BW186" i="5" s="1"/>
  <c r="E187" i="5" s="1"/>
  <c r="Q187" i="5" s="1"/>
  <c r="BV186" i="5"/>
  <c r="BV187" i="5" s="1"/>
  <c r="BS187" i="5"/>
  <c r="BY95" i="4"/>
  <c r="CO95" i="4" s="1"/>
  <c r="CP95" i="4" s="1"/>
  <c r="CC107" i="4"/>
  <c r="CL95" i="4"/>
  <c r="CM95" i="4" s="1"/>
  <c r="BZ107" i="4"/>
  <c r="CB107" i="4" s="1"/>
  <c r="CG96" i="4"/>
  <c r="F185" i="5"/>
  <c r="R185" i="5" s="1"/>
  <c r="BR96" i="4"/>
  <c r="BS108" i="4" s="1"/>
  <c r="BT120" i="4" s="1"/>
  <c r="BU132" i="4" s="1"/>
  <c r="AX185" i="5" l="1"/>
  <c r="AZ185" i="5" s="1"/>
  <c r="AW186" i="5"/>
  <c r="BD184" i="5"/>
  <c r="BF184" i="5" s="1"/>
  <c r="BC184" i="5"/>
  <c r="BG184" i="5" s="1"/>
  <c r="D185" i="5" s="1"/>
  <c r="P185" i="5" s="1"/>
  <c r="BB186" i="5"/>
  <c r="AU187" i="5"/>
  <c r="BW187" i="5"/>
  <c r="E188" i="5" s="1"/>
  <c r="Q188" i="5" s="1"/>
  <c r="CN95" i="4"/>
  <c r="F114" i="4" s="1"/>
  <c r="CQ95" i="4"/>
  <c r="G114" i="4" s="1"/>
  <c r="F186" i="5"/>
  <c r="R186" i="5" s="1"/>
  <c r="CH96" i="4"/>
  <c r="CI96" i="4" s="1"/>
  <c r="CJ96" i="4" s="1"/>
  <c r="CF97" i="4" s="1"/>
  <c r="BV96" i="4"/>
  <c r="BX96" i="4" s="1"/>
  <c r="CK96" i="4" s="1"/>
  <c r="CL96" i="4" s="1"/>
  <c r="E20" i="5" l="1"/>
  <c r="E36" i="5" s="1"/>
  <c r="AX186" i="5"/>
  <c r="AZ186" i="5" s="1"/>
  <c r="AW187" i="5"/>
  <c r="AX187" i="5" s="1"/>
  <c r="AZ187" i="5" s="1"/>
  <c r="BC187" i="5" s="1"/>
  <c r="BD185" i="5"/>
  <c r="BF185" i="5" s="1"/>
  <c r="BC185" i="5"/>
  <c r="BG185" i="5" s="1"/>
  <c r="D186" i="5" s="1"/>
  <c r="P186" i="5" s="1"/>
  <c r="BR97" i="4"/>
  <c r="BS109" i="4" s="1"/>
  <c r="BT121" i="4" s="1"/>
  <c r="BU133" i="4" s="1"/>
  <c r="F187" i="5"/>
  <c r="R187" i="5" s="1"/>
  <c r="CM96" i="4"/>
  <c r="CN96" i="4" s="1"/>
  <c r="F115" i="4" s="1"/>
  <c r="CC108" i="4"/>
  <c r="BZ108" i="4"/>
  <c r="CB108" i="4" s="1"/>
  <c r="BY96" i="4"/>
  <c r="CO96" i="4" s="1"/>
  <c r="CP96" i="4" s="1"/>
  <c r="CG97" i="4"/>
  <c r="BD186" i="5" l="1"/>
  <c r="BF186" i="5" s="1"/>
  <c r="BC186" i="5"/>
  <c r="BG186" i="5" s="1"/>
  <c r="D187" i="5" s="1"/>
  <c r="P187" i="5" s="1"/>
  <c r="BV97" i="4"/>
  <c r="BX97" i="4" s="1"/>
  <c r="CK97" i="4" s="1"/>
  <c r="CH97" i="4"/>
  <c r="CI97" i="4" s="1"/>
  <c r="CJ97" i="4" s="1"/>
  <c r="CF98" i="4" s="1"/>
  <c r="CG98" i="4"/>
  <c r="CC109" i="4"/>
  <c r="BZ109" i="4"/>
  <c r="CB109" i="4" s="1"/>
  <c r="CQ96" i="4"/>
  <c r="G115" i="4" s="1"/>
  <c r="BG187" i="5" l="1"/>
  <c r="BF187" i="5"/>
  <c r="CL97" i="4"/>
  <c r="CM97" i="4" s="1"/>
  <c r="CN97" i="4" s="1"/>
  <c r="F116" i="4" s="1"/>
  <c r="BY97" i="4"/>
  <c r="CO97" i="4" s="1"/>
  <c r="CP97" i="4" s="1"/>
  <c r="CH98" i="4"/>
  <c r="CI98" i="4" s="1"/>
  <c r="CJ98" i="4" s="1"/>
  <c r="CF99" i="4" s="1"/>
  <c r="BR98" i="4"/>
  <c r="BS110" i="4" s="1"/>
  <c r="BT122" i="4" s="1"/>
  <c r="BU134" i="4" s="1"/>
  <c r="CG99" i="4"/>
  <c r="F188" i="5"/>
  <c r="R188" i="5" s="1"/>
  <c r="F20" i="5"/>
  <c r="F36" i="5" s="1"/>
  <c r="D188" i="5" l="1"/>
  <c r="P188" i="5" s="1"/>
  <c r="D20" i="5"/>
  <c r="D36" i="5" s="1"/>
  <c r="BR99" i="4"/>
  <c r="BS111" i="4" s="1"/>
  <c r="BT123" i="4" s="1"/>
  <c r="BU135" i="4" s="1"/>
  <c r="CQ97" i="4"/>
  <c r="G116" i="4" s="1"/>
  <c r="BV98" i="4"/>
  <c r="BX98" i="4" s="1"/>
  <c r="CK98" i="4" s="1"/>
  <c r="CH99" i="4"/>
  <c r="CI99" i="4" s="1"/>
  <c r="CJ99" i="4" s="1"/>
  <c r="CF100" i="4" s="1"/>
  <c r="BV99" i="4" l="1"/>
  <c r="BX99" i="4" s="1"/>
  <c r="CK99" i="4" s="1"/>
  <c r="CL99" i="4" s="1"/>
  <c r="CL98" i="4"/>
  <c r="CM98" i="4" s="1"/>
  <c r="BY98" i="4"/>
  <c r="CO98" i="4" s="1"/>
  <c r="CP98" i="4" s="1"/>
  <c r="CC110" i="4"/>
  <c r="BZ110" i="4"/>
  <c r="CB110" i="4" s="1"/>
  <c r="CG100" i="4"/>
  <c r="BR100" i="4"/>
  <c r="BS112" i="4" s="1"/>
  <c r="BT124" i="4" s="1"/>
  <c r="BU136" i="4" s="1"/>
  <c r="CC111" i="4"/>
  <c r="BZ111" i="4"/>
  <c r="CB111" i="4" s="1"/>
  <c r="BY99" i="4" l="1"/>
  <c r="CO99" i="4" s="1"/>
  <c r="CP99" i="4" s="1"/>
  <c r="CN98" i="4"/>
  <c r="F117" i="4" s="1"/>
  <c r="CM99" i="4"/>
  <c r="CN99" i="4" s="1"/>
  <c r="F118" i="4" s="1"/>
  <c r="CQ98" i="4"/>
  <c r="G117" i="4" s="1"/>
  <c r="BV100" i="4"/>
  <c r="BX100" i="4" s="1"/>
  <c r="CK100" i="4" s="1"/>
  <c r="CL100" i="4" s="1"/>
  <c r="CH100" i="4"/>
  <c r="CI100" i="4" s="1"/>
  <c r="CJ100" i="4" s="1"/>
  <c r="CF101" i="4" s="1"/>
  <c r="BL115" i="4"/>
  <c r="CQ99" i="4" l="1"/>
  <c r="G118" i="4" s="1"/>
  <c r="BY100" i="4"/>
  <c r="CO100" i="4" s="1"/>
  <c r="CP100" i="4" s="1"/>
  <c r="CG101" i="4"/>
  <c r="BR101" i="4"/>
  <c r="BS113" i="4" s="1"/>
  <c r="BT125" i="4" s="1"/>
  <c r="BU137" i="4" s="1"/>
  <c r="CC112" i="4"/>
  <c r="BZ112" i="4"/>
  <c r="CB112" i="4" s="1"/>
  <c r="CM100" i="4"/>
  <c r="CN100" i="4" s="1"/>
  <c r="F119" i="4" s="1"/>
  <c r="BM115" i="4"/>
  <c r="BO115" i="4" s="1"/>
  <c r="BQ115" i="4" s="1"/>
  <c r="BL116" i="4"/>
  <c r="CQ100" i="4" l="1"/>
  <c r="G119" i="4" s="1"/>
  <c r="BV101" i="4"/>
  <c r="BX101" i="4" s="1"/>
  <c r="CK101" i="4" s="1"/>
  <c r="CL101" i="4" s="1"/>
  <c r="CH101" i="4"/>
  <c r="CI101" i="4" s="1"/>
  <c r="CJ101" i="4" s="1"/>
  <c r="BM116" i="4"/>
  <c r="BO116" i="4" s="1"/>
  <c r="BQ116" i="4" s="1"/>
  <c r="BL117" i="4"/>
  <c r="BY101" i="4" l="1"/>
  <c r="CO101" i="4" s="1"/>
  <c r="CP101" i="4" s="1"/>
  <c r="BR102" i="4"/>
  <c r="BS114" i="4" s="1"/>
  <c r="BT126" i="4" s="1"/>
  <c r="BU138" i="4" s="1"/>
  <c r="CM101" i="4"/>
  <c r="CC113" i="4"/>
  <c r="BZ113" i="4"/>
  <c r="CB113" i="4" s="1"/>
  <c r="BM117" i="4"/>
  <c r="BO117" i="4" s="1"/>
  <c r="BQ117" i="4" s="1"/>
  <c r="BL118" i="4"/>
  <c r="CQ101" i="4" l="1"/>
  <c r="G120" i="4" s="1"/>
  <c r="CN101" i="4"/>
  <c r="F120" i="4" s="1"/>
  <c r="BV102" i="4"/>
  <c r="BX102" i="4" s="1"/>
  <c r="CE102" i="4" s="1"/>
  <c r="BM118" i="4"/>
  <c r="BO118" i="4" s="1"/>
  <c r="BQ118" i="4" s="1"/>
  <c r="BL119" i="4"/>
  <c r="CC114" i="4" l="1"/>
  <c r="BZ114" i="4"/>
  <c r="CB114" i="4" s="1"/>
  <c r="BY102" i="4"/>
  <c r="CO102" i="4" s="1"/>
  <c r="CF102" i="4"/>
  <c r="CG102" i="4" s="1"/>
  <c r="CK102" i="4"/>
  <c r="CL102" i="4" s="1"/>
  <c r="BM119" i="4"/>
  <c r="BO119" i="4" s="1"/>
  <c r="BQ119" i="4" s="1"/>
  <c r="BL120" i="4"/>
  <c r="CM102" i="4" l="1"/>
  <c r="CN102" i="4" s="1"/>
  <c r="CP102" i="4"/>
  <c r="CH102" i="4"/>
  <c r="CI102" i="4" s="1"/>
  <c r="CJ102" i="4" s="1"/>
  <c r="CF103" i="4" s="1"/>
  <c r="BM120" i="4"/>
  <c r="BO120" i="4" s="1"/>
  <c r="BL121" i="4"/>
  <c r="CD120" i="4" l="1"/>
  <c r="BQ120" i="4"/>
  <c r="F121" i="4"/>
  <c r="F28" i="4"/>
  <c r="P28" i="4" s="1"/>
  <c r="CQ102" i="4"/>
  <c r="CG103" i="4"/>
  <c r="BR103" i="4"/>
  <c r="BS115" i="4" s="1"/>
  <c r="BT127" i="4" s="1"/>
  <c r="BU139" i="4" s="1"/>
  <c r="BM121" i="4"/>
  <c r="BO121" i="4" s="1"/>
  <c r="BQ121" i="4" s="1"/>
  <c r="BL122" i="4"/>
  <c r="BV103" i="4" l="1"/>
  <c r="BX103" i="4" s="1"/>
  <c r="CH103" i="4"/>
  <c r="CI103" i="4" s="1"/>
  <c r="CJ103" i="4" s="1"/>
  <c r="CF104" i="4" s="1"/>
  <c r="G121" i="4"/>
  <c r="G28" i="4"/>
  <c r="Q28" i="4" s="1"/>
  <c r="BM122" i="4"/>
  <c r="BO122" i="4" s="1"/>
  <c r="BQ122" i="4" s="1"/>
  <c r="BL123" i="4"/>
  <c r="CG104" i="4" l="1"/>
  <c r="CH104" i="4" s="1"/>
  <c r="CI104" i="4" s="1"/>
  <c r="CJ104" i="4" s="1"/>
  <c r="CF105" i="4" s="1"/>
  <c r="BR104" i="4"/>
  <c r="BS116" i="4" s="1"/>
  <c r="BT128" i="4" s="1"/>
  <c r="BU140" i="4" s="1"/>
  <c r="BY103" i="4"/>
  <c r="CO103" i="4" s="1"/>
  <c r="CK103" i="4"/>
  <c r="CL103" i="4" s="1"/>
  <c r="CC115" i="4"/>
  <c r="BZ115" i="4"/>
  <c r="CB115" i="4" s="1"/>
  <c r="BM123" i="4"/>
  <c r="BO123" i="4" s="1"/>
  <c r="BQ123" i="4" s="1"/>
  <c r="BL124" i="4"/>
  <c r="CG105" i="4" l="1"/>
  <c r="CM103" i="4"/>
  <c r="CN103" i="4" s="1"/>
  <c r="F122" i="4" s="1"/>
  <c r="CP103" i="4"/>
  <c r="BR105" i="4"/>
  <c r="BS117" i="4" s="1"/>
  <c r="BT129" i="4" s="1"/>
  <c r="BU141" i="4" s="1"/>
  <c r="BV104" i="4"/>
  <c r="BX104" i="4" s="1"/>
  <c r="CK104" i="4" s="1"/>
  <c r="CL104" i="4" s="1"/>
  <c r="BM124" i="4"/>
  <c r="BO124" i="4" s="1"/>
  <c r="BQ124" i="4" s="1"/>
  <c r="BL125" i="4"/>
  <c r="CM104" i="4" l="1"/>
  <c r="CN104" i="4" s="1"/>
  <c r="F123" i="4" s="1"/>
  <c r="BV105" i="4"/>
  <c r="BX105" i="4" s="1"/>
  <c r="CK105" i="4" s="1"/>
  <c r="CL105" i="4" s="1"/>
  <c r="CQ103" i="4"/>
  <c r="G122" i="4" s="1"/>
  <c r="BY104" i="4"/>
  <c r="CO104" i="4" s="1"/>
  <c r="CP104" i="4" s="1"/>
  <c r="CC116" i="4"/>
  <c r="BZ116" i="4"/>
  <c r="CB116" i="4" s="1"/>
  <c r="CH105" i="4"/>
  <c r="CI105" i="4" s="1"/>
  <c r="CJ105" i="4" s="1"/>
  <c r="CF106" i="4" s="1"/>
  <c r="BM125" i="4"/>
  <c r="BO125" i="4" s="1"/>
  <c r="BQ125" i="4" s="1"/>
  <c r="BL126" i="4"/>
  <c r="BY105" i="4" l="1"/>
  <c r="CO105" i="4" s="1"/>
  <c r="CP105" i="4" s="1"/>
  <c r="CM105" i="4"/>
  <c r="CN105" i="4" s="1"/>
  <c r="F124" i="4" s="1"/>
  <c r="CG106" i="4"/>
  <c r="CC117" i="4"/>
  <c r="BZ117" i="4"/>
  <c r="CB117" i="4" s="1"/>
  <c r="BR106" i="4"/>
  <c r="BS118" i="4" s="1"/>
  <c r="BT130" i="4" s="1"/>
  <c r="BU142" i="4" s="1"/>
  <c r="CQ104" i="4"/>
  <c r="G123" i="4" s="1"/>
  <c r="BM126" i="4"/>
  <c r="BO126" i="4" s="1"/>
  <c r="BJ127" i="4" l="1"/>
  <c r="BJ128" i="4" s="1"/>
  <c r="BQ126" i="4"/>
  <c r="CH106" i="4"/>
  <c r="CI106" i="4" s="1"/>
  <c r="CJ106" i="4" s="1"/>
  <c r="CF107" i="4" s="1"/>
  <c r="CQ105" i="4"/>
  <c r="G124" i="4" s="1"/>
  <c r="BV106" i="4"/>
  <c r="BX106" i="4" s="1"/>
  <c r="CK106" i="4" s="1"/>
  <c r="CL106" i="4" s="1"/>
  <c r="BK127" i="4"/>
  <c r="BJ129" i="4" l="1"/>
  <c r="BQ128" i="4"/>
  <c r="BL127" i="4"/>
  <c r="BQ127" i="4"/>
  <c r="BK128" i="4"/>
  <c r="CD126" i="4"/>
  <c r="BY106" i="4"/>
  <c r="CO106" i="4" s="1"/>
  <c r="CP106" i="4" s="1"/>
  <c r="CM106" i="4"/>
  <c r="CC118" i="4"/>
  <c r="BZ118" i="4"/>
  <c r="CB118" i="4" s="1"/>
  <c r="CG107" i="4"/>
  <c r="CH107" i="4" s="1"/>
  <c r="CI107" i="4" s="1"/>
  <c r="CJ107" i="4" s="1"/>
  <c r="CF108" i="4" s="1"/>
  <c r="BR107" i="4"/>
  <c r="BS119" i="4" s="1"/>
  <c r="BT131" i="4" s="1"/>
  <c r="BU143" i="4" s="1"/>
  <c r="BL128" i="4" l="1"/>
  <c r="BM127" i="4"/>
  <c r="BO127" i="4" s="1"/>
  <c r="BJ130" i="4"/>
  <c r="BQ129" i="4"/>
  <c r="BK129" i="4"/>
  <c r="CD127" i="4"/>
  <c r="CQ106" i="4"/>
  <c r="G125" i="4" s="1"/>
  <c r="BV107" i="4"/>
  <c r="BX107" i="4" s="1"/>
  <c r="CK107" i="4" s="1"/>
  <c r="CL107" i="4" s="1"/>
  <c r="CN106" i="4"/>
  <c r="F125" i="4" s="1"/>
  <c r="CG108" i="4"/>
  <c r="CH108" i="4" s="1"/>
  <c r="CI108" i="4" s="1"/>
  <c r="CJ108" i="4" s="1"/>
  <c r="CF109" i="4" s="1"/>
  <c r="BR108" i="4"/>
  <c r="BS120" i="4" s="1"/>
  <c r="BT132" i="4" s="1"/>
  <c r="BU144" i="4" s="1"/>
  <c r="BJ131" i="4" l="1"/>
  <c r="BQ130" i="4"/>
  <c r="BL129" i="4"/>
  <c r="BM128" i="4"/>
  <c r="BO128" i="4" s="1"/>
  <c r="BK130" i="4"/>
  <c r="CD128" i="4"/>
  <c r="BY107" i="4"/>
  <c r="CO107" i="4" s="1"/>
  <c r="CP107" i="4" s="1"/>
  <c r="CG109" i="4"/>
  <c r="CC119" i="4"/>
  <c r="BZ119" i="4"/>
  <c r="CB119" i="4" s="1"/>
  <c r="CM107" i="4"/>
  <c r="BV108" i="4"/>
  <c r="BX108" i="4" s="1"/>
  <c r="CK108" i="4" s="1"/>
  <c r="CL108" i="4" s="1"/>
  <c r="BR109" i="4"/>
  <c r="BS121" i="4" s="1"/>
  <c r="BT133" i="4" s="1"/>
  <c r="BU145" i="4" s="1"/>
  <c r="BM129" i="4" l="1"/>
  <c r="BO129" i="4" s="1"/>
  <c r="BL130" i="4"/>
  <c r="BJ132" i="4"/>
  <c r="BQ131" i="4"/>
  <c r="BK131" i="4"/>
  <c r="CD129" i="4"/>
  <c r="CQ107" i="4"/>
  <c r="G126" i="4" s="1"/>
  <c r="BY108" i="4"/>
  <c r="CO108" i="4" s="1"/>
  <c r="CP108" i="4" s="1"/>
  <c r="CM108" i="4"/>
  <c r="CN107" i="4"/>
  <c r="F126" i="4" s="1"/>
  <c r="BV109" i="4"/>
  <c r="BX109" i="4" s="1"/>
  <c r="CK109" i="4" s="1"/>
  <c r="CL109" i="4" s="1"/>
  <c r="CC120" i="4"/>
  <c r="BZ120" i="4"/>
  <c r="CB120" i="4" s="1"/>
  <c r="CH109" i="4"/>
  <c r="CI109" i="4" s="1"/>
  <c r="CJ109" i="4" s="1"/>
  <c r="CF110" i="4" s="1"/>
  <c r="BL131" i="4" l="1"/>
  <c r="BM130" i="4"/>
  <c r="BO130" i="4" s="1"/>
  <c r="BJ133" i="4"/>
  <c r="BQ132" i="4"/>
  <c r="BK132" i="4"/>
  <c r="CD130" i="4"/>
  <c r="BY109" i="4"/>
  <c r="CO109" i="4" s="1"/>
  <c r="CP109" i="4" s="1"/>
  <c r="CQ108" i="4"/>
  <c r="G127" i="4" s="1"/>
  <c r="CG110" i="4"/>
  <c r="CM109" i="4"/>
  <c r="CC121" i="4"/>
  <c r="BZ121" i="4"/>
  <c r="CB121" i="4" s="1"/>
  <c r="BR110" i="4"/>
  <c r="BS122" i="4" s="1"/>
  <c r="BT134" i="4" s="1"/>
  <c r="BU146" i="4" s="1"/>
  <c r="CN108" i="4"/>
  <c r="F127" i="4" s="1"/>
  <c r="BM131" i="4" l="1"/>
  <c r="BO131" i="4" s="1"/>
  <c r="BL132" i="4"/>
  <c r="BJ134" i="4"/>
  <c r="BQ133" i="4"/>
  <c r="BK133" i="4"/>
  <c r="CD131" i="4"/>
  <c r="CQ109" i="4"/>
  <c r="G128" i="4" s="1"/>
  <c r="CN109" i="4"/>
  <c r="F128" i="4" s="1"/>
  <c r="BV110" i="4"/>
  <c r="BX110" i="4" s="1"/>
  <c r="CK110" i="4" s="1"/>
  <c r="CL110" i="4" s="1"/>
  <c r="CH110" i="4"/>
  <c r="CI110" i="4" s="1"/>
  <c r="CJ110" i="4" s="1"/>
  <c r="CF111" i="4" s="1"/>
  <c r="BJ135" i="4" l="1"/>
  <c r="BQ134" i="4"/>
  <c r="BM132" i="4"/>
  <c r="BO132" i="4" s="1"/>
  <c r="BL133" i="4"/>
  <c r="BK134" i="4"/>
  <c r="CD132" i="4"/>
  <c r="BY110" i="4"/>
  <c r="CO110" i="4" s="1"/>
  <c r="CP110" i="4" s="1"/>
  <c r="CM110" i="4"/>
  <c r="CN110" i="4" s="1"/>
  <c r="F129" i="4" s="1"/>
  <c r="BR111" i="4"/>
  <c r="BS123" i="4" s="1"/>
  <c r="BT135" i="4" s="1"/>
  <c r="BU147" i="4" s="1"/>
  <c r="CG111" i="4"/>
  <c r="CC122" i="4"/>
  <c r="BZ122" i="4"/>
  <c r="CB122" i="4" s="1"/>
  <c r="BM133" i="4" l="1"/>
  <c r="BO133" i="4" s="1"/>
  <c r="BL134" i="4"/>
  <c r="BJ136" i="4"/>
  <c r="BQ135" i="4"/>
  <c r="BK135" i="4"/>
  <c r="CD133" i="4"/>
  <c r="CQ110" i="4"/>
  <c r="G129" i="4" s="1"/>
  <c r="CH111" i="4"/>
  <c r="CI111" i="4" s="1"/>
  <c r="CJ111" i="4" s="1"/>
  <c r="CF112" i="4" s="1"/>
  <c r="BV111" i="4"/>
  <c r="BX111" i="4" s="1"/>
  <c r="CK111" i="4" s="1"/>
  <c r="CL111" i="4" s="1"/>
  <c r="BJ137" i="4" l="1"/>
  <c r="BQ136" i="4"/>
  <c r="BM134" i="4"/>
  <c r="BO134" i="4" s="1"/>
  <c r="BL135" i="4"/>
  <c r="BK136" i="4"/>
  <c r="CD134" i="4"/>
  <c r="BY111" i="4"/>
  <c r="CO111" i="4" s="1"/>
  <c r="CP111" i="4" s="1"/>
  <c r="CM111" i="4"/>
  <c r="CN111" i="4" s="1"/>
  <c r="F130" i="4" s="1"/>
  <c r="CC123" i="4"/>
  <c r="BZ123" i="4"/>
  <c r="CB123" i="4" s="1"/>
  <c r="CG112" i="4"/>
  <c r="BR112" i="4"/>
  <c r="BS124" i="4" s="1"/>
  <c r="BT136" i="4" s="1"/>
  <c r="BU148" i="4" s="1"/>
  <c r="BM135" i="4" l="1"/>
  <c r="BO135" i="4" s="1"/>
  <c r="BL136" i="4"/>
  <c r="BJ138" i="4"/>
  <c r="BQ138" i="4" s="1"/>
  <c r="BQ137" i="4"/>
  <c r="BK137" i="4"/>
  <c r="CD135" i="4"/>
  <c r="CQ111" i="4"/>
  <c r="G130" i="4" s="1"/>
  <c r="BV112" i="4"/>
  <c r="BX112" i="4" s="1"/>
  <c r="CK112" i="4" s="1"/>
  <c r="CL112" i="4" s="1"/>
  <c r="CH112" i="4"/>
  <c r="CI112" i="4" s="1"/>
  <c r="CJ112" i="4" s="1"/>
  <c r="CF113" i="4" s="1"/>
  <c r="BM136" i="4" l="1"/>
  <c r="BO136" i="4" s="1"/>
  <c r="BL137" i="4"/>
  <c r="BK138" i="4"/>
  <c r="CD137" i="4" s="1"/>
  <c r="CD136" i="4"/>
  <c r="BY112" i="4"/>
  <c r="CO112" i="4" s="1"/>
  <c r="CP112" i="4" s="1"/>
  <c r="CC124" i="4"/>
  <c r="BZ124" i="4"/>
  <c r="CB124" i="4" s="1"/>
  <c r="BR113" i="4"/>
  <c r="BS125" i="4" s="1"/>
  <c r="BT137" i="4" s="1"/>
  <c r="BU149" i="4" s="1"/>
  <c r="CM112" i="4"/>
  <c r="CN112" i="4" s="1"/>
  <c r="F131" i="4" s="1"/>
  <c r="CG113" i="4"/>
  <c r="BM137" i="4" l="1"/>
  <c r="BO137" i="4" s="1"/>
  <c r="BL138" i="4"/>
  <c r="BM138" i="4" s="1"/>
  <c r="BO138" i="4" s="1"/>
  <c r="CQ112" i="4"/>
  <c r="G131" i="4" s="1"/>
  <c r="BV113" i="4"/>
  <c r="BX113" i="4" s="1"/>
  <c r="CK113" i="4" s="1"/>
  <c r="CL113" i="4" s="1"/>
  <c r="CH113" i="4"/>
  <c r="CI113" i="4" s="1"/>
  <c r="CJ113" i="4" s="1"/>
  <c r="BJ139" i="4"/>
  <c r="BQ139" i="4" s="1"/>
  <c r="BY113" i="4" l="1"/>
  <c r="CO113" i="4" s="1"/>
  <c r="CP113" i="4" s="1"/>
  <c r="BR114" i="4"/>
  <c r="BS126" i="4" s="1"/>
  <c r="BT138" i="4" s="1"/>
  <c r="BU150" i="4" s="1"/>
  <c r="BJ140" i="4"/>
  <c r="BK139" i="4"/>
  <c r="CD138" i="4" s="1"/>
  <c r="BL139" i="4"/>
  <c r="CM113" i="4"/>
  <c r="CC125" i="4"/>
  <c r="BZ125" i="4"/>
  <c r="CB125" i="4" s="1"/>
  <c r="BJ141" i="4" l="1"/>
  <c r="BQ140" i="4"/>
  <c r="CQ113" i="4"/>
  <c r="G132" i="4" s="1"/>
  <c r="CN113" i="4"/>
  <c r="F132" i="4" s="1"/>
  <c r="BM139" i="4"/>
  <c r="BO139" i="4" s="1"/>
  <c r="BL140" i="4"/>
  <c r="BK140" i="4"/>
  <c r="BV114" i="4"/>
  <c r="BX114" i="4" s="1"/>
  <c r="BJ142" i="4" l="1"/>
  <c r="BQ141" i="4"/>
  <c r="BK141" i="4"/>
  <c r="CD139" i="4"/>
  <c r="BY114" i="4"/>
  <c r="CO114" i="4" s="1"/>
  <c r="CE114" i="4"/>
  <c r="CF114" i="4" s="1"/>
  <c r="CG114" i="4" s="1"/>
  <c r="CK114" i="4"/>
  <c r="BM140" i="4"/>
  <c r="BO140" i="4" s="1"/>
  <c r="BL141" i="4"/>
  <c r="CC126" i="4"/>
  <c r="BZ126" i="4"/>
  <c r="CB126" i="4" s="1"/>
  <c r="BJ143" i="4" l="1"/>
  <c r="BQ142" i="4"/>
  <c r="BK142" i="4"/>
  <c r="CD140" i="4"/>
  <c r="CP114" i="4"/>
  <c r="CL114" i="4"/>
  <c r="CM114" i="4" s="1"/>
  <c r="BL142" i="4"/>
  <c r="BM141" i="4"/>
  <c r="BO141" i="4" s="1"/>
  <c r="CH114" i="4"/>
  <c r="CI114" i="4" s="1"/>
  <c r="CJ114" i="4" s="1"/>
  <c r="CF115" i="4" s="1"/>
  <c r="BJ144" i="4" l="1"/>
  <c r="BQ143" i="4"/>
  <c r="CQ114" i="4"/>
  <c r="G133" i="4" s="1"/>
  <c r="BK143" i="4"/>
  <c r="CD141" i="4"/>
  <c r="G29" i="4"/>
  <c r="Q29" i="4" s="1"/>
  <c r="BR115" i="4"/>
  <c r="BS127" i="4" s="1"/>
  <c r="BT139" i="4" s="1"/>
  <c r="BU151" i="4" s="1"/>
  <c r="CG115" i="4"/>
  <c r="CN114" i="4"/>
  <c r="BM142" i="4"/>
  <c r="BO142" i="4" s="1"/>
  <c r="BL143" i="4"/>
  <c r="BJ145" i="4" l="1"/>
  <c r="BQ144" i="4"/>
  <c r="BK144" i="4"/>
  <c r="CD142" i="4"/>
  <c r="BL144" i="4"/>
  <c r="BM143" i="4"/>
  <c r="BO143" i="4" s="1"/>
  <c r="BV115" i="4"/>
  <c r="BX115" i="4" s="1"/>
  <c r="CK115" i="4" s="1"/>
  <c r="CL115" i="4" s="1"/>
  <c r="CH115" i="4"/>
  <c r="CI115" i="4" s="1"/>
  <c r="CJ115" i="4" s="1"/>
  <c r="CF116" i="4" s="1"/>
  <c r="F133" i="4"/>
  <c r="F29" i="4"/>
  <c r="P29" i="4" s="1"/>
  <c r="BJ146" i="4" l="1"/>
  <c r="BQ145" i="4"/>
  <c r="BK145" i="4"/>
  <c r="CD143" i="4"/>
  <c r="BY115" i="4"/>
  <c r="CO115" i="4" s="1"/>
  <c r="CP115" i="4" s="1"/>
  <c r="CG116" i="4"/>
  <c r="CM115" i="4"/>
  <c r="CC127" i="4"/>
  <c r="BZ127" i="4"/>
  <c r="CB127" i="4" s="1"/>
  <c r="BL145" i="4"/>
  <c r="BM144" i="4"/>
  <c r="BO144" i="4" s="1"/>
  <c r="BR116" i="4"/>
  <c r="BS128" i="4" s="1"/>
  <c r="BT140" i="4" s="1"/>
  <c r="BU152" i="4" s="1"/>
  <c r="BJ147" i="4" l="1"/>
  <c r="BQ146" i="4"/>
  <c r="BK146" i="4"/>
  <c r="CD144" i="4"/>
  <c r="CQ115" i="4"/>
  <c r="G134" i="4" s="1"/>
  <c r="BV116" i="4"/>
  <c r="BX116" i="4" s="1"/>
  <c r="CK116" i="4" s="1"/>
  <c r="CL116" i="4" s="1"/>
  <c r="CN115" i="4"/>
  <c r="F134" i="4" s="1"/>
  <c r="BM145" i="4"/>
  <c r="BO145" i="4" s="1"/>
  <c r="BL146" i="4"/>
  <c r="CH116" i="4"/>
  <c r="CI116" i="4" s="1"/>
  <c r="CJ116" i="4" s="1"/>
  <c r="CF117" i="4" s="1"/>
  <c r="BJ148" i="4" l="1"/>
  <c r="BQ147" i="4"/>
  <c r="BK147" i="4"/>
  <c r="CD145" i="4"/>
  <c r="BY116" i="4"/>
  <c r="CO116" i="4" s="1"/>
  <c r="CP116" i="4" s="1"/>
  <c r="CG117" i="4"/>
  <c r="CC128" i="4"/>
  <c r="BZ128" i="4"/>
  <c r="CB128" i="4" s="1"/>
  <c r="BM146" i="4"/>
  <c r="BO146" i="4" s="1"/>
  <c r="BL147" i="4"/>
  <c r="BR117" i="4"/>
  <c r="BS129" i="4" s="1"/>
  <c r="BT141" i="4" s="1"/>
  <c r="BU153" i="4" s="1"/>
  <c r="CM116" i="4"/>
  <c r="BJ149" i="4" l="1"/>
  <c r="BQ148" i="4"/>
  <c r="BK148" i="4"/>
  <c r="CD146" i="4"/>
  <c r="CH117" i="4"/>
  <c r="CI117" i="4" s="1"/>
  <c r="CJ117" i="4" s="1"/>
  <c r="CF118" i="4" s="1"/>
  <c r="CQ116" i="4"/>
  <c r="G135" i="4" s="1"/>
  <c r="CN116" i="4"/>
  <c r="F135" i="4" s="1"/>
  <c r="BV117" i="4"/>
  <c r="BX117" i="4" s="1"/>
  <c r="CK117" i="4" s="1"/>
  <c r="CL117" i="4" s="1"/>
  <c r="BM147" i="4"/>
  <c r="BO147" i="4" s="1"/>
  <c r="BL148" i="4"/>
  <c r="BJ150" i="4" l="1"/>
  <c r="BQ150" i="4" s="1"/>
  <c r="BQ149" i="4"/>
  <c r="BK149" i="4"/>
  <c r="CD147" i="4"/>
  <c r="CM117" i="4"/>
  <c r="CN117" i="4" s="1"/>
  <c r="F136" i="4" s="1"/>
  <c r="CC129" i="4"/>
  <c r="BZ129" i="4"/>
  <c r="CB129" i="4" s="1"/>
  <c r="CG118" i="4"/>
  <c r="BL149" i="4"/>
  <c r="BM148" i="4"/>
  <c r="BO148" i="4" s="1"/>
  <c r="BY117" i="4"/>
  <c r="CO117" i="4" s="1"/>
  <c r="CP117" i="4" s="1"/>
  <c r="BR118" i="4"/>
  <c r="BS130" i="4" s="1"/>
  <c r="BT142" i="4" s="1"/>
  <c r="BU154" i="4" s="1"/>
  <c r="BK150" i="4" l="1"/>
  <c r="CD149" i="4" s="1"/>
  <c r="CD148" i="4"/>
  <c r="CH118" i="4"/>
  <c r="CI118" i="4" s="1"/>
  <c r="CJ118" i="4" s="1"/>
  <c r="CF119" i="4" s="1"/>
  <c r="BV118" i="4"/>
  <c r="BX118" i="4" s="1"/>
  <c r="CK118" i="4" s="1"/>
  <c r="CL118" i="4" s="1"/>
  <c r="BM149" i="4"/>
  <c r="BO149" i="4" s="1"/>
  <c r="BL150" i="4"/>
  <c r="BM150" i="4" s="1"/>
  <c r="BO150" i="4" s="1"/>
  <c r="CQ117" i="4"/>
  <c r="G136" i="4" s="1"/>
  <c r="BY118" i="4" l="1"/>
  <c r="CO118" i="4" s="1"/>
  <c r="CP118" i="4" s="1"/>
  <c r="CC130" i="4"/>
  <c r="BZ130" i="4"/>
  <c r="CB130" i="4" s="1"/>
  <c r="CM118" i="4"/>
  <c r="CG119" i="4"/>
  <c r="BJ151" i="4"/>
  <c r="BQ151" i="4" s="1"/>
  <c r="BR119" i="4"/>
  <c r="BS131" i="4" s="1"/>
  <c r="BT143" i="4" s="1"/>
  <c r="BU155" i="4" s="1"/>
  <c r="CQ118" i="4" l="1"/>
  <c r="G137" i="4" s="1"/>
  <c r="CN118" i="4"/>
  <c r="F137" i="4" s="1"/>
  <c r="BJ152" i="4"/>
  <c r="BK151" i="4"/>
  <c r="CD150" i="4" s="1"/>
  <c r="BL151" i="4"/>
  <c r="BV119" i="4"/>
  <c r="BX119" i="4" s="1"/>
  <c r="CK119" i="4" s="1"/>
  <c r="CL119" i="4" s="1"/>
  <c r="CH119" i="4"/>
  <c r="CI119" i="4" s="1"/>
  <c r="CJ119" i="4" s="1"/>
  <c r="CF120" i="4" s="1"/>
  <c r="BJ153" i="4" l="1"/>
  <c r="BQ152" i="4"/>
  <c r="CG120" i="4"/>
  <c r="CM119" i="4"/>
  <c r="CN119" i="4" s="1"/>
  <c r="F138" i="4" s="1"/>
  <c r="BR120" i="4"/>
  <c r="BS132" i="4" s="1"/>
  <c r="BT144" i="4" s="1"/>
  <c r="BU156" i="4" s="1"/>
  <c r="CC131" i="4"/>
  <c r="BZ131" i="4"/>
  <c r="CB131" i="4" s="1"/>
  <c r="BL152" i="4"/>
  <c r="BM151" i="4"/>
  <c r="BO151" i="4" s="1"/>
  <c r="BY119" i="4"/>
  <c r="CO119" i="4" s="1"/>
  <c r="CP119" i="4" s="1"/>
  <c r="BK152" i="4"/>
  <c r="BJ154" i="4" l="1"/>
  <c r="BQ153" i="4"/>
  <c r="BK153" i="4"/>
  <c r="CD151" i="4"/>
  <c r="CQ119" i="4"/>
  <c r="G138" i="4" s="1"/>
  <c r="BV120" i="4"/>
  <c r="BX120" i="4" s="1"/>
  <c r="CK120" i="4" s="1"/>
  <c r="CL120" i="4" s="1"/>
  <c r="BR121" i="4"/>
  <c r="BS133" i="4" s="1"/>
  <c r="BT145" i="4" s="1"/>
  <c r="BU157" i="4" s="1"/>
  <c r="BM152" i="4"/>
  <c r="BO152" i="4" s="1"/>
  <c r="BL153" i="4"/>
  <c r="CH120" i="4"/>
  <c r="CI120" i="4" s="1"/>
  <c r="CJ120" i="4" s="1"/>
  <c r="CF121" i="4" s="1"/>
  <c r="BJ155" i="4" l="1"/>
  <c r="BQ154" i="4"/>
  <c r="BK154" i="4"/>
  <c r="CD152" i="4"/>
  <c r="BY120" i="4"/>
  <c r="CO120" i="4" s="1"/>
  <c r="CP120" i="4" s="1"/>
  <c r="CM120" i="4"/>
  <c r="CG121" i="4"/>
  <c r="CH121" i="4" s="1"/>
  <c r="CI121" i="4" s="1"/>
  <c r="CJ121" i="4" s="1"/>
  <c r="CF122" i="4" s="1"/>
  <c r="BM153" i="4"/>
  <c r="BO153" i="4" s="1"/>
  <c r="BL154" i="4"/>
  <c r="CC132" i="4"/>
  <c r="BZ132" i="4"/>
  <c r="CB132" i="4" s="1"/>
  <c r="BV121" i="4"/>
  <c r="BX121" i="4" s="1"/>
  <c r="CK121" i="4" s="1"/>
  <c r="CL121" i="4" s="1"/>
  <c r="BJ156" i="4" l="1"/>
  <c r="BQ155" i="4"/>
  <c r="BK155" i="4"/>
  <c r="CD153" i="4"/>
  <c r="CQ120" i="4"/>
  <c r="G139" i="4" s="1"/>
  <c r="CN120" i="4"/>
  <c r="F139" i="4" s="1"/>
  <c r="CG122" i="4"/>
  <c r="BM154" i="4"/>
  <c r="BO154" i="4" s="1"/>
  <c r="BL155" i="4"/>
  <c r="BY121" i="4"/>
  <c r="CO121" i="4" s="1"/>
  <c r="CP121" i="4" s="1"/>
  <c r="CC133" i="4"/>
  <c r="BZ133" i="4"/>
  <c r="CB133" i="4" s="1"/>
  <c r="CM121" i="4"/>
  <c r="CN121" i="4" s="1"/>
  <c r="F140" i="4" s="1"/>
  <c r="BR122" i="4"/>
  <c r="BS134" i="4" s="1"/>
  <c r="BT146" i="4" s="1"/>
  <c r="BU158" i="4" s="1"/>
  <c r="BJ157" i="4" l="1"/>
  <c r="BQ156" i="4"/>
  <c r="BK156" i="4"/>
  <c r="CD154" i="4"/>
  <c r="BV122" i="4"/>
  <c r="BX122" i="4" s="1"/>
  <c r="CK122" i="4" s="1"/>
  <c r="CL122" i="4" s="1"/>
  <c r="BM155" i="4"/>
  <c r="BO155" i="4" s="1"/>
  <c r="BL156" i="4"/>
  <c r="CQ121" i="4"/>
  <c r="G140" i="4" s="1"/>
  <c r="CH122" i="4"/>
  <c r="CI122" i="4" s="1"/>
  <c r="CJ122" i="4" s="1"/>
  <c r="CF123" i="4" s="1"/>
  <c r="BJ158" i="4" l="1"/>
  <c r="BQ157" i="4"/>
  <c r="BK157" i="4"/>
  <c r="CD155" i="4"/>
  <c r="BY122" i="4"/>
  <c r="CO122" i="4" s="1"/>
  <c r="CP122" i="4" s="1"/>
  <c r="BL157" i="4"/>
  <c r="BM156" i="4"/>
  <c r="BO156" i="4" s="1"/>
  <c r="CG123" i="4"/>
  <c r="BR123" i="4"/>
  <c r="BS135" i="4" s="1"/>
  <c r="BT147" i="4" s="1"/>
  <c r="BU159" i="4" s="1"/>
  <c r="CM122" i="4"/>
  <c r="CC134" i="4"/>
  <c r="BZ134" i="4"/>
  <c r="CB134" i="4" s="1"/>
  <c r="BJ159" i="4" l="1"/>
  <c r="BQ158" i="4"/>
  <c r="BK158" i="4"/>
  <c r="CD156" i="4"/>
  <c r="CH123" i="4"/>
  <c r="CI123" i="4" s="1"/>
  <c r="CJ123" i="4" s="1"/>
  <c r="CF124" i="4" s="1"/>
  <c r="BV123" i="4"/>
  <c r="BX123" i="4" s="1"/>
  <c r="CK123" i="4" s="1"/>
  <c r="CL123" i="4" s="1"/>
  <c r="CN122" i="4"/>
  <c r="F141" i="4" s="1"/>
  <c r="CQ122" i="4"/>
  <c r="G141" i="4" s="1"/>
  <c r="BM157" i="4"/>
  <c r="BO157" i="4" s="1"/>
  <c r="BL158" i="4"/>
  <c r="BJ160" i="4" l="1"/>
  <c r="BQ159" i="4"/>
  <c r="BK159" i="4"/>
  <c r="CD157" i="4"/>
  <c r="BY123" i="4"/>
  <c r="CO123" i="4" s="1"/>
  <c r="CP123" i="4" s="1"/>
  <c r="CM123" i="4"/>
  <c r="CN123" i="4" s="1"/>
  <c r="F142" i="4" s="1"/>
  <c r="CC135" i="4"/>
  <c r="BZ135" i="4"/>
  <c r="CB135" i="4" s="1"/>
  <c r="BM158" i="4"/>
  <c r="BO158" i="4" s="1"/>
  <c r="BL159" i="4"/>
  <c r="CG124" i="4"/>
  <c r="BR124" i="4"/>
  <c r="BS136" i="4" s="1"/>
  <c r="BT148" i="4" s="1"/>
  <c r="BU160" i="4" s="1"/>
  <c r="BJ161" i="4" l="1"/>
  <c r="BQ160" i="4"/>
  <c r="BK160" i="4"/>
  <c r="CD158" i="4"/>
  <c r="CQ123" i="4"/>
  <c r="G142" i="4" s="1"/>
  <c r="BV124" i="4"/>
  <c r="BX124" i="4" s="1"/>
  <c r="CK124" i="4" s="1"/>
  <c r="CL124" i="4" s="1"/>
  <c r="BM159" i="4"/>
  <c r="BO159" i="4" s="1"/>
  <c r="BL160" i="4"/>
  <c r="CH124" i="4"/>
  <c r="CI124" i="4" s="1"/>
  <c r="CJ124" i="4" s="1"/>
  <c r="CF125" i="4" s="1"/>
  <c r="BJ162" i="4" l="1"/>
  <c r="BQ161" i="4"/>
  <c r="BK161" i="4"/>
  <c r="CD159" i="4"/>
  <c r="BY124" i="4"/>
  <c r="CO124" i="4" s="1"/>
  <c r="CP124" i="4" s="1"/>
  <c r="BR125" i="4"/>
  <c r="BS137" i="4" s="1"/>
  <c r="BT149" i="4" s="1"/>
  <c r="BU161" i="4" s="1"/>
  <c r="CG125" i="4"/>
  <c r="BL161" i="4"/>
  <c r="BM160" i="4"/>
  <c r="BO160" i="4" s="1"/>
  <c r="CC136" i="4"/>
  <c r="BZ136" i="4"/>
  <c r="CB136" i="4" s="1"/>
  <c r="CM124" i="4"/>
  <c r="BK162" i="4" l="1"/>
  <c r="CD161" i="4" s="1"/>
  <c r="CD160" i="4"/>
  <c r="CQ124" i="4"/>
  <c r="G143" i="4" s="1"/>
  <c r="CN124" i="4"/>
  <c r="F143" i="4" s="1"/>
  <c r="CH125" i="4"/>
  <c r="CI125" i="4" s="1"/>
  <c r="CJ125" i="4" s="1"/>
  <c r="BM161" i="4"/>
  <c r="BO161" i="4" s="1"/>
  <c r="BL162" i="4"/>
  <c r="BM162" i="4" s="1"/>
  <c r="BO162" i="4" s="1"/>
  <c r="BV125" i="4"/>
  <c r="BX125" i="4" s="1"/>
  <c r="CK125" i="4" s="1"/>
  <c r="CL125" i="4" s="1"/>
  <c r="BY125" i="4" l="1"/>
  <c r="CO125" i="4" s="1"/>
  <c r="CP125" i="4" s="1"/>
  <c r="CC137" i="4"/>
  <c r="BZ137" i="4"/>
  <c r="CB137" i="4" s="1"/>
  <c r="CM125" i="4"/>
  <c r="CN125" i="4" s="1"/>
  <c r="F144" i="4" s="1"/>
  <c r="BR126" i="4"/>
  <c r="BS138" i="4" s="1"/>
  <c r="BT150" i="4" s="1"/>
  <c r="BU162" i="4" s="1"/>
  <c r="BV126" i="4" l="1"/>
  <c r="BX126" i="4" s="1"/>
  <c r="CE126" i="4" s="1"/>
  <c r="CQ125" i="4"/>
  <c r="G144" i="4" s="1"/>
  <c r="BY126" i="4" l="1"/>
  <c r="CO126" i="4" s="1"/>
  <c r="CK126" i="4"/>
  <c r="CL126" i="4" s="1"/>
  <c r="CF126" i="4"/>
  <c r="CG126" i="4" s="1"/>
  <c r="CH126" i="4" s="1"/>
  <c r="CC138" i="4"/>
  <c r="BZ138" i="4"/>
  <c r="CB138" i="4" s="1"/>
  <c r="CM126" i="4" l="1"/>
  <c r="CN126" i="4" s="1"/>
  <c r="CP126" i="4"/>
  <c r="CI126" i="4"/>
  <c r="BR127" i="4" s="1"/>
  <c r="BS139" i="4" s="1"/>
  <c r="BT151" i="4" s="1"/>
  <c r="F145" i="4" l="1"/>
  <c r="F30" i="4"/>
  <c r="P30" i="4" s="1"/>
  <c r="BV127" i="4"/>
  <c r="BX127" i="4" s="1"/>
  <c r="CJ126" i="4"/>
  <c r="CF127" i="4" s="1"/>
  <c r="CQ126" i="4"/>
  <c r="G145" i="4" l="1"/>
  <c r="G30" i="4"/>
  <c r="Q30" i="4" s="1"/>
  <c r="CC139" i="4"/>
  <c r="BZ139" i="4"/>
  <c r="CB139" i="4" s="1"/>
  <c r="BY127" i="4"/>
  <c r="CO127" i="4" s="1"/>
  <c r="CK127" i="4"/>
  <c r="CL127" i="4" s="1"/>
  <c r="CG127" i="4"/>
  <c r="CH127" i="4" s="1"/>
  <c r="CI127" i="4" s="1"/>
  <c r="CJ127" i="4" s="1"/>
  <c r="CF128" i="4" s="1"/>
  <c r="CG128" i="4" l="1"/>
  <c r="CM127" i="4"/>
  <c r="CN127" i="4" s="1"/>
  <c r="F146" i="4" s="1"/>
  <c r="CP127" i="4"/>
  <c r="BR128" i="4"/>
  <c r="BS140" i="4" s="1"/>
  <c r="BT152" i="4" s="1"/>
  <c r="BV128" i="4" l="1"/>
  <c r="BX128" i="4" s="1"/>
  <c r="CQ127" i="4"/>
  <c r="G146" i="4" s="1"/>
  <c r="CH128" i="4"/>
  <c r="CI128" i="4" s="1"/>
  <c r="CJ128" i="4" s="1"/>
  <c r="CF129" i="4" s="1"/>
  <c r="CG129" i="4" l="1"/>
  <c r="BR129" i="4"/>
  <c r="BS141" i="4" s="1"/>
  <c r="BT153" i="4" s="1"/>
  <c r="BY128" i="4"/>
  <c r="CO128" i="4" s="1"/>
  <c r="CK128" i="4"/>
  <c r="CL128" i="4" s="1"/>
  <c r="CC140" i="4"/>
  <c r="BZ140" i="4"/>
  <c r="CB140" i="4" s="1"/>
  <c r="CM128" i="4" l="1"/>
  <c r="CN128" i="4" s="1"/>
  <c r="F147" i="4" s="1"/>
  <c r="CP128" i="4"/>
  <c r="BV129" i="4"/>
  <c r="BX129" i="4" s="1"/>
  <c r="CH129" i="4"/>
  <c r="CI129" i="4" s="1"/>
  <c r="CJ129" i="4" s="1"/>
  <c r="CF130" i="4" s="1"/>
  <c r="BY129" i="4" l="1"/>
  <c r="CO129" i="4" s="1"/>
  <c r="CK129" i="4"/>
  <c r="CL129" i="4" s="1"/>
  <c r="CQ128" i="4"/>
  <c r="G147" i="4" s="1"/>
  <c r="CG130" i="4"/>
  <c r="CH130" i="4" s="1"/>
  <c r="CI130" i="4" s="1"/>
  <c r="CJ130" i="4" s="1"/>
  <c r="CF131" i="4" s="1"/>
  <c r="CC141" i="4"/>
  <c r="BZ141" i="4"/>
  <c r="CB141" i="4" s="1"/>
  <c r="BR130" i="4"/>
  <c r="BS142" i="4" s="1"/>
  <c r="BT154" i="4" s="1"/>
  <c r="CG131" i="4" l="1"/>
  <c r="BR131" i="4"/>
  <c r="BS143" i="4" s="1"/>
  <c r="BT155" i="4" s="1"/>
  <c r="CM129" i="4"/>
  <c r="CN129" i="4" s="1"/>
  <c r="F148" i="4" s="1"/>
  <c r="CP129" i="4"/>
  <c r="BV130" i="4"/>
  <c r="BX130" i="4" s="1"/>
  <c r="BV131" i="4" l="1"/>
  <c r="BX131" i="4" s="1"/>
  <c r="BY130" i="4"/>
  <c r="CO130" i="4" s="1"/>
  <c r="CK130" i="4"/>
  <c r="CL130" i="4" s="1"/>
  <c r="CQ129" i="4"/>
  <c r="G148" i="4" s="1"/>
  <c r="CC142" i="4"/>
  <c r="BZ142" i="4"/>
  <c r="CB142" i="4" s="1"/>
  <c r="CH131" i="4"/>
  <c r="CI131" i="4" s="1"/>
  <c r="CJ131" i="4" s="1"/>
  <c r="CF132" i="4" s="1"/>
  <c r="BR132" i="4" l="1"/>
  <c r="BS144" i="4" s="1"/>
  <c r="BT156" i="4" s="1"/>
  <c r="CM130" i="4"/>
  <c r="CN130" i="4" s="1"/>
  <c r="F149" i="4" s="1"/>
  <c r="CP130" i="4"/>
  <c r="CG132" i="4"/>
  <c r="CH132" i="4" s="1"/>
  <c r="CI132" i="4" s="1"/>
  <c r="CJ132" i="4" s="1"/>
  <c r="CF133" i="4" s="1"/>
  <c r="BY131" i="4"/>
  <c r="CO131" i="4" s="1"/>
  <c r="CK131" i="4"/>
  <c r="CL131" i="4" s="1"/>
  <c r="CC143" i="4"/>
  <c r="BZ143" i="4"/>
  <c r="CB143" i="4" s="1"/>
  <c r="BV132" i="4" l="1"/>
  <c r="BX132" i="4" s="1"/>
  <c r="BY132" i="4" s="1"/>
  <c r="CO132" i="4" s="1"/>
  <c r="CQ130" i="4"/>
  <c r="G149" i="4" s="1"/>
  <c r="CG133" i="4"/>
  <c r="CM131" i="4"/>
  <c r="CN131" i="4" s="1"/>
  <c r="F150" i="4" s="1"/>
  <c r="CP131" i="4"/>
  <c r="BR133" i="4"/>
  <c r="BS145" i="4" s="1"/>
  <c r="BT157" i="4" s="1"/>
  <c r="CK132" i="4" l="1"/>
  <c r="CL132" i="4" s="1"/>
  <c r="CM132" i="4" s="1"/>
  <c r="CN132" i="4" s="1"/>
  <c r="F151" i="4" s="1"/>
  <c r="BZ144" i="4"/>
  <c r="CB144" i="4" s="1"/>
  <c r="CC144" i="4"/>
  <c r="BV133" i="4"/>
  <c r="BX133" i="4" s="1"/>
  <c r="CQ131" i="4"/>
  <c r="G150" i="4" s="1"/>
  <c r="CH133" i="4"/>
  <c r="CI133" i="4" s="1"/>
  <c r="CJ133" i="4" s="1"/>
  <c r="CF134" i="4" s="1"/>
  <c r="CP132" i="4" l="1"/>
  <c r="CQ132" i="4" s="1"/>
  <c r="G151" i="4" s="1"/>
  <c r="CG134" i="4"/>
  <c r="BR134" i="4"/>
  <c r="BS146" i="4" s="1"/>
  <c r="BT158" i="4" s="1"/>
  <c r="CC145" i="4"/>
  <c r="BZ145" i="4"/>
  <c r="CB145" i="4" s="1"/>
  <c r="BY133" i="4"/>
  <c r="CO133" i="4" s="1"/>
  <c r="CK133" i="4"/>
  <c r="CL133" i="4" s="1"/>
  <c r="CI162" i="4"/>
  <c r="CJ162" i="4" s="1"/>
  <c r="BV134" i="4" l="1"/>
  <c r="BX134" i="4" s="1"/>
  <c r="CM133" i="4"/>
  <c r="CN133" i="4" s="1"/>
  <c r="F152" i="4" s="1"/>
  <c r="CP133" i="4"/>
  <c r="CH134" i="4"/>
  <c r="CI134" i="4" s="1"/>
  <c r="CJ134" i="4" s="1"/>
  <c r="CF135" i="4" s="1"/>
  <c r="CG135" i="4" l="1"/>
  <c r="CQ133" i="4"/>
  <c r="G152" i="4" s="1"/>
  <c r="BR135" i="4"/>
  <c r="BS147" i="4" s="1"/>
  <c r="BT159" i="4" s="1"/>
  <c r="CC146" i="4"/>
  <c r="BZ146" i="4"/>
  <c r="CB146" i="4" s="1"/>
  <c r="BY134" i="4"/>
  <c r="CO134" i="4" s="1"/>
  <c r="CK134" i="4"/>
  <c r="CL134" i="4" s="1"/>
  <c r="BV135" i="4" l="1"/>
  <c r="BX135" i="4" s="1"/>
  <c r="CM134" i="4"/>
  <c r="CN134" i="4" s="1"/>
  <c r="F153" i="4" s="1"/>
  <c r="CP134" i="4"/>
  <c r="CH135" i="4"/>
  <c r="CI135" i="4" s="1"/>
  <c r="CJ135" i="4" s="1"/>
  <c r="CF136" i="4" s="1"/>
  <c r="CG136" i="4" l="1"/>
  <c r="CQ134" i="4"/>
  <c r="G153" i="4" s="1"/>
  <c r="BR136" i="4"/>
  <c r="BS148" i="4" s="1"/>
  <c r="BT160" i="4" s="1"/>
  <c r="CC147" i="4"/>
  <c r="BZ147" i="4"/>
  <c r="CB147" i="4" s="1"/>
  <c r="BY135" i="4"/>
  <c r="CO135" i="4" s="1"/>
  <c r="CK135" i="4"/>
  <c r="CL135" i="4" s="1"/>
  <c r="BV136" i="4" l="1"/>
  <c r="BX136" i="4" s="1"/>
  <c r="CM135" i="4"/>
  <c r="CN135" i="4" s="1"/>
  <c r="F154" i="4" s="1"/>
  <c r="CP135" i="4"/>
  <c r="CH136" i="4"/>
  <c r="CI136" i="4" s="1"/>
  <c r="CJ136" i="4" s="1"/>
  <c r="CF137" i="4" s="1"/>
  <c r="CG137" i="4" l="1"/>
  <c r="CQ135" i="4"/>
  <c r="G154" i="4" s="1"/>
  <c r="BY136" i="4"/>
  <c r="CO136" i="4" s="1"/>
  <c r="CK136" i="4"/>
  <c r="CL136" i="4" s="1"/>
  <c r="CC148" i="4"/>
  <c r="BZ148" i="4"/>
  <c r="CB148" i="4" s="1"/>
  <c r="BR137" i="4"/>
  <c r="BS149" i="4" s="1"/>
  <c r="BT161" i="4" s="1"/>
  <c r="CM136" i="4" l="1"/>
  <c r="CN136" i="4" s="1"/>
  <c r="F155" i="4" s="1"/>
  <c r="CP136" i="4"/>
  <c r="BV137" i="4"/>
  <c r="BX137" i="4" s="1"/>
  <c r="CH137" i="4"/>
  <c r="CI137" i="4" s="1"/>
  <c r="CJ137" i="4" s="1"/>
  <c r="CQ136" i="4" l="1"/>
  <c r="G155" i="4" s="1"/>
  <c r="CC149" i="4"/>
  <c r="BZ149" i="4"/>
  <c r="CB149" i="4" s="1"/>
  <c r="BY137" i="4"/>
  <c r="CO137" i="4" s="1"/>
  <c r="CK137" i="4"/>
  <c r="CL137" i="4" s="1"/>
  <c r="BR138" i="4"/>
  <c r="BS150" i="4" s="1"/>
  <c r="BT162" i="4" s="1"/>
  <c r="BV138" i="4" l="1"/>
  <c r="BX138" i="4" s="1"/>
  <c r="CE138" i="4" s="1"/>
  <c r="CM137" i="4"/>
  <c r="CN137" i="4" s="1"/>
  <c r="F156" i="4" s="1"/>
  <c r="CP137" i="4"/>
  <c r="CQ137" i="4" l="1"/>
  <c r="G156" i="4" s="1"/>
  <c r="BY138" i="4"/>
  <c r="CO138" i="4" s="1"/>
  <c r="CK138" i="4"/>
  <c r="CL138" i="4" s="1"/>
  <c r="CF138" i="4"/>
  <c r="CG138" i="4" s="1"/>
  <c r="CH138" i="4" s="1"/>
  <c r="CC150" i="4"/>
  <c r="BZ150" i="4"/>
  <c r="CB150" i="4" s="1"/>
  <c r="CI138" i="4" l="1"/>
  <c r="BR139" i="4" s="1"/>
  <c r="BS151" i="4" s="1"/>
  <c r="CM138" i="4"/>
  <c r="CN138" i="4" s="1"/>
  <c r="F17" i="4" s="1"/>
  <c r="P34" i="4" s="1"/>
  <c r="CP138" i="4"/>
  <c r="CJ138" i="4" l="1"/>
  <c r="CF139" i="4" s="1"/>
  <c r="F157" i="4"/>
  <c r="F31" i="4"/>
  <c r="P31" i="4" s="1"/>
  <c r="CQ138" i="4"/>
  <c r="G17" i="4" s="1"/>
  <c r="Q34" i="4" s="1"/>
  <c r="CG139" i="4"/>
  <c r="BV139" i="4"/>
  <c r="BX139" i="4" s="1"/>
  <c r="BY139" i="4" l="1"/>
  <c r="CO139" i="4" s="1"/>
  <c r="CK139" i="4"/>
  <c r="CL139" i="4" s="1"/>
  <c r="CC151" i="4"/>
  <c r="BZ151" i="4"/>
  <c r="CB151" i="4" s="1"/>
  <c r="CH139" i="4"/>
  <c r="CI139" i="4" s="1"/>
  <c r="CJ139" i="4" s="1"/>
  <c r="CF140" i="4" s="1"/>
  <c r="G157" i="4"/>
  <c r="G31" i="4"/>
  <c r="Q31" i="4" s="1"/>
  <c r="CG140" i="4" l="1"/>
  <c r="BR140" i="4"/>
  <c r="BS152" i="4" s="1"/>
  <c r="CM139" i="4"/>
  <c r="CN139" i="4" s="1"/>
  <c r="F158" i="4" s="1"/>
  <c r="CP139" i="4"/>
  <c r="CQ139" i="4" l="1"/>
  <c r="G158" i="4" s="1"/>
  <c r="BV140" i="4"/>
  <c r="BX140" i="4" s="1"/>
  <c r="CH140" i="4"/>
  <c r="CI140" i="4" s="1"/>
  <c r="CJ140" i="4" s="1"/>
  <c r="CF141" i="4" s="1"/>
  <c r="BR141" i="4" l="1"/>
  <c r="BS153" i="4" s="1"/>
  <c r="CC152" i="4"/>
  <c r="BZ152" i="4"/>
  <c r="CB152" i="4" s="1"/>
  <c r="CG141" i="4"/>
  <c r="BY140" i="4"/>
  <c r="CO140" i="4" s="1"/>
  <c r="CK140" i="4"/>
  <c r="CL140" i="4" s="1"/>
  <c r="CM140" i="4" l="1"/>
  <c r="CN140" i="4" s="1"/>
  <c r="F159" i="4" s="1"/>
  <c r="CP140" i="4"/>
  <c r="CH141" i="4"/>
  <c r="CI141" i="4" s="1"/>
  <c r="CJ141" i="4" s="1"/>
  <c r="CF142" i="4" s="1"/>
  <c r="BV141" i="4"/>
  <c r="BX141" i="4" s="1"/>
  <c r="CQ140" i="4" l="1"/>
  <c r="G159" i="4" s="1"/>
  <c r="CC153" i="4"/>
  <c r="BZ153" i="4"/>
  <c r="CB153" i="4" s="1"/>
  <c r="BR142" i="4"/>
  <c r="BS154" i="4" s="1"/>
  <c r="CG142" i="4"/>
  <c r="BY141" i="4"/>
  <c r="CO141" i="4" s="1"/>
  <c r="CK141" i="4"/>
  <c r="CL141" i="4" s="1"/>
  <c r="CM141" i="4" l="1"/>
  <c r="CN141" i="4" s="1"/>
  <c r="F160" i="4" s="1"/>
  <c r="CP141" i="4"/>
  <c r="CH142" i="4"/>
  <c r="CI142" i="4" s="1"/>
  <c r="CJ142" i="4" s="1"/>
  <c r="CF143" i="4" s="1"/>
  <c r="BV142" i="4"/>
  <c r="BX142" i="4" s="1"/>
  <c r="CQ141" i="4" l="1"/>
  <c r="G160" i="4" s="1"/>
  <c r="CC154" i="4"/>
  <c r="BZ154" i="4"/>
  <c r="CB154" i="4" s="1"/>
  <c r="BY142" i="4"/>
  <c r="CO142" i="4" s="1"/>
  <c r="CK142" i="4"/>
  <c r="CL142" i="4" s="1"/>
  <c r="CG143" i="4"/>
  <c r="BR143" i="4"/>
  <c r="BS155" i="4" s="1"/>
  <c r="CM142" i="4" l="1"/>
  <c r="CN142" i="4" s="1"/>
  <c r="F161" i="4" s="1"/>
  <c r="CP142" i="4"/>
  <c r="BV143" i="4"/>
  <c r="BX143" i="4" s="1"/>
  <c r="CH143" i="4"/>
  <c r="CI143" i="4" s="1"/>
  <c r="CJ143" i="4" s="1"/>
  <c r="CF144" i="4" s="1"/>
  <c r="CQ142" i="4" l="1"/>
  <c r="G161" i="4" s="1"/>
  <c r="CG144" i="4"/>
  <c r="BY143" i="4"/>
  <c r="CO143" i="4" s="1"/>
  <c r="CK143" i="4"/>
  <c r="CL143" i="4" s="1"/>
  <c r="BR144" i="4"/>
  <c r="BS156" i="4" s="1"/>
  <c r="CC155" i="4"/>
  <c r="BZ155" i="4"/>
  <c r="CB155" i="4" s="1"/>
  <c r="CM143" i="4" l="1"/>
  <c r="CN143" i="4" s="1"/>
  <c r="F162" i="4" s="1"/>
  <c r="CP143" i="4"/>
  <c r="BV144" i="4"/>
  <c r="BX144" i="4" s="1"/>
  <c r="CH144" i="4"/>
  <c r="CI144" i="4" s="1"/>
  <c r="CJ144" i="4" s="1"/>
  <c r="CF145" i="4" s="1"/>
  <c r="CQ143" i="4" l="1"/>
  <c r="G162" i="4" s="1"/>
  <c r="CG145" i="4"/>
  <c r="BR145" i="4"/>
  <c r="BS157" i="4" s="1"/>
  <c r="CC156" i="4"/>
  <c r="BZ156" i="4"/>
  <c r="CB156" i="4" s="1"/>
  <c r="BY144" i="4"/>
  <c r="CO144" i="4" s="1"/>
  <c r="CK144" i="4"/>
  <c r="CL144" i="4" s="1"/>
  <c r="CM144" i="4" l="1"/>
  <c r="CN144" i="4" s="1"/>
  <c r="F163" i="4" s="1"/>
  <c r="CP144" i="4"/>
  <c r="BV145" i="4"/>
  <c r="BX145" i="4" s="1"/>
  <c r="CH145" i="4"/>
  <c r="CI145" i="4" s="1"/>
  <c r="CJ145" i="4" s="1"/>
  <c r="CF146" i="4" s="1"/>
  <c r="CQ144" i="4" l="1"/>
  <c r="G163" i="4" s="1"/>
  <c r="BY145" i="4"/>
  <c r="CO145" i="4" s="1"/>
  <c r="CK145" i="4"/>
  <c r="CL145" i="4" s="1"/>
  <c r="CG146" i="4"/>
  <c r="CC157" i="4"/>
  <c r="BZ157" i="4"/>
  <c r="CB157" i="4" s="1"/>
  <c r="BR146" i="4"/>
  <c r="BS158" i="4" s="1"/>
  <c r="BV146" i="4" l="1"/>
  <c r="BX146" i="4" s="1"/>
  <c r="CH146" i="4"/>
  <c r="CI146" i="4" s="1"/>
  <c r="CJ146" i="4" s="1"/>
  <c r="CF147" i="4" s="1"/>
  <c r="CM145" i="4"/>
  <c r="CN145" i="4" s="1"/>
  <c r="F164" i="4" s="1"/>
  <c r="CP145" i="4"/>
  <c r="CQ145" i="4" l="1"/>
  <c r="G164" i="4" s="1"/>
  <c r="CG147" i="4"/>
  <c r="BR147" i="4"/>
  <c r="BS159" i="4" s="1"/>
  <c r="BY146" i="4"/>
  <c r="CO146" i="4" s="1"/>
  <c r="CK146" i="4"/>
  <c r="CL146" i="4" s="1"/>
  <c r="CC158" i="4"/>
  <c r="BZ158" i="4"/>
  <c r="CB158" i="4" s="1"/>
  <c r="CM146" i="4" l="1"/>
  <c r="CN146" i="4" s="1"/>
  <c r="F165" i="4" s="1"/>
  <c r="CP146" i="4"/>
  <c r="BV147" i="4"/>
  <c r="BX147" i="4" s="1"/>
  <c r="CH147" i="4"/>
  <c r="CI147" i="4" s="1"/>
  <c r="CJ147" i="4" s="1"/>
  <c r="CF148" i="4" s="1"/>
  <c r="BY147" i="4" l="1"/>
  <c r="CO147" i="4" s="1"/>
  <c r="CK147" i="4"/>
  <c r="CL147" i="4" s="1"/>
  <c r="BR148" i="4"/>
  <c r="BS160" i="4" s="1"/>
  <c r="CQ146" i="4"/>
  <c r="G165" i="4" s="1"/>
  <c r="CG148" i="4"/>
  <c r="CC159" i="4"/>
  <c r="BZ159" i="4"/>
  <c r="CB159" i="4" s="1"/>
  <c r="BV148" i="4" l="1"/>
  <c r="BX148" i="4" s="1"/>
  <c r="CH148" i="4"/>
  <c r="CI148" i="4" s="1"/>
  <c r="CJ148" i="4" s="1"/>
  <c r="CF149" i="4" s="1"/>
  <c r="CM147" i="4"/>
  <c r="CN147" i="4" s="1"/>
  <c r="F166" i="4" s="1"/>
  <c r="CP147" i="4"/>
  <c r="CQ147" i="4" l="1"/>
  <c r="G166" i="4" s="1"/>
  <c r="CG149" i="4"/>
  <c r="CH149" i="4" s="1"/>
  <c r="CI149" i="4" s="1"/>
  <c r="CJ149" i="4" s="1"/>
  <c r="BY148" i="4"/>
  <c r="CO148" i="4" s="1"/>
  <c r="CK148" i="4"/>
  <c r="CL148" i="4" s="1"/>
  <c r="CC160" i="4"/>
  <c r="BZ160" i="4"/>
  <c r="CB160" i="4" s="1"/>
  <c r="BR149" i="4"/>
  <c r="BS161" i="4" s="1"/>
  <c r="BV149" i="4" l="1"/>
  <c r="BX149" i="4" s="1"/>
  <c r="CM148" i="4"/>
  <c r="CN148" i="4" s="1"/>
  <c r="F167" i="4" s="1"/>
  <c r="CP148" i="4"/>
  <c r="BR150" i="4"/>
  <c r="BS162" i="4" s="1"/>
  <c r="BV150" i="4" l="1"/>
  <c r="BX150" i="4" s="1"/>
  <c r="CE150" i="4" s="1"/>
  <c r="CQ148" i="4"/>
  <c r="G167" i="4" s="1"/>
  <c r="CC161" i="4"/>
  <c r="BZ161" i="4"/>
  <c r="CB161" i="4" s="1"/>
  <c r="BY149" i="4"/>
  <c r="CO149" i="4" s="1"/>
  <c r="CK149" i="4"/>
  <c r="CL149" i="4" s="1"/>
  <c r="CM149" i="4" l="1"/>
  <c r="CN149" i="4" s="1"/>
  <c r="F168" i="4" s="1"/>
  <c r="CP149" i="4"/>
  <c r="CC162" i="4"/>
  <c r="BZ162" i="4"/>
  <c r="CB162" i="4" s="1"/>
  <c r="BY150" i="4"/>
  <c r="CO150" i="4" s="1"/>
  <c r="CF150" i="4"/>
  <c r="CG150" i="4" s="1"/>
  <c r="CH150" i="4" s="1"/>
  <c r="CK150" i="4"/>
  <c r="CL150" i="4" s="1"/>
  <c r="CQ149" i="4" l="1"/>
  <c r="G168" i="4" s="1"/>
  <c r="CI150" i="4"/>
  <c r="BR151" i="4" s="1"/>
  <c r="BV151" i="4" s="1"/>
  <c r="BX151" i="4" s="1"/>
  <c r="CM150" i="4"/>
  <c r="CP150" i="4"/>
  <c r="CQ150" i="4" l="1"/>
  <c r="G169" i="4" s="1"/>
  <c r="CJ150" i="4"/>
  <c r="CF151" i="4" s="1"/>
  <c r="G32" i="4"/>
  <c r="Q32" i="4" s="1"/>
  <c r="CN150" i="4"/>
  <c r="CG151" i="4"/>
  <c r="BY151" i="4"/>
  <c r="CO151" i="4" s="1"/>
  <c r="CK151" i="4" l="1"/>
  <c r="CH151" i="4"/>
  <c r="CI151" i="4" s="1"/>
  <c r="CJ151" i="4" s="1"/>
  <c r="CF152" i="4" s="1"/>
  <c r="F169" i="4"/>
  <c r="F32" i="4"/>
  <c r="P32" i="4" s="1"/>
  <c r="CL151" i="4" l="1"/>
  <c r="CM151" i="4" s="1"/>
  <c r="CN151" i="4" s="1"/>
  <c r="F170" i="4" s="1"/>
  <c r="CP151" i="4"/>
  <c r="BR152" i="4"/>
  <c r="BV152" i="4" s="1"/>
  <c r="BX152" i="4" s="1"/>
  <c r="CG152" i="4"/>
  <c r="CQ151" i="4" l="1"/>
  <c r="G170" i="4" s="1"/>
  <c r="CH152" i="4"/>
  <c r="CI152" i="4" s="1"/>
  <c r="CJ152" i="4" s="1"/>
  <c r="CF153" i="4" s="1"/>
  <c r="BY152" i="4"/>
  <c r="CO152" i="4" s="1"/>
  <c r="CK152" i="4"/>
  <c r="CL152" i="4" s="1"/>
  <c r="CM152" i="4" l="1"/>
  <c r="CN152" i="4" s="1"/>
  <c r="F171" i="4" s="1"/>
  <c r="CP152" i="4"/>
  <c r="CG153" i="4"/>
  <c r="BR153" i="4"/>
  <c r="BV153" i="4" s="1"/>
  <c r="BX153" i="4" s="1"/>
  <c r="CQ152" i="4" l="1"/>
  <c r="G171" i="4" s="1"/>
  <c r="BY153" i="4"/>
  <c r="CO153" i="4" s="1"/>
  <c r="CK153" i="4"/>
  <c r="CL153" i="4" s="1"/>
  <c r="CH153" i="4"/>
  <c r="CI153" i="4" s="1"/>
  <c r="CJ153" i="4" s="1"/>
  <c r="CF154" i="4" s="1"/>
  <c r="CG154" i="4" l="1"/>
  <c r="CM153" i="4"/>
  <c r="CN153" i="4" s="1"/>
  <c r="F172" i="4" s="1"/>
  <c r="CP153" i="4"/>
  <c r="BR154" i="4"/>
  <c r="BV154" i="4" s="1"/>
  <c r="BX154" i="4" s="1"/>
  <c r="CQ153" i="4" l="1"/>
  <c r="G172" i="4" s="1"/>
  <c r="BY154" i="4"/>
  <c r="CO154" i="4" s="1"/>
  <c r="CK154" i="4"/>
  <c r="CL154" i="4" s="1"/>
  <c r="CH154" i="4"/>
  <c r="CI154" i="4" s="1"/>
  <c r="CJ154" i="4" s="1"/>
  <c r="CF155" i="4" s="1"/>
  <c r="BR155" i="4" l="1"/>
  <c r="BV155" i="4" s="1"/>
  <c r="BX155" i="4" s="1"/>
  <c r="CM154" i="4"/>
  <c r="CN154" i="4" s="1"/>
  <c r="F173" i="4" s="1"/>
  <c r="CP154" i="4"/>
  <c r="CG155" i="4"/>
  <c r="CQ154" i="4" l="1"/>
  <c r="G173" i="4" s="1"/>
  <c r="CH155" i="4"/>
  <c r="CI155" i="4" s="1"/>
  <c r="CJ155" i="4" s="1"/>
  <c r="CF156" i="4" s="1"/>
  <c r="BY155" i="4"/>
  <c r="CO155" i="4" s="1"/>
  <c r="CK155" i="4"/>
  <c r="CL155" i="4" s="1"/>
  <c r="CM155" i="4" l="1"/>
  <c r="CN155" i="4" s="1"/>
  <c r="F174" i="4" s="1"/>
  <c r="CP155" i="4"/>
  <c r="CG156" i="4"/>
  <c r="CH156" i="4" s="1"/>
  <c r="CI156" i="4" s="1"/>
  <c r="CJ156" i="4" s="1"/>
  <c r="CF157" i="4" s="1"/>
  <c r="BR156" i="4"/>
  <c r="BV156" i="4" s="1"/>
  <c r="BX156" i="4" s="1"/>
  <c r="CQ155" i="4" l="1"/>
  <c r="G174" i="4" s="1"/>
  <c r="CG157" i="4"/>
  <c r="BY156" i="4"/>
  <c r="CO156" i="4" s="1"/>
  <c r="CK156" i="4"/>
  <c r="CL156" i="4" s="1"/>
  <c r="BR157" i="4"/>
  <c r="BV157" i="4" s="1"/>
  <c r="BX157" i="4" s="1"/>
  <c r="CM156" i="4" l="1"/>
  <c r="CN156" i="4" s="1"/>
  <c r="F175" i="4" s="1"/>
  <c r="CP156" i="4"/>
  <c r="BY157" i="4"/>
  <c r="CO157" i="4" s="1"/>
  <c r="CK157" i="4"/>
  <c r="CL157" i="4" s="1"/>
  <c r="CH157" i="4"/>
  <c r="CI157" i="4" s="1"/>
  <c r="CJ157" i="4" s="1"/>
  <c r="CF158" i="4" s="1"/>
  <c r="CQ156" i="4" l="1"/>
  <c r="G175" i="4" s="1"/>
  <c r="CG158" i="4"/>
  <c r="BR158" i="4"/>
  <c r="BV158" i="4" s="1"/>
  <c r="BX158" i="4" s="1"/>
  <c r="CM157" i="4"/>
  <c r="CN157" i="4" s="1"/>
  <c r="F176" i="4" s="1"/>
  <c r="CP157" i="4"/>
  <c r="CQ157" i="4" l="1"/>
  <c r="G176" i="4" s="1"/>
  <c r="BY158" i="4"/>
  <c r="CO158" i="4" s="1"/>
  <c r="CK158" i="4"/>
  <c r="CL158" i="4" s="1"/>
  <c r="CH158" i="4"/>
  <c r="CI158" i="4" s="1"/>
  <c r="CJ158" i="4" s="1"/>
  <c r="CF159" i="4" s="1"/>
  <c r="BR159" i="4" l="1"/>
  <c r="BV159" i="4" s="1"/>
  <c r="BX159" i="4" s="1"/>
  <c r="CM158" i="4"/>
  <c r="CN158" i="4" s="1"/>
  <c r="F177" i="4" s="1"/>
  <c r="CP158" i="4"/>
  <c r="CG159" i="4"/>
  <c r="CQ158" i="4" l="1"/>
  <c r="G177" i="4" s="1"/>
  <c r="CH159" i="4"/>
  <c r="CI159" i="4" s="1"/>
  <c r="CJ159" i="4" s="1"/>
  <c r="CF160" i="4" s="1"/>
  <c r="BY159" i="4"/>
  <c r="CO159" i="4" s="1"/>
  <c r="CK159" i="4"/>
  <c r="CL159" i="4" s="1"/>
  <c r="CM159" i="4" l="1"/>
  <c r="CN159" i="4" s="1"/>
  <c r="F178" i="4" s="1"/>
  <c r="CP159" i="4"/>
  <c r="CG160" i="4"/>
  <c r="CH160" i="4" s="1"/>
  <c r="CI160" i="4" s="1"/>
  <c r="CJ160" i="4" s="1"/>
  <c r="CF161" i="4" s="1"/>
  <c r="BR160" i="4"/>
  <c r="BV160" i="4" s="1"/>
  <c r="BX160" i="4" s="1"/>
  <c r="CQ159" i="4" l="1"/>
  <c r="G178" i="4" s="1"/>
  <c r="CG161" i="4"/>
  <c r="BR161" i="4"/>
  <c r="BV161" i="4" s="1"/>
  <c r="BX161" i="4" s="1"/>
  <c r="BY160" i="4"/>
  <c r="CO160" i="4" s="1"/>
  <c r="CK160" i="4"/>
  <c r="CL160" i="4" s="1"/>
  <c r="CM160" i="4" l="1"/>
  <c r="CN160" i="4" s="1"/>
  <c r="F179" i="4" s="1"/>
  <c r="CP160" i="4"/>
  <c r="BY161" i="4"/>
  <c r="CO161" i="4" s="1"/>
  <c r="CK161" i="4"/>
  <c r="CL161" i="4" s="1"/>
  <c r="CH161" i="4"/>
  <c r="CI161" i="4" s="1"/>
  <c r="CJ161" i="4" s="1"/>
  <c r="CQ160" i="4" l="1"/>
  <c r="G179" i="4" s="1"/>
  <c r="BR162" i="4"/>
  <c r="BV162" i="4" s="1"/>
  <c r="BX162" i="4" s="1"/>
  <c r="CM161" i="4"/>
  <c r="CN161" i="4" s="1"/>
  <c r="F180" i="4" s="1"/>
  <c r="CP161" i="4"/>
  <c r="CQ161" i="4" l="1"/>
  <c r="G180" i="4" s="1"/>
  <c r="BY162" i="4"/>
  <c r="CO162" i="4" s="1"/>
  <c r="CK162" i="4"/>
  <c r="CL162" i="4" s="1"/>
  <c r="CM162" i="4" l="1"/>
  <c r="CP162" i="4"/>
  <c r="CQ162" i="4" l="1"/>
  <c r="G181" i="4" s="1"/>
  <c r="G33" i="4"/>
  <c r="Q33" i="4" s="1"/>
  <c r="CN162" i="4"/>
  <c r="F181" i="4" l="1"/>
  <c r="F33" i="4"/>
  <c r="P33" i="4" s="1"/>
  <c r="AW150" i="4"/>
  <c r="AW144" i="4"/>
  <c r="AW138" i="4"/>
  <c r="AW132" i="4"/>
  <c r="AW120" i="4"/>
  <c r="AK151" i="4"/>
  <c r="AW114" i="4"/>
  <c r="AK139" i="4"/>
  <c r="AW102" i="4"/>
  <c r="AW96" i="4"/>
  <c r="AK127" i="4"/>
  <c r="AK121" i="4"/>
  <c r="AK115" i="4"/>
  <c r="AW78" i="4"/>
  <c r="AW72" i="4"/>
  <c r="AK103" i="4"/>
  <c r="AW66" i="4"/>
  <c r="AW60" i="4"/>
  <c r="AK91" i="4"/>
  <c r="AW48" i="4"/>
  <c r="AK79" i="4"/>
  <c r="AW42" i="4"/>
  <c r="AK77" i="4"/>
  <c r="AK76" i="4"/>
  <c r="AK75" i="4"/>
  <c r="AK74" i="4"/>
  <c r="AK73" i="4"/>
  <c r="AK72" i="4"/>
  <c r="AK71" i="4"/>
  <c r="AK70" i="4"/>
  <c r="AK68" i="4"/>
  <c r="AK69" i="4"/>
  <c r="AK67" i="4"/>
  <c r="AW31" i="4"/>
  <c r="AW32" i="4"/>
  <c r="AW30" i="4"/>
  <c r="AH31" i="4"/>
  <c r="AH32" i="4" s="1"/>
  <c r="AV30" i="4"/>
  <c r="AX30" i="4" l="1"/>
  <c r="AY30" i="4" s="1"/>
  <c r="AZ30" i="4" s="1"/>
  <c r="AL31" i="4"/>
  <c r="AN31" i="4" s="1"/>
  <c r="AO31" i="4" s="1"/>
  <c r="BE31" i="4" s="1"/>
  <c r="AH33" i="4"/>
  <c r="AI44" i="4"/>
  <c r="AL32" i="4"/>
  <c r="AN32" i="4" s="1"/>
  <c r="AI43" i="4"/>
  <c r="AV31" i="4" l="1"/>
  <c r="AX31" i="4" s="1"/>
  <c r="BA31" i="4"/>
  <c r="AJ55" i="4"/>
  <c r="AP43" i="4"/>
  <c r="AR43" i="4" s="1"/>
  <c r="AS43" i="4"/>
  <c r="AO32" i="4"/>
  <c r="BE32" i="4" s="1"/>
  <c r="AS44" i="4"/>
  <c r="AJ56" i="4"/>
  <c r="AP44" i="4"/>
  <c r="AR44" i="4" s="1"/>
  <c r="AI45" i="4"/>
  <c r="AL33" i="4"/>
  <c r="AN33" i="4" s="1"/>
  <c r="AO33" i="4" s="1"/>
  <c r="BE33" i="4" s="1"/>
  <c r="AS45" i="4" l="1"/>
  <c r="AP45" i="4"/>
  <c r="AR45" i="4" s="1"/>
  <c r="AJ57" i="4"/>
  <c r="BB31" i="4"/>
  <c r="BC31" i="4" s="1"/>
  <c r="BD31" i="4" s="1"/>
  <c r="D50" i="4" s="1"/>
  <c r="BF31" i="4"/>
  <c r="AY31" i="4"/>
  <c r="AZ31" i="4" s="1"/>
  <c r="AV32" i="4" l="1"/>
  <c r="AX32" i="4" s="1"/>
  <c r="BA32" i="4"/>
  <c r="BG31" i="4"/>
  <c r="E50" i="4" s="1"/>
  <c r="BF32" i="4" l="1"/>
  <c r="BB32" i="4"/>
  <c r="BC32" i="4" s="1"/>
  <c r="AY32" i="4"/>
  <c r="AZ32" i="4" s="1"/>
  <c r="BG32" i="4" l="1"/>
  <c r="E51" i="4" s="1"/>
  <c r="BA33" i="4"/>
  <c r="BD32" i="4"/>
  <c r="D51" i="4" s="1"/>
  <c r="BF33" i="4" l="1"/>
  <c r="BB33" i="4"/>
  <c r="BC33" i="4" s="1"/>
  <c r="BG33" i="4" l="1"/>
  <c r="E52" i="4" s="1"/>
  <c r="BD33" i="4"/>
  <c r="D52" i="4" s="1"/>
  <c r="AW36" i="4"/>
  <c r="AW35" i="4"/>
  <c r="AW38" i="4"/>
  <c r="AW33" i="4"/>
  <c r="AW37" i="4"/>
  <c r="AW39" i="4"/>
  <c r="AW34" i="4"/>
  <c r="AW40" i="4"/>
  <c r="AH34" i="4"/>
  <c r="AH35" i="4" s="1"/>
  <c r="AI47" i="4" s="1"/>
  <c r="AS47" i="4" s="1"/>
  <c r="AV33" i="4"/>
  <c r="AL34" i="4" l="1"/>
  <c r="AN34" i="4" s="1"/>
  <c r="AO34" i="4" s="1"/>
  <c r="BE34" i="4" s="1"/>
  <c r="AX33" i="4"/>
  <c r="AY33" i="4" s="1"/>
  <c r="AZ33" i="4" s="1"/>
  <c r="AV34" i="4" s="1"/>
  <c r="AX34" i="4" s="1"/>
  <c r="AY34" i="4" s="1"/>
  <c r="AZ34" i="4" s="1"/>
  <c r="AV35" i="4" s="1"/>
  <c r="AX35" i="4" s="1"/>
  <c r="AH36" i="4"/>
  <c r="AI48" i="4" s="1"/>
  <c r="AI46" i="4"/>
  <c r="AS46" i="4" s="1"/>
  <c r="AJ59" i="4"/>
  <c r="AP47" i="4"/>
  <c r="AR47" i="4" s="1"/>
  <c r="AL35" i="4"/>
  <c r="AN35" i="4" s="1"/>
  <c r="BA34" i="4" l="1"/>
  <c r="BF34" i="4" s="1"/>
  <c r="BA35" i="4"/>
  <c r="BB35" i="4" s="1"/>
  <c r="AJ58" i="4"/>
  <c r="AP46" i="4"/>
  <c r="AR46" i="4" s="1"/>
  <c r="AH37" i="4"/>
  <c r="AL36" i="4"/>
  <c r="AN36" i="4" s="1"/>
  <c r="AO36" i="4" s="1"/>
  <c r="BE36" i="4" s="1"/>
  <c r="AY35" i="4"/>
  <c r="AZ35" i="4" s="1"/>
  <c r="BB34" i="4"/>
  <c r="BC34" i="4" s="1"/>
  <c r="BD34" i="4" s="1"/>
  <c r="D53" i="4" s="1"/>
  <c r="AO35" i="4"/>
  <c r="BE35" i="4" s="1"/>
  <c r="AS48" i="4"/>
  <c r="AJ60" i="4"/>
  <c r="AP48" i="4"/>
  <c r="AR48" i="4" s="1"/>
  <c r="BF35" i="4" l="1"/>
  <c r="AH38" i="4"/>
  <c r="AL37" i="4"/>
  <c r="AN37" i="4" s="1"/>
  <c r="AO37" i="4" s="1"/>
  <c r="BE37" i="4" s="1"/>
  <c r="AI49" i="4"/>
  <c r="BG34" i="4"/>
  <c r="E53" i="4" s="1"/>
  <c r="BC35" i="4"/>
  <c r="AV36" i="4"/>
  <c r="AX36" i="4" s="1"/>
  <c r="BA36" i="4"/>
  <c r="AP49" i="4" l="1"/>
  <c r="AR49" i="4" s="1"/>
  <c r="AS49" i="4"/>
  <c r="AJ61" i="4"/>
  <c r="AI50" i="4"/>
  <c r="AH39" i="4"/>
  <c r="AL38" i="4"/>
  <c r="AN38" i="4" s="1"/>
  <c r="AO38" i="4" s="1"/>
  <c r="BE38" i="4" s="1"/>
  <c r="BD35" i="4"/>
  <c r="D54" i="4" s="1"/>
  <c r="BG35" i="4"/>
  <c r="E54" i="4" s="1"/>
  <c r="BF36" i="4"/>
  <c r="BB36" i="4"/>
  <c r="BC36" i="4" s="1"/>
  <c r="BD36" i="4" s="1"/>
  <c r="D55" i="4" s="1"/>
  <c r="AY36" i="4"/>
  <c r="AZ36" i="4" s="1"/>
  <c r="AH40" i="4" l="1"/>
  <c r="AL39" i="4"/>
  <c r="AN39" i="4" s="1"/>
  <c r="AO39" i="4" s="1"/>
  <c r="BE39" i="4" s="1"/>
  <c r="AI51" i="4"/>
  <c r="AJ62" i="4"/>
  <c r="AS50" i="4"/>
  <c r="AP50" i="4"/>
  <c r="AR50" i="4" s="1"/>
  <c r="AV37" i="4"/>
  <c r="AX37" i="4" s="1"/>
  <c r="BA37" i="4"/>
  <c r="BG36" i="4"/>
  <c r="E55" i="4" s="1"/>
  <c r="AS51" i="4" l="1"/>
  <c r="AP51" i="4"/>
  <c r="AR51" i="4" s="1"/>
  <c r="AJ63" i="4"/>
  <c r="AL40" i="4"/>
  <c r="AN40" i="4" s="1"/>
  <c r="AO40" i="4" s="1"/>
  <c r="BE40" i="4" s="1"/>
  <c r="AI52" i="4"/>
  <c r="AH41" i="4"/>
  <c r="BB37" i="4"/>
  <c r="BC37" i="4" s="1"/>
  <c r="BF37" i="4"/>
  <c r="AY37" i="4"/>
  <c r="AZ37" i="4" s="1"/>
  <c r="BG37" i="4" l="1"/>
  <c r="E56" i="4" s="1"/>
  <c r="AL41" i="4"/>
  <c r="AN41" i="4" s="1"/>
  <c r="AO41" i="4" s="1"/>
  <c r="BE41" i="4" s="1"/>
  <c r="AI53" i="4"/>
  <c r="AH42" i="4"/>
  <c r="AP52" i="4"/>
  <c r="AR52" i="4" s="1"/>
  <c r="AS52" i="4"/>
  <c r="AJ64" i="4"/>
  <c r="AV38" i="4"/>
  <c r="AX38" i="4" s="1"/>
  <c r="BA38" i="4"/>
  <c r="BD37" i="4"/>
  <c r="D56" i="4" s="1"/>
  <c r="AI54" i="4" l="1"/>
  <c r="AH43" i="4"/>
  <c r="AL42" i="4"/>
  <c r="AN42" i="4" s="1"/>
  <c r="AU42" i="4" s="1"/>
  <c r="AJ65" i="4"/>
  <c r="AP53" i="4"/>
  <c r="AR53" i="4" s="1"/>
  <c r="AS53" i="4"/>
  <c r="BB38" i="4"/>
  <c r="BC38" i="4" s="1"/>
  <c r="BD38" i="4" s="1"/>
  <c r="D57" i="4" s="1"/>
  <c r="BF38" i="4"/>
  <c r="AY38" i="4"/>
  <c r="AZ38" i="4" s="1"/>
  <c r="AJ66" i="4" l="1"/>
  <c r="AK78" i="4" s="1"/>
  <c r="AS54" i="4"/>
  <c r="AP54" i="4"/>
  <c r="AR54" i="4" s="1"/>
  <c r="AH44" i="4"/>
  <c r="AL43" i="4"/>
  <c r="AN43" i="4" s="1"/>
  <c r="AO43" i="4" s="1"/>
  <c r="BE43" i="4" s="1"/>
  <c r="AI55" i="4"/>
  <c r="AO42" i="4"/>
  <c r="BE42" i="4" s="1"/>
  <c r="BG38" i="4"/>
  <c r="E57" i="4" s="1"/>
  <c r="AV39" i="4"/>
  <c r="AX39" i="4" s="1"/>
  <c r="BA39" i="4"/>
  <c r="AS55" i="4" l="1"/>
  <c r="AP55" i="4"/>
  <c r="AR55" i="4" s="1"/>
  <c r="AJ67" i="4"/>
  <c r="AL44" i="4"/>
  <c r="AN44" i="4" s="1"/>
  <c r="AO44" i="4" s="1"/>
  <c r="BE44" i="4" s="1"/>
  <c r="AI56" i="4"/>
  <c r="AH45" i="4"/>
  <c r="AY39" i="4"/>
  <c r="AZ39" i="4" s="1"/>
  <c r="BB39" i="4"/>
  <c r="BC39" i="4" s="1"/>
  <c r="BD39" i="4" s="1"/>
  <c r="D58" i="4" s="1"/>
  <c r="BF39" i="4"/>
  <c r="AI57" i="4" l="1"/>
  <c r="AH46" i="4"/>
  <c r="AL45" i="4"/>
  <c r="AN45" i="4" s="1"/>
  <c r="AO45" i="4" s="1"/>
  <c r="BE45" i="4" s="1"/>
  <c r="AJ68" i="4"/>
  <c r="AK80" i="4" s="1"/>
  <c r="AP56" i="4"/>
  <c r="AR56" i="4" s="1"/>
  <c r="AS56" i="4"/>
  <c r="AV40" i="4"/>
  <c r="AX40" i="4" s="1"/>
  <c r="BA40" i="4"/>
  <c r="BG39" i="4"/>
  <c r="E58" i="4" s="1"/>
  <c r="AL46" i="4" l="1"/>
  <c r="AN46" i="4" s="1"/>
  <c r="AO46" i="4" s="1"/>
  <c r="BE46" i="4" s="1"/>
  <c r="AI58" i="4"/>
  <c r="AH47" i="4"/>
  <c r="AJ69" i="4"/>
  <c r="AK81" i="4" s="1"/>
  <c r="AS57" i="4"/>
  <c r="AP57" i="4"/>
  <c r="AR57" i="4" s="1"/>
  <c r="BB40" i="4"/>
  <c r="BC40" i="4" s="1"/>
  <c r="BD40" i="4" s="1"/>
  <c r="D59" i="4" s="1"/>
  <c r="BF40" i="4"/>
  <c r="AY40" i="4"/>
  <c r="AZ40" i="4" s="1"/>
  <c r="AP58" i="4" l="1"/>
  <c r="AR58" i="4" s="1"/>
  <c r="AJ70" i="4"/>
  <c r="AK82" i="4" s="1"/>
  <c r="AS58" i="4"/>
  <c r="AH48" i="4"/>
  <c r="AL47" i="4"/>
  <c r="AN47" i="4" s="1"/>
  <c r="AO47" i="4" s="1"/>
  <c r="BE47" i="4" s="1"/>
  <c r="AI59" i="4"/>
  <c r="AV41" i="4"/>
  <c r="AX41" i="4" s="1"/>
  <c r="BA41" i="4"/>
  <c r="BG40" i="4"/>
  <c r="E59" i="4" s="1"/>
  <c r="AH49" i="4" l="1"/>
  <c r="AI60" i="4"/>
  <c r="AL48" i="4"/>
  <c r="AN48" i="4" s="1"/>
  <c r="AO48" i="4" s="1"/>
  <c r="BE48" i="4" s="1"/>
  <c r="AP59" i="4"/>
  <c r="AR59" i="4" s="1"/>
  <c r="AS59" i="4"/>
  <c r="AJ71" i="4"/>
  <c r="AK83" i="4" s="1"/>
  <c r="BB41" i="4"/>
  <c r="BC41" i="4" s="1"/>
  <c r="BD41" i="4" s="1"/>
  <c r="D60" i="4" s="1"/>
  <c r="BF41" i="4"/>
  <c r="AY41" i="4"/>
  <c r="AZ41" i="4" s="1"/>
  <c r="BG41" i="4" l="1"/>
  <c r="E60" i="4" s="1"/>
  <c r="AJ72" i="4"/>
  <c r="AK84" i="4" s="1"/>
  <c r="AS60" i="4"/>
  <c r="AP60" i="4"/>
  <c r="AR60" i="4" s="1"/>
  <c r="AH50" i="4"/>
  <c r="AL49" i="4"/>
  <c r="AN49" i="4" s="1"/>
  <c r="AO49" i="4" s="1"/>
  <c r="BE49" i="4" s="1"/>
  <c r="AI61" i="4"/>
  <c r="AV42" i="4"/>
  <c r="AX42" i="4" s="1"/>
  <c r="BA42" i="4"/>
  <c r="AP61" i="4" l="1"/>
  <c r="AR61" i="4" s="1"/>
  <c r="AJ73" i="4"/>
  <c r="AK85" i="4" s="1"/>
  <c r="AS61" i="4"/>
  <c r="AI62" i="4"/>
  <c r="AH51" i="4"/>
  <c r="AL50" i="4"/>
  <c r="AN50" i="4" s="1"/>
  <c r="AO50" i="4" s="1"/>
  <c r="BE50" i="4" s="1"/>
  <c r="BB42" i="4"/>
  <c r="BC42" i="4" s="1"/>
  <c r="BF42" i="4"/>
  <c r="AY42" i="4"/>
  <c r="AZ42" i="4" s="1"/>
  <c r="BG42" i="4" l="1"/>
  <c r="AH52" i="4"/>
  <c r="AI63" i="4"/>
  <c r="AL51" i="4"/>
  <c r="AN51" i="4" s="1"/>
  <c r="AO51" i="4" s="1"/>
  <c r="BE51" i="4" s="1"/>
  <c r="AJ74" i="4"/>
  <c r="AK86" i="4" s="1"/>
  <c r="AS62" i="4"/>
  <c r="AP62" i="4"/>
  <c r="AR62" i="4" s="1"/>
  <c r="AV43" i="4"/>
  <c r="AX43" i="4" s="1"/>
  <c r="BA43" i="4"/>
  <c r="E23" i="4"/>
  <c r="O23" i="4" s="1"/>
  <c r="E61" i="4"/>
  <c r="BD42" i="4"/>
  <c r="AJ75" i="4" l="1"/>
  <c r="AK87" i="4" s="1"/>
  <c r="AP63" i="4"/>
  <c r="AR63" i="4" s="1"/>
  <c r="AS63" i="4"/>
  <c r="AL52" i="4"/>
  <c r="AN52" i="4" s="1"/>
  <c r="AO52" i="4" s="1"/>
  <c r="BE52" i="4" s="1"/>
  <c r="AH53" i="4"/>
  <c r="AI64" i="4"/>
  <c r="D23" i="4"/>
  <c r="N23" i="4" s="1"/>
  <c r="D61" i="4"/>
  <c r="BB43" i="4"/>
  <c r="BC43" i="4" s="1"/>
  <c r="BD43" i="4" s="1"/>
  <c r="D62" i="4" s="1"/>
  <c r="BF43" i="4"/>
  <c r="AY43" i="4"/>
  <c r="AZ43" i="4" s="1"/>
  <c r="AL53" i="4" l="1"/>
  <c r="AN53" i="4" s="1"/>
  <c r="AO53" i="4" s="1"/>
  <c r="BE53" i="4" s="1"/>
  <c r="AH54" i="4"/>
  <c r="AI65" i="4"/>
  <c r="AS64" i="4"/>
  <c r="AP64" i="4"/>
  <c r="AR64" i="4" s="1"/>
  <c r="AJ76" i="4"/>
  <c r="AK88" i="4" s="1"/>
  <c r="BG43" i="4"/>
  <c r="E62" i="4" s="1"/>
  <c r="AV44" i="4"/>
  <c r="AX44" i="4" s="1"/>
  <c r="BA44" i="4"/>
  <c r="AI66" i="4" l="1"/>
  <c r="AL54" i="4"/>
  <c r="AN54" i="4" s="1"/>
  <c r="AU54" i="4" s="1"/>
  <c r="AS65" i="4"/>
  <c r="AJ77" i="4"/>
  <c r="AK89" i="4" s="1"/>
  <c r="AP65" i="4"/>
  <c r="AR65" i="4" s="1"/>
  <c r="BF44" i="4"/>
  <c r="BB44" i="4"/>
  <c r="BC44" i="4" s="1"/>
  <c r="BD44" i="4" s="1"/>
  <c r="D63" i="4" s="1"/>
  <c r="AY44" i="4"/>
  <c r="AZ44" i="4" s="1"/>
  <c r="AO54" i="4" l="1"/>
  <c r="BE54" i="4" s="1"/>
  <c r="AJ78" i="4"/>
  <c r="AK90" i="4" s="1"/>
  <c r="AP66" i="4"/>
  <c r="AR66" i="4" s="1"/>
  <c r="AS66" i="4"/>
  <c r="AV45" i="4"/>
  <c r="AX45" i="4" s="1"/>
  <c r="BA45" i="4"/>
  <c r="BG44" i="4"/>
  <c r="E63" i="4" s="1"/>
  <c r="BB45" i="4" l="1"/>
  <c r="BC45" i="4" s="1"/>
  <c r="BD45" i="4" s="1"/>
  <c r="D64" i="4" s="1"/>
  <c r="BF45" i="4"/>
  <c r="AY45" i="4"/>
  <c r="AZ45" i="4" s="1"/>
  <c r="BG45" i="4" l="1"/>
  <c r="E64" i="4" s="1"/>
  <c r="AV46" i="4"/>
  <c r="AX46" i="4" s="1"/>
  <c r="BA46" i="4"/>
  <c r="BB46" i="4" l="1"/>
  <c r="BC46" i="4" s="1"/>
  <c r="BD46" i="4" s="1"/>
  <c r="D65" i="4" s="1"/>
  <c r="BF46" i="4"/>
  <c r="AY46" i="4"/>
  <c r="AZ46" i="4" s="1"/>
  <c r="BG46" i="4" l="1"/>
  <c r="E65" i="4" s="1"/>
  <c r="AV47" i="4"/>
  <c r="AX47" i="4" s="1"/>
  <c r="BA47" i="4"/>
  <c r="BB47" i="4" l="1"/>
  <c r="BC47" i="4" s="1"/>
  <c r="BD47" i="4" s="1"/>
  <c r="D66" i="4" s="1"/>
  <c r="BF47" i="4"/>
  <c r="AY47" i="4"/>
  <c r="AZ47" i="4" s="1"/>
  <c r="BG47" i="4" l="1"/>
  <c r="E66" i="4" s="1"/>
  <c r="AV48" i="4"/>
  <c r="AX48" i="4" s="1"/>
  <c r="BA48" i="4"/>
  <c r="BB48" i="4" l="1"/>
  <c r="BC48" i="4" s="1"/>
  <c r="BD48" i="4" s="1"/>
  <c r="D67" i="4" s="1"/>
  <c r="BF48" i="4"/>
  <c r="AY48" i="4"/>
  <c r="AZ48" i="4" s="1"/>
  <c r="BG48" i="4" l="1"/>
  <c r="E67" i="4" s="1"/>
  <c r="AV49" i="4"/>
  <c r="AX49" i="4" s="1"/>
  <c r="BA49" i="4"/>
  <c r="BB49" i="4" l="1"/>
  <c r="BC49" i="4" s="1"/>
  <c r="BD49" i="4" s="1"/>
  <c r="D68" i="4" s="1"/>
  <c r="BF49" i="4"/>
  <c r="AY49" i="4"/>
  <c r="AZ49" i="4" s="1"/>
  <c r="AV50" i="4" l="1"/>
  <c r="AX50" i="4" s="1"/>
  <c r="BA50" i="4"/>
  <c r="BG49" i="4"/>
  <c r="E68" i="4" s="1"/>
  <c r="BB50" i="4" l="1"/>
  <c r="BC50" i="4" s="1"/>
  <c r="BD50" i="4" s="1"/>
  <c r="D69" i="4" s="1"/>
  <c r="BF50" i="4"/>
  <c r="AY50" i="4"/>
  <c r="AZ50" i="4" s="1"/>
  <c r="AV51" i="4" l="1"/>
  <c r="AX51" i="4" s="1"/>
  <c r="BA51" i="4"/>
  <c r="BG50" i="4"/>
  <c r="E69" i="4" s="1"/>
  <c r="BF51" i="4" l="1"/>
  <c r="BB51" i="4"/>
  <c r="BC51" i="4" s="1"/>
  <c r="BD51" i="4" s="1"/>
  <c r="D70" i="4" s="1"/>
  <c r="AY51" i="4"/>
  <c r="AZ51" i="4" s="1"/>
  <c r="AV52" i="4" l="1"/>
  <c r="AX52" i="4" s="1"/>
  <c r="BA52" i="4"/>
  <c r="BG51" i="4"/>
  <c r="E70" i="4" s="1"/>
  <c r="BB52" i="4" l="1"/>
  <c r="BC52" i="4" s="1"/>
  <c r="BD52" i="4" s="1"/>
  <c r="D71" i="4" s="1"/>
  <c r="BF52" i="4"/>
  <c r="AY52" i="4"/>
  <c r="AZ52" i="4" s="1"/>
  <c r="AV53" i="4" l="1"/>
  <c r="AX53" i="4" s="1"/>
  <c r="BA53" i="4"/>
  <c r="BG52" i="4"/>
  <c r="E71" i="4" s="1"/>
  <c r="BB53" i="4" l="1"/>
  <c r="BC53" i="4" s="1"/>
  <c r="BD53" i="4" s="1"/>
  <c r="D72" i="4" s="1"/>
  <c r="BF53" i="4"/>
  <c r="AY53" i="4"/>
  <c r="AZ53" i="4" s="1"/>
  <c r="BG53" i="4" l="1"/>
  <c r="E72" i="4" s="1"/>
  <c r="AV54" i="4"/>
  <c r="BA54" i="4"/>
  <c r="AW54" i="4" l="1"/>
  <c r="BB54" i="4"/>
  <c r="BC54" i="4" s="1"/>
  <c r="BD54" i="4" s="1"/>
  <c r="BF54" i="4"/>
  <c r="AX54" i="4" l="1"/>
  <c r="D73" i="4"/>
  <c r="D24" i="4"/>
  <c r="N24" i="4" s="1"/>
  <c r="BG54" i="4"/>
  <c r="AY54" i="4" l="1"/>
  <c r="AH55" i="4" s="1"/>
  <c r="E24" i="4"/>
  <c r="O24" i="4" s="1"/>
  <c r="E73" i="4"/>
  <c r="AZ54" i="4" l="1"/>
  <c r="AV55" i="4" s="1"/>
  <c r="AX55" i="4" s="1"/>
  <c r="AY55" i="4" s="1"/>
  <c r="AZ55" i="4" s="1"/>
  <c r="AV56" i="4" s="1"/>
  <c r="AX56" i="4" s="1"/>
  <c r="AL55" i="4"/>
  <c r="AN55" i="4" s="1"/>
  <c r="AH56" i="4"/>
  <c r="AI67" i="4"/>
  <c r="AP67" i="4" l="1"/>
  <c r="AR67" i="4" s="1"/>
  <c r="AS67" i="4"/>
  <c r="AJ79" i="4"/>
  <c r="AH57" i="4"/>
  <c r="AI68" i="4"/>
  <c r="AL56" i="4"/>
  <c r="AN56" i="4" s="1"/>
  <c r="BA56" i="4" s="1"/>
  <c r="BB56" i="4" s="1"/>
  <c r="AO55" i="4"/>
  <c r="BE55" i="4" s="1"/>
  <c r="BA55" i="4"/>
  <c r="AY56" i="4"/>
  <c r="AZ56" i="4" s="1"/>
  <c r="AO56" i="4" l="1"/>
  <c r="BE56" i="4" s="1"/>
  <c r="BF56" i="4" s="1"/>
  <c r="BB55" i="4"/>
  <c r="BC55" i="4" s="1"/>
  <c r="BD55" i="4" s="1"/>
  <c r="D74" i="4" s="1"/>
  <c r="BF55" i="4"/>
  <c r="AH58" i="4"/>
  <c r="AL57" i="4"/>
  <c r="AN57" i="4" s="1"/>
  <c r="BA57" i="4" s="1"/>
  <c r="AI69" i="4"/>
  <c r="AP68" i="4"/>
  <c r="AR68" i="4" s="1"/>
  <c r="AS68" i="4"/>
  <c r="AJ80" i="4"/>
  <c r="AK92" i="4" s="1"/>
  <c r="AV57" i="4"/>
  <c r="AX57" i="4" s="1"/>
  <c r="BC56" i="4" l="1"/>
  <c r="BD56" i="4" s="1"/>
  <c r="D75" i="4" s="1"/>
  <c r="AO57" i="4"/>
  <c r="BE57" i="4" s="1"/>
  <c r="BF57" i="4" s="1"/>
  <c r="BG55" i="4"/>
  <c r="E74" i="4" s="1"/>
  <c r="AS69" i="4"/>
  <c r="AP69" i="4"/>
  <c r="AR69" i="4" s="1"/>
  <c r="AJ81" i="4"/>
  <c r="AK93" i="4" s="1"/>
  <c r="AL58" i="4"/>
  <c r="AN58" i="4" s="1"/>
  <c r="AO58" i="4" s="1"/>
  <c r="BE58" i="4" s="1"/>
  <c r="AI70" i="4"/>
  <c r="AH59" i="4"/>
  <c r="BG56" i="4"/>
  <c r="E75" i="4" s="1"/>
  <c r="BB57" i="4"/>
  <c r="BC57" i="4" s="1"/>
  <c r="AY57" i="4"/>
  <c r="AZ57" i="4" s="1"/>
  <c r="BG57" i="4" l="1"/>
  <c r="E76" i="4" s="1"/>
  <c r="AJ82" i="4"/>
  <c r="AK94" i="4" s="1"/>
  <c r="AS70" i="4"/>
  <c r="AP70" i="4"/>
  <c r="AR70" i="4" s="1"/>
  <c r="AH60" i="4"/>
  <c r="AL59" i="4"/>
  <c r="AN59" i="4" s="1"/>
  <c r="AO59" i="4" s="1"/>
  <c r="BE59" i="4" s="1"/>
  <c r="AI71" i="4"/>
  <c r="AV58" i="4"/>
  <c r="AX58" i="4" s="1"/>
  <c r="BA58" i="4"/>
  <c r="BD57" i="4"/>
  <c r="D76" i="4" s="1"/>
  <c r="AL60" i="4" l="1"/>
  <c r="AN60" i="4" s="1"/>
  <c r="AO60" i="4" s="1"/>
  <c r="BE60" i="4" s="1"/>
  <c r="AI72" i="4"/>
  <c r="AH61" i="4"/>
  <c r="AS71" i="4"/>
  <c r="AP71" i="4"/>
  <c r="AR71" i="4" s="1"/>
  <c r="AJ83" i="4"/>
  <c r="AK95" i="4" s="1"/>
  <c r="BB58" i="4"/>
  <c r="BC58" i="4" s="1"/>
  <c r="BF58" i="4"/>
  <c r="AY58" i="4"/>
  <c r="AZ58" i="4" s="1"/>
  <c r="BG58" i="4" l="1"/>
  <c r="E77" i="4" s="1"/>
  <c r="BD58" i="4"/>
  <c r="D77" i="4" s="1"/>
  <c r="AP72" i="4"/>
  <c r="AR72" i="4" s="1"/>
  <c r="AJ84" i="4"/>
  <c r="AK96" i="4" s="1"/>
  <c r="AS72" i="4"/>
  <c r="AH62" i="4"/>
  <c r="AL61" i="4"/>
  <c r="AN61" i="4" s="1"/>
  <c r="AO61" i="4" s="1"/>
  <c r="BE61" i="4" s="1"/>
  <c r="AI73" i="4"/>
  <c r="AV59" i="4"/>
  <c r="AX59" i="4" s="1"/>
  <c r="BA59" i="4"/>
  <c r="AJ85" i="4" l="1"/>
  <c r="AK97" i="4" s="1"/>
  <c r="AS73" i="4"/>
  <c r="AP73" i="4"/>
  <c r="AR73" i="4" s="1"/>
  <c r="AI74" i="4"/>
  <c r="AL62" i="4"/>
  <c r="AN62" i="4" s="1"/>
  <c r="AO62" i="4" s="1"/>
  <c r="BE62" i="4" s="1"/>
  <c r="AH63" i="4"/>
  <c r="BB59" i="4"/>
  <c r="BC59" i="4" s="1"/>
  <c r="BD59" i="4" s="1"/>
  <c r="D78" i="4" s="1"/>
  <c r="BF59" i="4"/>
  <c r="AY59" i="4"/>
  <c r="AZ59" i="4" s="1"/>
  <c r="BG59" i="4" l="1"/>
  <c r="E78" i="4" s="1"/>
  <c r="AJ86" i="4"/>
  <c r="AK98" i="4" s="1"/>
  <c r="AP74" i="4"/>
  <c r="AR74" i="4" s="1"/>
  <c r="AS74" i="4"/>
  <c r="AI75" i="4"/>
  <c r="AH64" i="4"/>
  <c r="AL63" i="4"/>
  <c r="AN63" i="4" s="1"/>
  <c r="AO63" i="4" s="1"/>
  <c r="BE63" i="4" s="1"/>
  <c r="AV60" i="4"/>
  <c r="AX60" i="4" s="1"/>
  <c r="BA60" i="4"/>
  <c r="AH65" i="4" l="1"/>
  <c r="AL64" i="4"/>
  <c r="AN64" i="4" s="1"/>
  <c r="AO64" i="4" s="1"/>
  <c r="BE64" i="4" s="1"/>
  <c r="AI76" i="4"/>
  <c r="AP75" i="4"/>
  <c r="AR75" i="4" s="1"/>
  <c r="AJ87" i="4"/>
  <c r="AK99" i="4" s="1"/>
  <c r="AS75" i="4"/>
  <c r="BB60" i="4"/>
  <c r="BC60" i="4" s="1"/>
  <c r="BF60" i="4"/>
  <c r="AY60" i="4"/>
  <c r="AZ60" i="4" s="1"/>
  <c r="AJ88" i="4" l="1"/>
  <c r="AK100" i="4" s="1"/>
  <c r="AS76" i="4"/>
  <c r="AP76" i="4"/>
  <c r="AR76" i="4" s="1"/>
  <c r="BG60" i="4"/>
  <c r="E79" i="4" s="1"/>
  <c r="AH66" i="4"/>
  <c r="AI77" i="4"/>
  <c r="AL65" i="4"/>
  <c r="AN65" i="4" s="1"/>
  <c r="AO65" i="4" s="1"/>
  <c r="BE65" i="4" s="1"/>
  <c r="BD60" i="4"/>
  <c r="D79" i="4" s="1"/>
  <c r="AV61" i="4"/>
  <c r="AX61" i="4" s="1"/>
  <c r="BA61" i="4"/>
  <c r="AI78" i="4" l="1"/>
  <c r="AL66" i="4"/>
  <c r="AN66" i="4" s="1"/>
  <c r="AH67" i="4"/>
  <c r="AJ89" i="4"/>
  <c r="AK101" i="4" s="1"/>
  <c r="AP77" i="4"/>
  <c r="AR77" i="4" s="1"/>
  <c r="AS77" i="4"/>
  <c r="BF61" i="4"/>
  <c r="BB61" i="4"/>
  <c r="BC61" i="4" s="1"/>
  <c r="BD61" i="4" s="1"/>
  <c r="D80" i="4" s="1"/>
  <c r="AY61" i="4"/>
  <c r="AZ61" i="4" s="1"/>
  <c r="AO66" i="4" l="1"/>
  <c r="BE66" i="4" s="1"/>
  <c r="AU66" i="4"/>
  <c r="AL67" i="4"/>
  <c r="AN67" i="4" s="1"/>
  <c r="AO67" i="4" s="1"/>
  <c r="BE67" i="4" s="1"/>
  <c r="AH68" i="4"/>
  <c r="AI79" i="4"/>
  <c r="AS78" i="4"/>
  <c r="AP78" i="4"/>
  <c r="AR78" i="4" s="1"/>
  <c r="AJ90" i="4"/>
  <c r="AK102" i="4" s="1"/>
  <c r="BA62" i="4"/>
  <c r="AV62" i="4"/>
  <c r="AX62" i="4" s="1"/>
  <c r="BG61" i="4"/>
  <c r="E80" i="4" s="1"/>
  <c r="AI80" i="4" l="1"/>
  <c r="AH69" i="4"/>
  <c r="AL68" i="4"/>
  <c r="AN68" i="4" s="1"/>
  <c r="AO68" i="4" s="1"/>
  <c r="BE68" i="4" s="1"/>
  <c r="AS79" i="4"/>
  <c r="AP79" i="4"/>
  <c r="AR79" i="4" s="1"/>
  <c r="AJ91" i="4"/>
  <c r="AY62" i="4"/>
  <c r="AZ62" i="4" s="1"/>
  <c r="BB62" i="4"/>
  <c r="BC62" i="4" s="1"/>
  <c r="BD62" i="4" s="1"/>
  <c r="D81" i="4" s="1"/>
  <c r="BF62" i="4"/>
  <c r="AI81" i="4" l="1"/>
  <c r="AL69" i="4"/>
  <c r="AN69" i="4" s="1"/>
  <c r="AO69" i="4" s="1"/>
  <c r="BE69" i="4" s="1"/>
  <c r="AH70" i="4"/>
  <c r="AS80" i="4"/>
  <c r="AP80" i="4"/>
  <c r="AR80" i="4" s="1"/>
  <c r="AJ92" i="4"/>
  <c r="AK104" i="4" s="1"/>
  <c r="BG62" i="4"/>
  <c r="E81" i="4" s="1"/>
  <c r="BA63" i="4"/>
  <c r="AV63" i="4"/>
  <c r="AX63" i="4" s="1"/>
  <c r="AI82" i="4" l="1"/>
  <c r="AL70" i="4"/>
  <c r="AN70" i="4" s="1"/>
  <c r="AO70" i="4" s="1"/>
  <c r="BE70" i="4" s="1"/>
  <c r="AH71" i="4"/>
  <c r="AS81" i="4"/>
  <c r="AP81" i="4"/>
  <c r="AR81" i="4" s="1"/>
  <c r="AJ93" i="4"/>
  <c r="AK105" i="4" s="1"/>
  <c r="AY63" i="4"/>
  <c r="AZ63" i="4" s="1"/>
  <c r="BB63" i="4"/>
  <c r="BC63" i="4" s="1"/>
  <c r="BF63" i="4"/>
  <c r="BG63" i="4" l="1"/>
  <c r="E82" i="4" s="1"/>
  <c r="AL71" i="4"/>
  <c r="AN71" i="4" s="1"/>
  <c r="AO71" i="4" s="1"/>
  <c r="BE71" i="4" s="1"/>
  <c r="AH72" i="4"/>
  <c r="AI83" i="4"/>
  <c r="AS82" i="4"/>
  <c r="AP82" i="4"/>
  <c r="AR82" i="4" s="1"/>
  <c r="AJ94" i="4"/>
  <c r="AK106" i="4" s="1"/>
  <c r="BD63" i="4"/>
  <c r="D82" i="4" s="1"/>
  <c r="BA64" i="4"/>
  <c r="AV64" i="4"/>
  <c r="AX64" i="4" s="1"/>
  <c r="AH73" i="4" l="1"/>
  <c r="AL72" i="4"/>
  <c r="AN72" i="4" s="1"/>
  <c r="AO72" i="4" s="1"/>
  <c r="BE72" i="4" s="1"/>
  <c r="AI84" i="4"/>
  <c r="AJ95" i="4"/>
  <c r="AK107" i="4" s="1"/>
  <c r="AP83" i="4"/>
  <c r="AR83" i="4" s="1"/>
  <c r="AS83" i="4"/>
  <c r="AY64" i="4"/>
  <c r="AZ64" i="4" s="1"/>
  <c r="BB64" i="4"/>
  <c r="BC64" i="4" s="1"/>
  <c r="BF64" i="4"/>
  <c r="BG64" i="4" l="1"/>
  <c r="E83" i="4" s="1"/>
  <c r="AJ96" i="4"/>
  <c r="AK108" i="4" s="1"/>
  <c r="AS84" i="4"/>
  <c r="AP84" i="4"/>
  <c r="AR84" i="4" s="1"/>
  <c r="AI85" i="4"/>
  <c r="AL73" i="4"/>
  <c r="AN73" i="4" s="1"/>
  <c r="AO73" i="4" s="1"/>
  <c r="BE73" i="4" s="1"/>
  <c r="AH74" i="4"/>
  <c r="BA65" i="4"/>
  <c r="AV65" i="4"/>
  <c r="AX65" i="4" s="1"/>
  <c r="BD64" i="4"/>
  <c r="D83" i="4" s="1"/>
  <c r="AI86" i="4" l="1"/>
  <c r="AH75" i="4"/>
  <c r="AL74" i="4"/>
  <c r="AN74" i="4" s="1"/>
  <c r="AO74" i="4" s="1"/>
  <c r="BE74" i="4" s="1"/>
  <c r="AJ97" i="4"/>
  <c r="AK109" i="4" s="1"/>
  <c r="AP85" i="4"/>
  <c r="AR85" i="4" s="1"/>
  <c r="AS85" i="4"/>
  <c r="AY65" i="4"/>
  <c r="AZ65" i="4" s="1"/>
  <c r="BB65" i="4"/>
  <c r="BC65" i="4" s="1"/>
  <c r="BF65" i="4"/>
  <c r="BG65" i="4" l="1"/>
  <c r="E84" i="4" s="1"/>
  <c r="BD65" i="4"/>
  <c r="D84" i="4" s="1"/>
  <c r="AL75" i="4"/>
  <c r="AN75" i="4" s="1"/>
  <c r="AO75" i="4" s="1"/>
  <c r="BE75" i="4" s="1"/>
  <c r="AH76" i="4"/>
  <c r="AI87" i="4"/>
  <c r="AS86" i="4"/>
  <c r="AJ98" i="4"/>
  <c r="AK110" i="4" s="1"/>
  <c r="AP86" i="4"/>
  <c r="AR86" i="4" s="1"/>
  <c r="AV66" i="4"/>
  <c r="AX66" i="4" s="1"/>
  <c r="BA66" i="4"/>
  <c r="AL76" i="4" l="1"/>
  <c r="AN76" i="4" s="1"/>
  <c r="AO76" i="4" s="1"/>
  <c r="BE76" i="4" s="1"/>
  <c r="AI88" i="4"/>
  <c r="AH77" i="4"/>
  <c r="AS87" i="4"/>
  <c r="AP87" i="4"/>
  <c r="AR87" i="4" s="1"/>
  <c r="AJ99" i="4"/>
  <c r="AK111" i="4" s="1"/>
  <c r="BF66" i="4"/>
  <c r="BB66" i="4"/>
  <c r="BC66" i="4" s="1"/>
  <c r="AY66" i="4"/>
  <c r="AZ66" i="4" s="1"/>
  <c r="BG66" i="4" l="1"/>
  <c r="E85" i="4" s="1"/>
  <c r="AS88" i="4"/>
  <c r="AJ100" i="4"/>
  <c r="AK112" i="4" s="1"/>
  <c r="AP88" i="4"/>
  <c r="AR88" i="4" s="1"/>
  <c r="AL77" i="4"/>
  <c r="AN77" i="4" s="1"/>
  <c r="AO77" i="4" s="1"/>
  <c r="BE77" i="4" s="1"/>
  <c r="AH78" i="4"/>
  <c r="AI89" i="4"/>
  <c r="E25" i="4"/>
  <c r="O25" i="4" s="1"/>
  <c r="BA67" i="4"/>
  <c r="AV67" i="4"/>
  <c r="AX67" i="4" s="1"/>
  <c r="BD66" i="4"/>
  <c r="AP89" i="4" l="1"/>
  <c r="AR89" i="4" s="1"/>
  <c r="AS89" i="4"/>
  <c r="AJ101" i="4"/>
  <c r="AK113" i="4" s="1"/>
  <c r="AL78" i="4"/>
  <c r="AN78" i="4" s="1"/>
  <c r="AI90" i="4"/>
  <c r="AH79" i="4"/>
  <c r="D85" i="4"/>
  <c r="D25" i="4"/>
  <c r="N25" i="4" s="1"/>
  <c r="AY67" i="4"/>
  <c r="AZ67" i="4" s="1"/>
  <c r="BB67" i="4"/>
  <c r="BC67" i="4" s="1"/>
  <c r="BF67" i="4"/>
  <c r="BG67" i="4" l="1"/>
  <c r="E86" i="4" s="1"/>
  <c r="AO78" i="4"/>
  <c r="BE78" i="4" s="1"/>
  <c r="AU78" i="4"/>
  <c r="AL79" i="4"/>
  <c r="AN79" i="4" s="1"/>
  <c r="AO79" i="4" s="1"/>
  <c r="BE79" i="4" s="1"/>
  <c r="AH80" i="4"/>
  <c r="AH81" i="4" s="1"/>
  <c r="AI91" i="4"/>
  <c r="AP90" i="4"/>
  <c r="AR90" i="4" s="1"/>
  <c r="AJ102" i="4"/>
  <c r="AK114" i="4" s="1"/>
  <c r="AS90" i="4"/>
  <c r="BD67" i="4"/>
  <c r="D86" i="4" s="1"/>
  <c r="AV68" i="4"/>
  <c r="AX68" i="4" s="1"/>
  <c r="BA68" i="4"/>
  <c r="AL81" i="4" l="1"/>
  <c r="AN81" i="4" s="1"/>
  <c r="AO81" i="4" s="1"/>
  <c r="BE81" i="4" s="1"/>
  <c r="AH82" i="4"/>
  <c r="AI93" i="4"/>
  <c r="AL80" i="4"/>
  <c r="AN80" i="4" s="1"/>
  <c r="AO80" i="4" s="1"/>
  <c r="BE80" i="4" s="1"/>
  <c r="AI92" i="4"/>
  <c r="AS91" i="4"/>
  <c r="AP91" i="4"/>
  <c r="AR91" i="4" s="1"/>
  <c r="AJ103" i="4"/>
  <c r="BF68" i="4"/>
  <c r="BB68" i="4"/>
  <c r="BC68" i="4" s="1"/>
  <c r="BD68" i="4" s="1"/>
  <c r="D87" i="4" s="1"/>
  <c r="AY68" i="4"/>
  <c r="AZ68" i="4" s="1"/>
  <c r="AJ105" i="4" l="1"/>
  <c r="AK117" i="4" s="1"/>
  <c r="AP93" i="4"/>
  <c r="AR93" i="4" s="1"/>
  <c r="AS93" i="4"/>
  <c r="AI94" i="4"/>
  <c r="AH83" i="4"/>
  <c r="AL82" i="4"/>
  <c r="AN82" i="4" s="1"/>
  <c r="AO82" i="4" s="1"/>
  <c r="BE82" i="4" s="1"/>
  <c r="AS92" i="4"/>
  <c r="AP92" i="4"/>
  <c r="AR92" i="4" s="1"/>
  <c r="AJ104" i="4"/>
  <c r="AK116" i="4" s="1"/>
  <c r="AV69" i="4"/>
  <c r="AX69" i="4" s="1"/>
  <c r="BA69" i="4"/>
  <c r="BG68" i="4"/>
  <c r="E87" i="4" s="1"/>
  <c r="AH84" i="4" l="1"/>
  <c r="AL83" i="4"/>
  <c r="AN83" i="4" s="1"/>
  <c r="AO83" i="4" s="1"/>
  <c r="BE83" i="4" s="1"/>
  <c r="AI95" i="4"/>
  <c r="AJ106" i="4"/>
  <c r="AK118" i="4" s="1"/>
  <c r="AP94" i="4"/>
  <c r="AR94" i="4" s="1"/>
  <c r="AS94" i="4"/>
  <c r="BF69" i="4"/>
  <c r="BB69" i="4"/>
  <c r="BC69" i="4" s="1"/>
  <c r="AY69" i="4"/>
  <c r="AZ69" i="4" s="1"/>
  <c r="BG69" i="4" l="1"/>
  <c r="E88" i="4" s="1"/>
  <c r="AP95" i="4"/>
  <c r="AR95" i="4" s="1"/>
  <c r="AS95" i="4"/>
  <c r="AJ107" i="4"/>
  <c r="AK119" i="4" s="1"/>
  <c r="AI96" i="4"/>
  <c r="AL84" i="4"/>
  <c r="AN84" i="4" s="1"/>
  <c r="AO84" i="4" s="1"/>
  <c r="BE84" i="4" s="1"/>
  <c r="AH85" i="4"/>
  <c r="BA70" i="4"/>
  <c r="AV70" i="4"/>
  <c r="AX70" i="4" s="1"/>
  <c r="BD69" i="4"/>
  <c r="D88" i="4" s="1"/>
  <c r="AJ108" i="4" l="1"/>
  <c r="AK120" i="4" s="1"/>
  <c r="AS96" i="4"/>
  <c r="AP96" i="4"/>
  <c r="AR96" i="4" s="1"/>
  <c r="AI97" i="4"/>
  <c r="AL85" i="4"/>
  <c r="AN85" i="4" s="1"/>
  <c r="AO85" i="4" s="1"/>
  <c r="BE85" i="4" s="1"/>
  <c r="AH86" i="4"/>
  <c r="AY70" i="4"/>
  <c r="AZ70" i="4" s="1"/>
  <c r="BF70" i="4"/>
  <c r="BB70" i="4"/>
  <c r="BC70" i="4" s="1"/>
  <c r="BD70" i="4" s="1"/>
  <c r="D89" i="4" s="1"/>
  <c r="AJ109" i="4" l="1"/>
  <c r="AP97" i="4"/>
  <c r="AR97" i="4" s="1"/>
  <c r="AS97" i="4"/>
  <c r="AL86" i="4"/>
  <c r="AN86" i="4" s="1"/>
  <c r="AO86" i="4" s="1"/>
  <c r="BE86" i="4" s="1"/>
  <c r="AI98" i="4"/>
  <c r="AH87" i="4"/>
  <c r="BG70" i="4"/>
  <c r="E89" i="4" s="1"/>
  <c r="BA71" i="4"/>
  <c r="AV71" i="4"/>
  <c r="AX71" i="4" s="1"/>
  <c r="AJ110" i="4" l="1"/>
  <c r="AK122" i="4" s="1"/>
  <c r="AP98" i="4"/>
  <c r="AR98" i="4" s="1"/>
  <c r="AS98" i="4"/>
  <c r="AH88" i="4"/>
  <c r="AI99" i="4"/>
  <c r="AL87" i="4"/>
  <c r="AN87" i="4" s="1"/>
  <c r="AO87" i="4" s="1"/>
  <c r="BE87" i="4" s="1"/>
  <c r="AY71" i="4"/>
  <c r="AZ71" i="4" s="1"/>
  <c r="BB71" i="4"/>
  <c r="BC71" i="4" s="1"/>
  <c r="BD71" i="4" s="1"/>
  <c r="D90" i="4" s="1"/>
  <c r="BF71" i="4"/>
  <c r="AP99" i="4" l="1"/>
  <c r="AR99" i="4" s="1"/>
  <c r="AS99" i="4"/>
  <c r="AJ111" i="4"/>
  <c r="AK123" i="4" s="1"/>
  <c r="AL88" i="4"/>
  <c r="AN88" i="4" s="1"/>
  <c r="AO88" i="4" s="1"/>
  <c r="BE88" i="4" s="1"/>
  <c r="AH89" i="4"/>
  <c r="AI100" i="4"/>
  <c r="BG71" i="4"/>
  <c r="E90" i="4" s="1"/>
  <c r="BA72" i="4"/>
  <c r="AV72" i="4"/>
  <c r="AX72" i="4" s="1"/>
  <c r="AP100" i="4" l="1"/>
  <c r="AR100" i="4" s="1"/>
  <c r="AJ112" i="4"/>
  <c r="AK124" i="4" s="1"/>
  <c r="AS100" i="4"/>
  <c r="AH90" i="4"/>
  <c r="AI101" i="4"/>
  <c r="AL89" i="4"/>
  <c r="AN89" i="4" s="1"/>
  <c r="AO89" i="4" s="1"/>
  <c r="BE89" i="4" s="1"/>
  <c r="AY72" i="4"/>
  <c r="AZ72" i="4" s="1"/>
  <c r="BF72" i="4"/>
  <c r="BB72" i="4"/>
  <c r="BC72" i="4" s="1"/>
  <c r="AJ113" i="4" l="1"/>
  <c r="AK125" i="4" s="1"/>
  <c r="AP101" i="4"/>
  <c r="AR101" i="4" s="1"/>
  <c r="AS101" i="4"/>
  <c r="AL90" i="4"/>
  <c r="AN90" i="4" s="1"/>
  <c r="AI102" i="4"/>
  <c r="BG72" i="4"/>
  <c r="E91" i="4" s="1"/>
  <c r="BD72" i="4"/>
  <c r="D91" i="4" s="1"/>
  <c r="AV73" i="4"/>
  <c r="AX73" i="4" s="1"/>
  <c r="BA73" i="4"/>
  <c r="AS102" i="4" l="1"/>
  <c r="AP102" i="4"/>
  <c r="AR102" i="4" s="1"/>
  <c r="AJ114" i="4"/>
  <c r="AK126" i="4" s="1"/>
  <c r="AO90" i="4"/>
  <c r="BE90" i="4" s="1"/>
  <c r="AU90" i="4"/>
  <c r="BB73" i="4"/>
  <c r="BC73" i="4" s="1"/>
  <c r="BD73" i="4" s="1"/>
  <c r="D92" i="4" s="1"/>
  <c r="BF73" i="4"/>
  <c r="AY73" i="4"/>
  <c r="AZ73" i="4" s="1"/>
  <c r="BG73" i="4" l="1"/>
  <c r="E92" i="4" s="1"/>
  <c r="AV74" i="4"/>
  <c r="AX74" i="4" s="1"/>
  <c r="BA74" i="4"/>
  <c r="BB74" i="4" l="1"/>
  <c r="BC74" i="4" s="1"/>
  <c r="BD74" i="4" s="1"/>
  <c r="D93" i="4" s="1"/>
  <c r="BF74" i="4"/>
  <c r="AY74" i="4"/>
  <c r="AZ74" i="4" s="1"/>
  <c r="BA75" i="4" l="1"/>
  <c r="AV75" i="4"/>
  <c r="AX75" i="4" s="1"/>
  <c r="BG74" i="4"/>
  <c r="E93" i="4" s="1"/>
  <c r="AY75" i="4" l="1"/>
  <c r="AZ75" i="4" s="1"/>
  <c r="BB75" i="4"/>
  <c r="BC75" i="4" s="1"/>
  <c r="BD75" i="4" s="1"/>
  <c r="D94" i="4" s="1"/>
  <c r="BF75" i="4"/>
  <c r="BG75" i="4" l="1"/>
  <c r="E94" i="4" s="1"/>
  <c r="AV76" i="4"/>
  <c r="AX76" i="4" s="1"/>
  <c r="BA76" i="4"/>
  <c r="BF76" i="4" l="1"/>
  <c r="BB76" i="4"/>
  <c r="BC76" i="4" s="1"/>
  <c r="BD76" i="4" s="1"/>
  <c r="D95" i="4" s="1"/>
  <c r="AY76" i="4"/>
  <c r="AZ76" i="4" s="1"/>
  <c r="AV77" i="4" l="1"/>
  <c r="AX77" i="4" s="1"/>
  <c r="BA77" i="4"/>
  <c r="BG76" i="4"/>
  <c r="E95" i="4" s="1"/>
  <c r="BB77" i="4" l="1"/>
  <c r="BC77" i="4" s="1"/>
  <c r="BD77" i="4" s="1"/>
  <c r="D96" i="4" s="1"/>
  <c r="BF77" i="4"/>
  <c r="AY77" i="4"/>
  <c r="AZ77" i="4" s="1"/>
  <c r="BA78" i="4" l="1"/>
  <c r="AV78" i="4"/>
  <c r="AX78" i="4" s="1"/>
  <c r="BG77" i="4"/>
  <c r="E96" i="4" s="1"/>
  <c r="AY78" i="4" l="1"/>
  <c r="AZ78" i="4" s="1"/>
  <c r="BB78" i="4"/>
  <c r="BC78" i="4" s="1"/>
  <c r="BD78" i="4" s="1"/>
  <c r="BF78" i="4"/>
  <c r="D26" i="4" l="1"/>
  <c r="N26" i="4" s="1"/>
  <c r="D97" i="4"/>
  <c r="BG78" i="4"/>
  <c r="BA79" i="4"/>
  <c r="AV79" i="4"/>
  <c r="AX79" i="4" s="1"/>
  <c r="AY79" i="4" l="1"/>
  <c r="AZ79" i="4" s="1"/>
  <c r="BF79" i="4"/>
  <c r="BB79" i="4"/>
  <c r="BC79" i="4" s="1"/>
  <c r="E26" i="4"/>
  <c r="O26" i="4" s="1"/>
  <c r="E97" i="4"/>
  <c r="BG79" i="4" l="1"/>
  <c r="E98" i="4" s="1"/>
  <c r="BD79" i="4"/>
  <c r="D98" i="4" s="1"/>
  <c r="AV80" i="4"/>
  <c r="AX80" i="4" s="1"/>
  <c r="BA80" i="4"/>
  <c r="BB80" i="4" l="1"/>
  <c r="BC80" i="4" s="1"/>
  <c r="BF80" i="4"/>
  <c r="AY80" i="4"/>
  <c r="AZ80" i="4" s="1"/>
  <c r="BG80" i="4" l="1"/>
  <c r="E99" i="4" s="1"/>
  <c r="BA81" i="4"/>
  <c r="AV81" i="4"/>
  <c r="AX81" i="4" s="1"/>
  <c r="BD80" i="4"/>
  <c r="D99" i="4" s="1"/>
  <c r="AY81" i="4" l="1"/>
  <c r="AZ81" i="4" s="1"/>
  <c r="BB81" i="4"/>
  <c r="BC81" i="4" s="1"/>
  <c r="BD81" i="4" s="1"/>
  <c r="D100" i="4" s="1"/>
  <c r="BF81" i="4"/>
  <c r="BG81" i="4" l="1"/>
  <c r="E100" i="4" s="1"/>
  <c r="BA82" i="4"/>
  <c r="AV82" i="4"/>
  <c r="AX82" i="4" s="1"/>
  <c r="AY82" i="4" l="1"/>
  <c r="AZ82" i="4" s="1"/>
  <c r="BB82" i="4"/>
  <c r="BC82" i="4" s="1"/>
  <c r="BF82" i="4"/>
  <c r="BG82" i="4" l="1"/>
  <c r="E101" i="4" s="1"/>
  <c r="BD82" i="4"/>
  <c r="D101" i="4" s="1"/>
  <c r="BA83" i="4"/>
  <c r="AV83" i="4"/>
  <c r="AX83" i="4" s="1"/>
  <c r="AY83" i="4" l="1"/>
  <c r="AZ83" i="4" s="1"/>
  <c r="BF83" i="4"/>
  <c r="BB83" i="4"/>
  <c r="BC83" i="4" s="1"/>
  <c r="BD83" i="4" s="1"/>
  <c r="D102" i="4" s="1"/>
  <c r="BG83" i="4" l="1"/>
  <c r="E102" i="4" s="1"/>
  <c r="AV84" i="4"/>
  <c r="AX84" i="4" s="1"/>
  <c r="BA84" i="4"/>
  <c r="BF84" i="4" l="1"/>
  <c r="BB84" i="4"/>
  <c r="BC84" i="4" s="1"/>
  <c r="BD84" i="4" s="1"/>
  <c r="D103" i="4" s="1"/>
  <c r="AY84" i="4"/>
  <c r="AZ84" i="4" s="1"/>
  <c r="BA85" i="4" l="1"/>
  <c r="AV85" i="4"/>
  <c r="AX85" i="4" s="1"/>
  <c r="BG84" i="4"/>
  <c r="E103" i="4" s="1"/>
  <c r="AY85" i="4" l="1"/>
  <c r="AZ85" i="4" s="1"/>
  <c r="BB85" i="4"/>
  <c r="BC85" i="4" s="1"/>
  <c r="BD85" i="4" s="1"/>
  <c r="D104" i="4" s="1"/>
  <c r="BF85" i="4"/>
  <c r="BG85" i="4" l="1"/>
  <c r="E104" i="4" s="1"/>
  <c r="AV86" i="4"/>
  <c r="AX86" i="4" s="1"/>
  <c r="BA86" i="4"/>
  <c r="BF86" i="4" l="1"/>
  <c r="BB86" i="4"/>
  <c r="BC86" i="4" s="1"/>
  <c r="BD86" i="4" s="1"/>
  <c r="D105" i="4" s="1"/>
  <c r="AY86" i="4"/>
  <c r="AZ86" i="4" s="1"/>
  <c r="BA87" i="4" l="1"/>
  <c r="AV87" i="4"/>
  <c r="AX87" i="4" s="1"/>
  <c r="BG86" i="4"/>
  <c r="E105" i="4" s="1"/>
  <c r="AY87" i="4" l="1"/>
  <c r="AZ87" i="4" s="1"/>
  <c r="BB87" i="4"/>
  <c r="BC87" i="4" s="1"/>
  <c r="BF87" i="4"/>
  <c r="BG87" i="4" l="1"/>
  <c r="E106" i="4" s="1"/>
  <c r="BD87" i="4"/>
  <c r="D106" i="4" s="1"/>
  <c r="BA88" i="4"/>
  <c r="AV88" i="4"/>
  <c r="AX88" i="4" s="1"/>
  <c r="AY88" i="4" l="1"/>
  <c r="AZ88" i="4" s="1"/>
  <c r="BB88" i="4"/>
  <c r="BC88" i="4" s="1"/>
  <c r="BD88" i="4" s="1"/>
  <c r="D107" i="4" s="1"/>
  <c r="BF88" i="4"/>
  <c r="BG88" i="4" l="1"/>
  <c r="E107" i="4" s="1"/>
  <c r="BA89" i="4"/>
  <c r="AV89" i="4"/>
  <c r="AX89" i="4" s="1"/>
  <c r="AY89" i="4" l="1"/>
  <c r="AZ89" i="4" s="1"/>
  <c r="BB89" i="4"/>
  <c r="BC89" i="4" s="1"/>
  <c r="BD89" i="4" s="1"/>
  <c r="D108" i="4" s="1"/>
  <c r="BF89" i="4"/>
  <c r="BG89" i="4" l="1"/>
  <c r="E108" i="4" s="1"/>
  <c r="AV90" i="4"/>
  <c r="BA90" i="4"/>
  <c r="AW90" i="4" l="1"/>
  <c r="BB90" i="4"/>
  <c r="BC90" i="4" s="1"/>
  <c r="BD90" i="4" s="1"/>
  <c r="BF90" i="4"/>
  <c r="AX90" i="4" l="1"/>
  <c r="D27" i="4"/>
  <c r="N27" i="4" s="1"/>
  <c r="D109" i="4"/>
  <c r="BG90" i="4"/>
  <c r="AY90" i="4" l="1"/>
  <c r="AH91" i="4" s="1"/>
  <c r="E109" i="4"/>
  <c r="E27" i="4"/>
  <c r="O27" i="4" s="1"/>
  <c r="AZ90" i="4" l="1"/>
  <c r="AV91" i="4" s="1"/>
  <c r="AX91" i="4" s="1"/>
  <c r="AY91" i="4" s="1"/>
  <c r="AH92" i="4"/>
  <c r="AL91" i="4"/>
  <c r="AN91" i="4" s="1"/>
  <c r="AI103" i="4"/>
  <c r="AZ91" i="4" l="1"/>
  <c r="AV92" i="4" s="1"/>
  <c r="AX92" i="4" s="1"/>
  <c r="AY92" i="4" s="1"/>
  <c r="AZ92" i="4" s="1"/>
  <c r="AJ115" i="4"/>
  <c r="AP103" i="4"/>
  <c r="AR103" i="4" s="1"/>
  <c r="AS103" i="4"/>
  <c r="AO91" i="4"/>
  <c r="BE91" i="4" s="1"/>
  <c r="BA91" i="4"/>
  <c r="AH93" i="4"/>
  <c r="AI104" i="4"/>
  <c r="AL92" i="4"/>
  <c r="AN92" i="4" s="1"/>
  <c r="BA92" i="4" s="1"/>
  <c r="BB92" i="4" s="1"/>
  <c r="AO92" i="4" l="1"/>
  <c r="BE92" i="4" s="1"/>
  <c r="BF92" i="4" s="1"/>
  <c r="AS104" i="4"/>
  <c r="AP104" i="4"/>
  <c r="AR104" i="4" s="1"/>
  <c r="AJ116" i="4"/>
  <c r="AK128" i="4" s="1"/>
  <c r="AH94" i="4"/>
  <c r="AL93" i="4"/>
  <c r="AN93" i="4" s="1"/>
  <c r="BA93" i="4" s="1"/>
  <c r="AI105" i="4"/>
  <c r="BB91" i="4"/>
  <c r="BC91" i="4" s="1"/>
  <c r="BF91" i="4"/>
  <c r="AV93" i="4"/>
  <c r="AX93" i="4" s="1"/>
  <c r="BG91" i="4" l="1"/>
  <c r="E110" i="4" s="1"/>
  <c r="AO93" i="4"/>
  <c r="BE93" i="4" s="1"/>
  <c r="BF93" i="4" s="1"/>
  <c r="BD91" i="4"/>
  <c r="D110" i="4" s="1"/>
  <c r="AJ117" i="4"/>
  <c r="AK129" i="4" s="1"/>
  <c r="AS105" i="4"/>
  <c r="AP105" i="4"/>
  <c r="AR105" i="4" s="1"/>
  <c r="AI106" i="4"/>
  <c r="AL94" i="4"/>
  <c r="AN94" i="4" s="1"/>
  <c r="AO94" i="4" s="1"/>
  <c r="BE94" i="4" s="1"/>
  <c r="AH95" i="4"/>
  <c r="BC92" i="4"/>
  <c r="AY93" i="4"/>
  <c r="AZ93" i="4" s="1"/>
  <c r="BB93" i="4"/>
  <c r="BC93" i="4" l="1"/>
  <c r="BD93" i="4" s="1"/>
  <c r="D112" i="4" s="1"/>
  <c r="BD92" i="4"/>
  <c r="D111" i="4" s="1"/>
  <c r="BG92" i="4"/>
  <c r="E111" i="4" s="1"/>
  <c r="AJ118" i="4"/>
  <c r="AK130" i="4" s="1"/>
  <c r="AS106" i="4"/>
  <c r="AP106" i="4"/>
  <c r="AR106" i="4" s="1"/>
  <c r="AL95" i="4"/>
  <c r="AN95" i="4" s="1"/>
  <c r="AO95" i="4" s="1"/>
  <c r="BE95" i="4" s="1"/>
  <c r="AI107" i="4"/>
  <c r="AH96" i="4"/>
  <c r="BG93" i="4"/>
  <c r="E112" i="4" s="1"/>
  <c r="BA94" i="4"/>
  <c r="AV94" i="4"/>
  <c r="AX94" i="4" s="1"/>
  <c r="AH97" i="4" l="1"/>
  <c r="AL96" i="4"/>
  <c r="AN96" i="4" s="1"/>
  <c r="AO96" i="4" s="1"/>
  <c r="BE96" i="4" s="1"/>
  <c r="AI108" i="4"/>
  <c r="AJ119" i="4"/>
  <c r="AK131" i="4" s="1"/>
  <c r="AP107" i="4"/>
  <c r="AR107" i="4" s="1"/>
  <c r="AS107" i="4"/>
  <c r="AY94" i="4"/>
  <c r="AZ94" i="4" s="1"/>
  <c r="BF94" i="4"/>
  <c r="BB94" i="4"/>
  <c r="BC94" i="4" s="1"/>
  <c r="BG94" i="4" l="1"/>
  <c r="E113" i="4" s="1"/>
  <c r="AJ120" i="4"/>
  <c r="AK132" i="4" s="1"/>
  <c r="AS108" i="4"/>
  <c r="AP108" i="4"/>
  <c r="AR108" i="4" s="1"/>
  <c r="AL97" i="4"/>
  <c r="AN97" i="4" s="1"/>
  <c r="AO97" i="4" s="1"/>
  <c r="BE97" i="4" s="1"/>
  <c r="AI109" i="4"/>
  <c r="AH98" i="4"/>
  <c r="BD94" i="4"/>
  <c r="D113" i="4" s="1"/>
  <c r="BA95" i="4"/>
  <c r="AV95" i="4"/>
  <c r="AX95" i="4" s="1"/>
  <c r="AH99" i="4" l="1"/>
  <c r="AI110" i="4"/>
  <c r="AL98" i="4"/>
  <c r="AN98" i="4" s="1"/>
  <c r="AO98" i="4" s="1"/>
  <c r="BE98" i="4" s="1"/>
  <c r="AJ121" i="4"/>
  <c r="AK133" i="4" s="1"/>
  <c r="AP109" i="4"/>
  <c r="AR109" i="4" s="1"/>
  <c r="AS109" i="4"/>
  <c r="AY95" i="4"/>
  <c r="AZ95" i="4" s="1"/>
  <c r="BB95" i="4"/>
  <c r="BC95" i="4" s="1"/>
  <c r="BD95" i="4" s="1"/>
  <c r="D114" i="4" s="1"/>
  <c r="BF95" i="4"/>
  <c r="AJ122" i="4" l="1"/>
  <c r="AK134" i="4" s="1"/>
  <c r="AP110" i="4"/>
  <c r="AR110" i="4" s="1"/>
  <c r="AS110" i="4"/>
  <c r="AL99" i="4"/>
  <c r="AN99" i="4" s="1"/>
  <c r="AO99" i="4" s="1"/>
  <c r="BE99" i="4" s="1"/>
  <c r="AI111" i="4"/>
  <c r="AH100" i="4"/>
  <c r="BG95" i="4"/>
  <c r="E114" i="4" s="1"/>
  <c r="AV96" i="4"/>
  <c r="AX96" i="4" s="1"/>
  <c r="BA96" i="4"/>
  <c r="AS111" i="4" l="1"/>
  <c r="AP111" i="4"/>
  <c r="AR111" i="4" s="1"/>
  <c r="AJ123" i="4"/>
  <c r="AK135" i="4" s="1"/>
  <c r="AH101" i="4"/>
  <c r="AL100" i="4"/>
  <c r="AN100" i="4" s="1"/>
  <c r="AO100" i="4" s="1"/>
  <c r="BE100" i="4" s="1"/>
  <c r="AI112" i="4"/>
  <c r="BB96" i="4"/>
  <c r="BC96" i="4" s="1"/>
  <c r="BF96" i="4"/>
  <c r="AY96" i="4"/>
  <c r="AZ96" i="4" s="1"/>
  <c r="AS112" i="4" l="1"/>
  <c r="AP112" i="4"/>
  <c r="AR112" i="4" s="1"/>
  <c r="AJ124" i="4"/>
  <c r="AK136" i="4" s="1"/>
  <c r="AI113" i="4"/>
  <c r="AH102" i="4"/>
  <c r="AL101" i="4"/>
  <c r="AN101" i="4" s="1"/>
  <c r="AO101" i="4" s="1"/>
  <c r="BE101" i="4" s="1"/>
  <c r="BG96" i="4"/>
  <c r="E115" i="4" s="1"/>
  <c r="BA97" i="4"/>
  <c r="AV97" i="4"/>
  <c r="AX97" i="4" s="1"/>
  <c r="BD96" i="4"/>
  <c r="D115" i="4" s="1"/>
  <c r="AL102" i="4" l="1"/>
  <c r="AN102" i="4" s="1"/>
  <c r="AU102" i="4" s="1"/>
  <c r="AI114" i="4"/>
  <c r="AH103" i="4"/>
  <c r="AP113" i="4"/>
  <c r="AR113" i="4" s="1"/>
  <c r="AJ125" i="4"/>
  <c r="AK137" i="4" s="1"/>
  <c r="AS113" i="4"/>
  <c r="AY97" i="4"/>
  <c r="AZ97" i="4" s="1"/>
  <c r="BB97" i="4"/>
  <c r="BC97" i="4" s="1"/>
  <c r="BD97" i="4" s="1"/>
  <c r="D116" i="4" s="1"/>
  <c r="BF97" i="4"/>
  <c r="AO102" i="4" l="1"/>
  <c r="BE102" i="4" s="1"/>
  <c r="AL103" i="4"/>
  <c r="AN103" i="4" s="1"/>
  <c r="AO103" i="4" s="1"/>
  <c r="BE103" i="4" s="1"/>
  <c r="AH104" i="4"/>
  <c r="AI115" i="4"/>
  <c r="AJ126" i="4"/>
  <c r="AK138" i="4" s="1"/>
  <c r="AS114" i="4"/>
  <c r="AP114" i="4"/>
  <c r="AR114" i="4" s="1"/>
  <c r="BG97" i="4"/>
  <c r="E116" i="4" s="1"/>
  <c r="BA98" i="4"/>
  <c r="AV98" i="4"/>
  <c r="AX98" i="4" s="1"/>
  <c r="AL104" i="4" l="1"/>
  <c r="AN104" i="4" s="1"/>
  <c r="AO104" i="4" s="1"/>
  <c r="BE104" i="4" s="1"/>
  <c r="AH105" i="4"/>
  <c r="AI116" i="4"/>
  <c r="AP115" i="4"/>
  <c r="AR115" i="4" s="1"/>
  <c r="AS115" i="4"/>
  <c r="AJ127" i="4"/>
  <c r="AY98" i="4"/>
  <c r="AZ98" i="4" s="1"/>
  <c r="BB98" i="4"/>
  <c r="BC98" i="4" s="1"/>
  <c r="BF98" i="4"/>
  <c r="AL105" i="4" l="1"/>
  <c r="AN105" i="4" s="1"/>
  <c r="AO105" i="4" s="1"/>
  <c r="BE105" i="4" s="1"/>
  <c r="AH106" i="4"/>
  <c r="AI117" i="4"/>
  <c r="AP116" i="4"/>
  <c r="AR116" i="4" s="1"/>
  <c r="AS116" i="4"/>
  <c r="AJ128" i="4"/>
  <c r="AK140" i="4" s="1"/>
  <c r="BG98" i="4"/>
  <c r="E117" i="4" s="1"/>
  <c r="BD98" i="4"/>
  <c r="D117" i="4" s="1"/>
  <c r="BA99" i="4"/>
  <c r="AV99" i="4"/>
  <c r="AX99" i="4" s="1"/>
  <c r="AI118" i="4" l="1"/>
  <c r="AL106" i="4"/>
  <c r="AN106" i="4" s="1"/>
  <c r="AO106" i="4" s="1"/>
  <c r="BE106" i="4" s="1"/>
  <c r="AH107" i="4"/>
  <c r="AJ129" i="4"/>
  <c r="AK141" i="4" s="1"/>
  <c r="AP117" i="4"/>
  <c r="AR117" i="4" s="1"/>
  <c r="AS117" i="4"/>
  <c r="AY99" i="4"/>
  <c r="AZ99" i="4" s="1"/>
  <c r="BB99" i="4"/>
  <c r="BC99" i="4" s="1"/>
  <c r="BD99" i="4" s="1"/>
  <c r="D118" i="4" s="1"/>
  <c r="BF99" i="4"/>
  <c r="AL107" i="4" l="1"/>
  <c r="AN107" i="4" s="1"/>
  <c r="AO107" i="4" s="1"/>
  <c r="BE107" i="4" s="1"/>
  <c r="AI119" i="4"/>
  <c r="AH108" i="4"/>
  <c r="AS118" i="4"/>
  <c r="AJ130" i="4"/>
  <c r="AK142" i="4" s="1"/>
  <c r="AP118" i="4"/>
  <c r="AR118" i="4" s="1"/>
  <c r="BG99" i="4"/>
  <c r="E118" i="4" s="1"/>
  <c r="BA100" i="4"/>
  <c r="AV100" i="4"/>
  <c r="AX100" i="4" s="1"/>
  <c r="AP119" i="4" l="1"/>
  <c r="AR119" i="4" s="1"/>
  <c r="AS119" i="4"/>
  <c r="AJ131" i="4"/>
  <c r="AK143" i="4" s="1"/>
  <c r="AH109" i="4"/>
  <c r="AI120" i="4"/>
  <c r="AL108" i="4"/>
  <c r="AN108" i="4" s="1"/>
  <c r="AO108" i="4" s="1"/>
  <c r="BE108" i="4" s="1"/>
  <c r="AY100" i="4"/>
  <c r="AZ100" i="4" s="1"/>
  <c r="BB100" i="4"/>
  <c r="BC100" i="4" s="1"/>
  <c r="BF100" i="4"/>
  <c r="AL109" i="4" l="1"/>
  <c r="AN109" i="4" s="1"/>
  <c r="AO109" i="4" s="1"/>
  <c r="BE109" i="4" s="1"/>
  <c r="AH110" i="4"/>
  <c r="AI121" i="4"/>
  <c r="AJ132" i="4"/>
  <c r="AK144" i="4" s="1"/>
  <c r="AP120" i="4"/>
  <c r="AR120" i="4" s="1"/>
  <c r="AS120" i="4"/>
  <c r="BG100" i="4"/>
  <c r="E119" i="4" s="1"/>
  <c r="BD100" i="4"/>
  <c r="D119" i="4" s="1"/>
  <c r="BA101" i="4"/>
  <c r="AV101" i="4"/>
  <c r="AX101" i="4" s="1"/>
  <c r="AL110" i="4" l="1"/>
  <c r="AN110" i="4" s="1"/>
  <c r="AO110" i="4" s="1"/>
  <c r="BE110" i="4" s="1"/>
  <c r="AH111" i="4"/>
  <c r="AI122" i="4"/>
  <c r="AJ133" i="4"/>
  <c r="AK145" i="4" s="1"/>
  <c r="AS121" i="4"/>
  <c r="AP121" i="4"/>
  <c r="AR121" i="4" s="1"/>
  <c r="BF101" i="4"/>
  <c r="BB101" i="4"/>
  <c r="BC101" i="4" s="1"/>
  <c r="AY101" i="4"/>
  <c r="AZ101" i="4" s="1"/>
  <c r="BG101" i="4" l="1"/>
  <c r="E120" i="4" s="1"/>
  <c r="AL111" i="4"/>
  <c r="AN111" i="4" s="1"/>
  <c r="AO111" i="4" s="1"/>
  <c r="BE111" i="4" s="1"/>
  <c r="AH112" i="4"/>
  <c r="AI123" i="4"/>
  <c r="AS122" i="4"/>
  <c r="AP122" i="4"/>
  <c r="AR122" i="4" s="1"/>
  <c r="AJ134" i="4"/>
  <c r="AK146" i="4" s="1"/>
  <c r="BA102" i="4"/>
  <c r="AV102" i="4"/>
  <c r="AX102" i="4" s="1"/>
  <c r="BD101" i="4"/>
  <c r="D120" i="4" s="1"/>
  <c r="AH113" i="4" l="1"/>
  <c r="AI124" i="4"/>
  <c r="AL112" i="4"/>
  <c r="AN112" i="4" s="1"/>
  <c r="AO112" i="4" s="1"/>
  <c r="BE112" i="4" s="1"/>
  <c r="AJ135" i="4"/>
  <c r="AK147" i="4" s="1"/>
  <c r="AP123" i="4"/>
  <c r="AR123" i="4" s="1"/>
  <c r="AS123" i="4"/>
  <c r="AY102" i="4"/>
  <c r="AZ102" i="4" s="1"/>
  <c r="BF102" i="4"/>
  <c r="BB102" i="4"/>
  <c r="BC102" i="4" s="1"/>
  <c r="BD102" i="4" s="1"/>
  <c r="AJ136" i="4" l="1"/>
  <c r="AK148" i="4" s="1"/>
  <c r="AS124" i="4"/>
  <c r="AP124" i="4"/>
  <c r="AR124" i="4" s="1"/>
  <c r="AH114" i="4"/>
  <c r="AL113" i="4"/>
  <c r="AN113" i="4" s="1"/>
  <c r="AO113" i="4" s="1"/>
  <c r="BE113" i="4" s="1"/>
  <c r="AI125" i="4"/>
  <c r="D121" i="4"/>
  <c r="D28" i="4"/>
  <c r="N28" i="4" s="1"/>
  <c r="BG102" i="4"/>
  <c r="BA103" i="4"/>
  <c r="AV103" i="4"/>
  <c r="AX103" i="4" s="1"/>
  <c r="AJ137" i="4" l="1"/>
  <c r="AK149" i="4" s="1"/>
  <c r="AP125" i="4"/>
  <c r="AR125" i="4" s="1"/>
  <c r="AS125" i="4"/>
  <c r="AI126" i="4"/>
  <c r="AL114" i="4"/>
  <c r="AN114" i="4" s="1"/>
  <c r="AU114" i="4" s="1"/>
  <c r="AH115" i="4"/>
  <c r="AY103" i="4"/>
  <c r="AZ103" i="4" s="1"/>
  <c r="BF103" i="4"/>
  <c r="BB103" i="4"/>
  <c r="BC103" i="4" s="1"/>
  <c r="E28" i="4"/>
  <c r="O28" i="4" s="1"/>
  <c r="E121" i="4"/>
  <c r="BG103" i="4" l="1"/>
  <c r="E122" i="4" s="1"/>
  <c r="AL115" i="4"/>
  <c r="AN115" i="4" s="1"/>
  <c r="AO115" i="4" s="1"/>
  <c r="BE115" i="4" s="1"/>
  <c r="AH116" i="4"/>
  <c r="AI127" i="4"/>
  <c r="AO114" i="4"/>
  <c r="BE114" i="4" s="1"/>
  <c r="AJ138" i="4"/>
  <c r="AK150" i="4" s="1"/>
  <c r="AS126" i="4"/>
  <c r="AP126" i="4"/>
  <c r="AR126" i="4" s="1"/>
  <c r="BD103" i="4"/>
  <c r="D122" i="4" s="1"/>
  <c r="BA104" i="4"/>
  <c r="AV104" i="4"/>
  <c r="AX104" i="4" s="1"/>
  <c r="AJ139" i="4" l="1"/>
  <c r="AP127" i="4"/>
  <c r="AR127" i="4" s="1"/>
  <c r="AS127" i="4"/>
  <c r="AL116" i="4"/>
  <c r="AN116" i="4" s="1"/>
  <c r="AO116" i="4" s="1"/>
  <c r="BE116" i="4" s="1"/>
  <c r="AH117" i="4"/>
  <c r="AI128" i="4"/>
  <c r="AY104" i="4"/>
  <c r="AZ104" i="4" s="1"/>
  <c r="BF104" i="4"/>
  <c r="BB104" i="4"/>
  <c r="BC104" i="4" s="1"/>
  <c r="BD104" i="4" s="1"/>
  <c r="D123" i="4" s="1"/>
  <c r="AJ140" i="4" l="1"/>
  <c r="AK152" i="4" s="1"/>
  <c r="AP128" i="4"/>
  <c r="AR128" i="4" s="1"/>
  <c r="AS128" i="4"/>
  <c r="AI129" i="4"/>
  <c r="AL117" i="4"/>
  <c r="AN117" i="4" s="1"/>
  <c r="AO117" i="4" s="1"/>
  <c r="BE117" i="4" s="1"/>
  <c r="AH118" i="4"/>
  <c r="BG104" i="4"/>
  <c r="E123" i="4" s="1"/>
  <c r="BA105" i="4"/>
  <c r="AV105" i="4"/>
  <c r="AX105" i="4" s="1"/>
  <c r="AL118" i="4" l="1"/>
  <c r="AN118" i="4" s="1"/>
  <c r="AO118" i="4" s="1"/>
  <c r="BE118" i="4" s="1"/>
  <c r="AI130" i="4"/>
  <c r="AH119" i="4"/>
  <c r="AS129" i="4"/>
  <c r="AJ141" i="4"/>
  <c r="AK153" i="4" s="1"/>
  <c r="AP129" i="4"/>
  <c r="AR129" i="4" s="1"/>
  <c r="AY105" i="4"/>
  <c r="AZ105" i="4" s="1"/>
  <c r="BB105" i="4"/>
  <c r="BC105" i="4" s="1"/>
  <c r="BD105" i="4" s="1"/>
  <c r="D124" i="4" s="1"/>
  <c r="BF105" i="4"/>
  <c r="AI131" i="4" l="1"/>
  <c r="AL119" i="4"/>
  <c r="AN119" i="4" s="1"/>
  <c r="AO119" i="4" s="1"/>
  <c r="BE119" i="4" s="1"/>
  <c r="AH120" i="4"/>
  <c r="AP130" i="4"/>
  <c r="AR130" i="4" s="1"/>
  <c r="AJ142" i="4"/>
  <c r="AK154" i="4" s="1"/>
  <c r="AS130" i="4"/>
  <c r="BG105" i="4"/>
  <c r="E124" i="4" s="1"/>
  <c r="BA106" i="4"/>
  <c r="AV106" i="4"/>
  <c r="AX106" i="4" s="1"/>
  <c r="AH121" i="4" l="1"/>
  <c r="AI132" i="4"/>
  <c r="AL120" i="4"/>
  <c r="AN120" i="4" s="1"/>
  <c r="AO120" i="4" s="1"/>
  <c r="BE120" i="4" s="1"/>
  <c r="AS131" i="4"/>
  <c r="AP131" i="4"/>
  <c r="AR131" i="4" s="1"/>
  <c r="AJ143" i="4"/>
  <c r="AK155" i="4" s="1"/>
  <c r="AY106" i="4"/>
  <c r="AZ106" i="4" s="1"/>
  <c r="BB106" i="4"/>
  <c r="BC106" i="4" s="1"/>
  <c r="BF106" i="4"/>
  <c r="AS132" i="4" l="1"/>
  <c r="AJ144" i="4"/>
  <c r="AK156" i="4" s="1"/>
  <c r="AP132" i="4"/>
  <c r="AR132" i="4" s="1"/>
  <c r="AL121" i="4"/>
  <c r="AN121" i="4" s="1"/>
  <c r="AO121" i="4" s="1"/>
  <c r="BE121" i="4" s="1"/>
  <c r="AI133" i="4"/>
  <c r="AH122" i="4"/>
  <c r="BG106" i="4"/>
  <c r="E125" i="4" s="1"/>
  <c r="BD106" i="4"/>
  <c r="D125" i="4" s="1"/>
  <c r="BA107" i="4"/>
  <c r="AV107" i="4"/>
  <c r="AX107" i="4" s="1"/>
  <c r="AL122" i="4" l="1"/>
  <c r="AN122" i="4" s="1"/>
  <c r="AO122" i="4" s="1"/>
  <c r="BE122" i="4" s="1"/>
  <c r="AI134" i="4"/>
  <c r="AH123" i="4"/>
  <c r="AS133" i="4"/>
  <c r="AJ145" i="4"/>
  <c r="AK157" i="4" s="1"/>
  <c r="AP133" i="4"/>
  <c r="AR133" i="4" s="1"/>
  <c r="AY107" i="4"/>
  <c r="AZ107" i="4" s="1"/>
  <c r="BF107" i="4"/>
  <c r="BB107" i="4"/>
  <c r="BC107" i="4" s="1"/>
  <c r="BD107" i="4" s="1"/>
  <c r="D126" i="4" s="1"/>
  <c r="AS134" i="4" l="1"/>
  <c r="AJ146" i="4"/>
  <c r="AK158" i="4" s="1"/>
  <c r="AP134" i="4"/>
  <c r="AR134" i="4" s="1"/>
  <c r="AL123" i="4"/>
  <c r="AN123" i="4" s="1"/>
  <c r="AO123" i="4" s="1"/>
  <c r="BE123" i="4" s="1"/>
  <c r="AI135" i="4"/>
  <c r="AH124" i="4"/>
  <c r="BG107" i="4"/>
  <c r="E126" i="4" s="1"/>
  <c r="AV108" i="4"/>
  <c r="AX108" i="4" s="1"/>
  <c r="BA108" i="4"/>
  <c r="AJ147" i="4" l="1"/>
  <c r="AK159" i="4" s="1"/>
  <c r="AS135" i="4"/>
  <c r="AP135" i="4"/>
  <c r="AR135" i="4" s="1"/>
  <c r="AI136" i="4"/>
  <c r="AL124" i="4"/>
  <c r="AN124" i="4" s="1"/>
  <c r="AO124" i="4" s="1"/>
  <c r="BE124" i="4" s="1"/>
  <c r="AH125" i="4"/>
  <c r="BB108" i="4"/>
  <c r="BC108" i="4" s="1"/>
  <c r="BD108" i="4" s="1"/>
  <c r="D127" i="4" s="1"/>
  <c r="BF108" i="4"/>
  <c r="AY108" i="4"/>
  <c r="AZ108" i="4" s="1"/>
  <c r="BG108" i="4" l="1"/>
  <c r="E127" i="4" s="1"/>
  <c r="AP136" i="4"/>
  <c r="AR136" i="4" s="1"/>
  <c r="AS136" i="4"/>
  <c r="AJ148" i="4"/>
  <c r="AK160" i="4" s="1"/>
  <c r="AH126" i="4"/>
  <c r="AI137" i="4"/>
  <c r="AL125" i="4"/>
  <c r="AN125" i="4" s="1"/>
  <c r="AO125" i="4" s="1"/>
  <c r="BE125" i="4" s="1"/>
  <c r="BA109" i="4"/>
  <c r="AV109" i="4"/>
  <c r="AX109" i="4" s="1"/>
  <c r="AP137" i="4" l="1"/>
  <c r="AR137" i="4" s="1"/>
  <c r="AJ149" i="4"/>
  <c r="AK161" i="4" s="1"/>
  <c r="AS137" i="4"/>
  <c r="AI138" i="4"/>
  <c r="AL126" i="4"/>
  <c r="AN126" i="4" s="1"/>
  <c r="AU126" i="4" s="1"/>
  <c r="AY109" i="4"/>
  <c r="AZ109" i="4" s="1"/>
  <c r="BB109" i="4"/>
  <c r="BC109" i="4" s="1"/>
  <c r="BF109" i="4"/>
  <c r="AO126" i="4" l="1"/>
  <c r="BE126" i="4" s="1"/>
  <c r="AJ150" i="4"/>
  <c r="AK162" i="4" s="1"/>
  <c r="AS138" i="4"/>
  <c r="AP138" i="4"/>
  <c r="AR138" i="4" s="1"/>
  <c r="BG109" i="4"/>
  <c r="E128" i="4" s="1"/>
  <c r="BD109" i="4"/>
  <c r="D128" i="4" s="1"/>
  <c r="BA110" i="4"/>
  <c r="AV110" i="4"/>
  <c r="AX110" i="4" s="1"/>
  <c r="AY110" i="4" l="1"/>
  <c r="AZ110" i="4" s="1"/>
  <c r="BF110" i="4"/>
  <c r="BB110" i="4"/>
  <c r="BC110" i="4" s="1"/>
  <c r="BD110" i="4" s="1"/>
  <c r="D129" i="4" s="1"/>
  <c r="BG110" i="4" l="1"/>
  <c r="E129" i="4" s="1"/>
  <c r="BA111" i="4"/>
  <c r="AV111" i="4"/>
  <c r="AX111" i="4" s="1"/>
  <c r="AY111" i="4" l="1"/>
  <c r="AZ111" i="4" s="1"/>
  <c r="BF111" i="4"/>
  <c r="BB111" i="4"/>
  <c r="BC111" i="4" s="1"/>
  <c r="BG111" i="4" l="1"/>
  <c r="E130" i="4" s="1"/>
  <c r="BD111" i="4"/>
  <c r="D130" i="4" s="1"/>
  <c r="BA112" i="4"/>
  <c r="AV112" i="4"/>
  <c r="AX112" i="4" s="1"/>
  <c r="AY112" i="4" l="1"/>
  <c r="AZ112" i="4" s="1"/>
  <c r="BF112" i="4"/>
  <c r="BB112" i="4"/>
  <c r="BC112" i="4" s="1"/>
  <c r="BD112" i="4" s="1"/>
  <c r="D131" i="4" s="1"/>
  <c r="BG112" i="4" l="1"/>
  <c r="E131" i="4" s="1"/>
  <c r="BA113" i="4"/>
  <c r="AV113" i="4"/>
  <c r="AX113" i="4" s="1"/>
  <c r="AY113" i="4" l="1"/>
  <c r="AZ113" i="4" s="1"/>
  <c r="BF113" i="4"/>
  <c r="BB113" i="4"/>
  <c r="BC113" i="4" s="1"/>
  <c r="BG113" i="4" l="1"/>
  <c r="E132" i="4" s="1"/>
  <c r="BD113" i="4"/>
  <c r="D132" i="4" s="1"/>
  <c r="BA114" i="4"/>
  <c r="AV114" i="4"/>
  <c r="AX114" i="4" s="1"/>
  <c r="AY114" i="4" l="1"/>
  <c r="AZ114" i="4" s="1"/>
  <c r="BB114" i="4"/>
  <c r="BC114" i="4" s="1"/>
  <c r="BD114" i="4" s="1"/>
  <c r="BF114" i="4"/>
  <c r="D29" i="4" l="1"/>
  <c r="N29" i="4" s="1"/>
  <c r="D133" i="4"/>
  <c r="BG114" i="4"/>
  <c r="BA115" i="4"/>
  <c r="AV115" i="4"/>
  <c r="AX115" i="4" s="1"/>
  <c r="AY115" i="4" l="1"/>
  <c r="AZ115" i="4" s="1"/>
  <c r="BF115" i="4"/>
  <c r="BB115" i="4"/>
  <c r="BC115" i="4" s="1"/>
  <c r="BD115" i="4" s="1"/>
  <c r="D134" i="4" s="1"/>
  <c r="E133" i="4"/>
  <c r="E29" i="4"/>
  <c r="O29" i="4" s="1"/>
  <c r="BA116" i="4" l="1"/>
  <c r="AV116" i="4"/>
  <c r="AX116" i="4" s="1"/>
  <c r="BG115" i="4"/>
  <c r="E134" i="4" s="1"/>
  <c r="AY116" i="4" l="1"/>
  <c r="AZ116" i="4" s="1"/>
  <c r="BF116" i="4"/>
  <c r="BB116" i="4"/>
  <c r="BC116" i="4" s="1"/>
  <c r="BG116" i="4" l="1"/>
  <c r="E135" i="4" s="1"/>
  <c r="BD116" i="4"/>
  <c r="D135" i="4" s="1"/>
  <c r="BA117" i="4"/>
  <c r="AV117" i="4"/>
  <c r="AX117" i="4" s="1"/>
  <c r="AY117" i="4" l="1"/>
  <c r="AZ117" i="4" s="1"/>
  <c r="BF117" i="4"/>
  <c r="BB117" i="4"/>
  <c r="BC117" i="4" s="1"/>
  <c r="BG117" i="4" l="1"/>
  <c r="E136" i="4" s="1"/>
  <c r="BD117" i="4"/>
  <c r="D136" i="4" s="1"/>
  <c r="BA118" i="4"/>
  <c r="AV118" i="4"/>
  <c r="AX118" i="4" s="1"/>
  <c r="AY118" i="4" l="1"/>
  <c r="AZ118" i="4" s="1"/>
  <c r="BB118" i="4"/>
  <c r="BC118" i="4" s="1"/>
  <c r="BD118" i="4" s="1"/>
  <c r="D137" i="4" s="1"/>
  <c r="BF118" i="4"/>
  <c r="BG118" i="4" l="1"/>
  <c r="E137" i="4" s="1"/>
  <c r="BA119" i="4"/>
  <c r="AV119" i="4"/>
  <c r="AX119" i="4" s="1"/>
  <c r="AY119" i="4" l="1"/>
  <c r="AZ119" i="4" s="1"/>
  <c r="BB119" i="4"/>
  <c r="BC119" i="4" s="1"/>
  <c r="BD119" i="4" s="1"/>
  <c r="D138" i="4" s="1"/>
  <c r="BF119" i="4"/>
  <c r="BG119" i="4" l="1"/>
  <c r="E138" i="4" s="1"/>
  <c r="AV120" i="4"/>
  <c r="AX120" i="4" s="1"/>
  <c r="BA120" i="4"/>
  <c r="BB120" i="4" l="1"/>
  <c r="BC120" i="4" s="1"/>
  <c r="BD120" i="4" s="1"/>
  <c r="D139" i="4" s="1"/>
  <c r="BF120" i="4"/>
  <c r="AY120" i="4"/>
  <c r="AZ120" i="4" s="1"/>
  <c r="BA121" i="4" l="1"/>
  <c r="AV121" i="4"/>
  <c r="AX121" i="4" s="1"/>
  <c r="BG120" i="4"/>
  <c r="E139" i="4" s="1"/>
  <c r="AY121" i="4" l="1"/>
  <c r="AZ121" i="4" s="1"/>
  <c r="BB121" i="4"/>
  <c r="BC121" i="4" s="1"/>
  <c r="BF121" i="4"/>
  <c r="BG121" i="4" l="1"/>
  <c r="E140" i="4" s="1"/>
  <c r="BD121" i="4"/>
  <c r="D140" i="4" s="1"/>
  <c r="BA122" i="4"/>
  <c r="AV122" i="4"/>
  <c r="AX122" i="4" s="1"/>
  <c r="AY122" i="4" l="1"/>
  <c r="AZ122" i="4" s="1"/>
  <c r="BB122" i="4"/>
  <c r="BC122" i="4" s="1"/>
  <c r="BD122" i="4" s="1"/>
  <c r="D141" i="4" s="1"/>
  <c r="BF122" i="4"/>
  <c r="BG122" i="4" l="1"/>
  <c r="E141" i="4" s="1"/>
  <c r="BA123" i="4"/>
  <c r="AV123" i="4"/>
  <c r="AX123" i="4" s="1"/>
  <c r="AY123" i="4" l="1"/>
  <c r="AZ123" i="4" s="1"/>
  <c r="BB123" i="4"/>
  <c r="BC123" i="4" s="1"/>
  <c r="BD123" i="4" s="1"/>
  <c r="D142" i="4" s="1"/>
  <c r="BF123" i="4"/>
  <c r="BG123" i="4" l="1"/>
  <c r="E142" i="4" s="1"/>
  <c r="AV124" i="4"/>
  <c r="AX124" i="4" s="1"/>
  <c r="BA124" i="4"/>
  <c r="BB124" i="4" l="1"/>
  <c r="BC124" i="4" s="1"/>
  <c r="BD124" i="4" s="1"/>
  <c r="D143" i="4" s="1"/>
  <c r="BF124" i="4"/>
  <c r="AY124" i="4"/>
  <c r="AZ124" i="4" s="1"/>
  <c r="BG124" i="4" l="1"/>
  <c r="E143" i="4" s="1"/>
  <c r="BA125" i="4"/>
  <c r="AV125" i="4"/>
  <c r="AX125" i="4" s="1"/>
  <c r="AY125" i="4" l="1"/>
  <c r="AZ125" i="4" s="1"/>
  <c r="BF125" i="4"/>
  <c r="BB125" i="4"/>
  <c r="BC125" i="4" s="1"/>
  <c r="BG125" i="4" l="1"/>
  <c r="E144" i="4" s="1"/>
  <c r="BD125" i="4"/>
  <c r="D144" i="4" s="1"/>
  <c r="BA126" i="4"/>
  <c r="AV126" i="4"/>
  <c r="AW126" i="4" l="1"/>
  <c r="BF126" i="4"/>
  <c r="BB126" i="4"/>
  <c r="BC126" i="4" s="1"/>
  <c r="BD126" i="4" s="1"/>
  <c r="AX126" i="4" l="1"/>
  <c r="D145" i="4"/>
  <c r="D30" i="4"/>
  <c r="N30" i="4" s="1"/>
  <c r="BG126" i="4"/>
  <c r="AY126" i="4" l="1"/>
  <c r="AH127" i="4" s="1"/>
  <c r="E30" i="4"/>
  <c r="O30" i="4" s="1"/>
  <c r="E145" i="4"/>
  <c r="AZ126" i="4" l="1"/>
  <c r="AV127" i="4" s="1"/>
  <c r="AX127" i="4" s="1"/>
  <c r="AY127" i="4" s="1"/>
  <c r="AL127" i="4"/>
  <c r="AN127" i="4" s="1"/>
  <c r="AH128" i="4"/>
  <c r="AI139" i="4"/>
  <c r="BA127" i="4" l="1"/>
  <c r="BB127" i="4" s="1"/>
  <c r="BC127" i="4" s="1"/>
  <c r="AO127" i="4"/>
  <c r="BE127" i="4" s="1"/>
  <c r="AZ127" i="4"/>
  <c r="AV128" i="4" s="1"/>
  <c r="AX128" i="4" s="1"/>
  <c r="AY128" i="4" s="1"/>
  <c r="AZ128" i="4" s="1"/>
  <c r="AI140" i="4"/>
  <c r="AL128" i="4"/>
  <c r="AN128" i="4" s="1"/>
  <c r="AH129" i="4"/>
  <c r="AS139" i="4"/>
  <c r="AP139" i="4"/>
  <c r="AR139" i="4" s="1"/>
  <c r="AJ151" i="4"/>
  <c r="BF127" i="4" l="1"/>
  <c r="BA128" i="4"/>
  <c r="BB128" i="4" s="1"/>
  <c r="BC128" i="4" s="1"/>
  <c r="BD128" i="4" s="1"/>
  <c r="D147" i="4" s="1"/>
  <c r="BD127" i="4"/>
  <c r="D146" i="4" s="1"/>
  <c r="BG127" i="4"/>
  <c r="E146" i="4" s="1"/>
  <c r="AO128" i="4"/>
  <c r="BE128" i="4" s="1"/>
  <c r="BF128" i="4" s="1"/>
  <c r="AI141" i="4"/>
  <c r="AL129" i="4"/>
  <c r="AN129" i="4" s="1"/>
  <c r="BA129" i="4" s="1"/>
  <c r="AH130" i="4"/>
  <c r="AJ152" i="4"/>
  <c r="AP140" i="4"/>
  <c r="AR140" i="4" s="1"/>
  <c r="AS140" i="4"/>
  <c r="AV129" i="4"/>
  <c r="AX129" i="4" s="1"/>
  <c r="BG128" i="4" l="1"/>
  <c r="E147" i="4" s="1"/>
  <c r="AO129" i="4"/>
  <c r="BE129" i="4" s="1"/>
  <c r="BF129" i="4" s="1"/>
  <c r="AI142" i="4"/>
  <c r="AL130" i="4"/>
  <c r="AN130" i="4" s="1"/>
  <c r="AO130" i="4" s="1"/>
  <c r="BE130" i="4" s="1"/>
  <c r="AH131" i="4"/>
  <c r="AS141" i="4"/>
  <c r="AJ153" i="4"/>
  <c r="AP141" i="4"/>
  <c r="AR141" i="4" s="1"/>
  <c r="AY129" i="4"/>
  <c r="AZ129" i="4" s="1"/>
  <c r="BB129" i="4"/>
  <c r="BC129" i="4" s="1"/>
  <c r="BG129" i="4" l="1"/>
  <c r="E148" i="4" s="1"/>
  <c r="AI143" i="4"/>
  <c r="AL131" i="4"/>
  <c r="AN131" i="4" s="1"/>
  <c r="AO131" i="4" s="1"/>
  <c r="BE131" i="4" s="1"/>
  <c r="AH132" i="4"/>
  <c r="AJ154" i="4"/>
  <c r="AP142" i="4"/>
  <c r="AR142" i="4" s="1"/>
  <c r="AS142" i="4"/>
  <c r="BD129" i="4"/>
  <c r="D148" i="4" s="1"/>
  <c r="AV130" i="4"/>
  <c r="AX130" i="4" s="1"/>
  <c r="BA130" i="4"/>
  <c r="AI144" i="4" l="1"/>
  <c r="AL132" i="4"/>
  <c r="AN132" i="4" s="1"/>
  <c r="AO132" i="4" s="1"/>
  <c r="BE132" i="4" s="1"/>
  <c r="AH133" i="4"/>
  <c r="AS143" i="4"/>
  <c r="AP143" i="4"/>
  <c r="AR143" i="4" s="1"/>
  <c r="AJ155" i="4"/>
  <c r="BB130" i="4"/>
  <c r="BC130" i="4" s="1"/>
  <c r="BF130" i="4"/>
  <c r="AY130" i="4"/>
  <c r="AZ130" i="4" s="1"/>
  <c r="AH134" i="4" l="1"/>
  <c r="AL133" i="4"/>
  <c r="AN133" i="4" s="1"/>
  <c r="AO133" i="4" s="1"/>
  <c r="BE133" i="4" s="1"/>
  <c r="AI145" i="4"/>
  <c r="AJ156" i="4"/>
  <c r="AP144" i="4"/>
  <c r="AR144" i="4" s="1"/>
  <c r="AS144" i="4"/>
  <c r="BG130" i="4"/>
  <c r="E149" i="4" s="1"/>
  <c r="BA131" i="4"/>
  <c r="AV131" i="4"/>
  <c r="AX131" i="4" s="1"/>
  <c r="BD130" i="4"/>
  <c r="D149" i="4" s="1"/>
  <c r="AS145" i="4" l="1"/>
  <c r="AJ157" i="4"/>
  <c r="AP145" i="4"/>
  <c r="AR145" i="4" s="1"/>
  <c r="AI146" i="4"/>
  <c r="AL134" i="4"/>
  <c r="AN134" i="4" s="1"/>
  <c r="AO134" i="4" s="1"/>
  <c r="BE134" i="4" s="1"/>
  <c r="AH135" i="4"/>
  <c r="AY131" i="4"/>
  <c r="AZ131" i="4" s="1"/>
  <c r="BB131" i="4"/>
  <c r="BC131" i="4" s="1"/>
  <c r="BF131" i="4"/>
  <c r="AI147" i="4" l="1"/>
  <c r="AH136" i="4"/>
  <c r="AL135" i="4"/>
  <c r="AN135" i="4" s="1"/>
  <c r="AO135" i="4" s="1"/>
  <c r="BE135" i="4" s="1"/>
  <c r="AJ158" i="4"/>
  <c r="AP146" i="4"/>
  <c r="AR146" i="4" s="1"/>
  <c r="AS146" i="4"/>
  <c r="BG131" i="4"/>
  <c r="E150" i="4" s="1"/>
  <c r="BD131" i="4"/>
  <c r="D150" i="4" s="1"/>
  <c r="BA132" i="4"/>
  <c r="AV132" i="4"/>
  <c r="AX132" i="4" s="1"/>
  <c r="AI148" i="4" l="1"/>
  <c r="AL136" i="4"/>
  <c r="AN136" i="4" s="1"/>
  <c r="AO136" i="4" s="1"/>
  <c r="BE136" i="4" s="1"/>
  <c r="AH137" i="4"/>
  <c r="AJ159" i="4"/>
  <c r="AS147" i="4"/>
  <c r="AP147" i="4"/>
  <c r="AR147" i="4" s="1"/>
  <c r="AY132" i="4"/>
  <c r="AZ132" i="4" s="1"/>
  <c r="BB132" i="4"/>
  <c r="BC132" i="4" s="1"/>
  <c r="BF132" i="4"/>
  <c r="AI149" i="4" l="1"/>
  <c r="AL137" i="4"/>
  <c r="AN137" i="4" s="1"/>
  <c r="AO137" i="4" s="1"/>
  <c r="BE137" i="4" s="1"/>
  <c r="AH138" i="4"/>
  <c r="AP148" i="4"/>
  <c r="AR148" i="4" s="1"/>
  <c r="AJ160" i="4"/>
  <c r="AS148" i="4"/>
  <c r="BG132" i="4"/>
  <c r="E151" i="4" s="1"/>
  <c r="BD132" i="4"/>
  <c r="D151" i="4" s="1"/>
  <c r="BA133" i="4"/>
  <c r="AV133" i="4"/>
  <c r="AX133" i="4" s="1"/>
  <c r="AI150" i="4" l="1"/>
  <c r="AL138" i="4"/>
  <c r="AN138" i="4" s="1"/>
  <c r="AU138" i="4" s="1"/>
  <c r="AH139" i="4"/>
  <c r="AJ161" i="4"/>
  <c r="AS149" i="4"/>
  <c r="AP149" i="4"/>
  <c r="AR149" i="4" s="1"/>
  <c r="AY133" i="4"/>
  <c r="AZ133" i="4" s="1"/>
  <c r="BB133" i="4"/>
  <c r="BC133" i="4" s="1"/>
  <c r="BD133" i="4" s="1"/>
  <c r="D152" i="4" s="1"/>
  <c r="BF133" i="4"/>
  <c r="AH140" i="4" l="1"/>
  <c r="AI151" i="4"/>
  <c r="AL139" i="4"/>
  <c r="AN139" i="4" s="1"/>
  <c r="AO139" i="4" s="1"/>
  <c r="BE139" i="4" s="1"/>
  <c r="AO138" i="4"/>
  <c r="BE138" i="4" s="1"/>
  <c r="AP150" i="4"/>
  <c r="AR150" i="4" s="1"/>
  <c r="AJ162" i="4"/>
  <c r="AS150" i="4"/>
  <c r="BG133" i="4"/>
  <c r="E152" i="4" s="1"/>
  <c r="BA134" i="4"/>
  <c r="AV134" i="4"/>
  <c r="AX134" i="4" s="1"/>
  <c r="AP151" i="4" l="1"/>
  <c r="AR151" i="4" s="1"/>
  <c r="AS151" i="4"/>
  <c r="AH141" i="4"/>
  <c r="AI152" i="4"/>
  <c r="AL140" i="4"/>
  <c r="AN140" i="4" s="1"/>
  <c r="AO140" i="4" s="1"/>
  <c r="BE140" i="4" s="1"/>
  <c r="AY134" i="4"/>
  <c r="AZ134" i="4" s="1"/>
  <c r="BB134" i="4"/>
  <c r="BC134" i="4" s="1"/>
  <c r="BF134" i="4"/>
  <c r="AS152" i="4" l="1"/>
  <c r="AP152" i="4"/>
  <c r="AR152" i="4" s="1"/>
  <c r="AI153" i="4"/>
  <c r="AL141" i="4"/>
  <c r="AN141" i="4" s="1"/>
  <c r="AO141" i="4" s="1"/>
  <c r="BE141" i="4" s="1"/>
  <c r="AH142" i="4"/>
  <c r="BG134" i="4"/>
  <c r="E153" i="4" s="1"/>
  <c r="BA135" i="4"/>
  <c r="AV135" i="4"/>
  <c r="AX135" i="4" s="1"/>
  <c r="BD134" i="4"/>
  <c r="D153" i="4" s="1"/>
  <c r="AP153" i="4" l="1"/>
  <c r="AR153" i="4" s="1"/>
  <c r="AS153" i="4"/>
  <c r="AI154" i="4"/>
  <c r="AL142" i="4"/>
  <c r="AN142" i="4" s="1"/>
  <c r="AO142" i="4" s="1"/>
  <c r="BE142" i="4" s="1"/>
  <c r="AH143" i="4"/>
  <c r="AY135" i="4"/>
  <c r="AZ135" i="4" s="1"/>
  <c r="BF135" i="4"/>
  <c r="BB135" i="4"/>
  <c r="BC135" i="4" s="1"/>
  <c r="BD135" i="4" s="1"/>
  <c r="D154" i="4" s="1"/>
  <c r="AL143" i="4" l="1"/>
  <c r="AN143" i="4" s="1"/>
  <c r="AO143" i="4" s="1"/>
  <c r="BE143" i="4" s="1"/>
  <c r="AH144" i="4"/>
  <c r="AI155" i="4"/>
  <c r="AS154" i="4"/>
  <c r="AP154" i="4"/>
  <c r="AR154" i="4" s="1"/>
  <c r="BG135" i="4"/>
  <c r="E154" i="4" s="1"/>
  <c r="BA136" i="4"/>
  <c r="AV136" i="4"/>
  <c r="AX136" i="4" s="1"/>
  <c r="AH145" i="4" l="1"/>
  <c r="AI156" i="4"/>
  <c r="AL144" i="4"/>
  <c r="AN144" i="4" s="1"/>
  <c r="AO144" i="4" s="1"/>
  <c r="BE144" i="4" s="1"/>
  <c r="AP155" i="4"/>
  <c r="AR155" i="4" s="1"/>
  <c r="AS155" i="4"/>
  <c r="AY136" i="4"/>
  <c r="AZ136" i="4" s="1"/>
  <c r="BB136" i="4"/>
  <c r="BC136" i="4" s="1"/>
  <c r="BD136" i="4" s="1"/>
  <c r="D155" i="4" s="1"/>
  <c r="BF136" i="4"/>
  <c r="AP156" i="4" l="1"/>
  <c r="AR156" i="4" s="1"/>
  <c r="AS156" i="4"/>
  <c r="AI157" i="4"/>
  <c r="AL145" i="4"/>
  <c r="AN145" i="4" s="1"/>
  <c r="AO145" i="4" s="1"/>
  <c r="BE145" i="4" s="1"/>
  <c r="AH146" i="4"/>
  <c r="BG136" i="4"/>
  <c r="E155" i="4" s="1"/>
  <c r="BA137" i="4"/>
  <c r="AV137" i="4"/>
  <c r="AX137" i="4" s="1"/>
  <c r="AI158" i="4" l="1"/>
  <c r="AL146" i="4"/>
  <c r="AN146" i="4" s="1"/>
  <c r="AO146" i="4" s="1"/>
  <c r="BE146" i="4" s="1"/>
  <c r="AH147" i="4"/>
  <c r="AS157" i="4"/>
  <c r="AP157" i="4"/>
  <c r="AR157" i="4" s="1"/>
  <c r="AY137" i="4"/>
  <c r="AZ137" i="4" s="1"/>
  <c r="BF137" i="4"/>
  <c r="BB137" i="4"/>
  <c r="BC137" i="4" s="1"/>
  <c r="BD137" i="4" s="1"/>
  <c r="D156" i="4" s="1"/>
  <c r="AI159" i="4" l="1"/>
  <c r="AH148" i="4"/>
  <c r="AL147" i="4"/>
  <c r="AN147" i="4" s="1"/>
  <c r="AO147" i="4" s="1"/>
  <c r="BE147" i="4" s="1"/>
  <c r="AP158" i="4"/>
  <c r="AR158" i="4" s="1"/>
  <c r="AS158" i="4"/>
  <c r="AV138" i="4"/>
  <c r="AX138" i="4" s="1"/>
  <c r="BA138" i="4"/>
  <c r="BG137" i="4"/>
  <c r="E156" i="4" s="1"/>
  <c r="AL148" i="4" l="1"/>
  <c r="AN148" i="4" s="1"/>
  <c r="AO148" i="4" s="1"/>
  <c r="BE148" i="4" s="1"/>
  <c r="AH149" i="4"/>
  <c r="AI160" i="4"/>
  <c r="AP159" i="4"/>
  <c r="AR159" i="4" s="1"/>
  <c r="AS159" i="4"/>
  <c r="BB138" i="4"/>
  <c r="BC138" i="4" s="1"/>
  <c r="BF138" i="4"/>
  <c r="AY138" i="4"/>
  <c r="AZ138" i="4" s="1"/>
  <c r="BG138" i="4" l="1"/>
  <c r="E157" i="4" s="1"/>
  <c r="AI161" i="4"/>
  <c r="AL149" i="4"/>
  <c r="AN149" i="4" s="1"/>
  <c r="AO149" i="4" s="1"/>
  <c r="BE149" i="4" s="1"/>
  <c r="AH150" i="4"/>
  <c r="AP160" i="4"/>
  <c r="AR160" i="4" s="1"/>
  <c r="AS160" i="4"/>
  <c r="E17" i="4"/>
  <c r="O34" i="4" s="1"/>
  <c r="E31" i="4"/>
  <c r="O31" i="4" s="1"/>
  <c r="BD138" i="4"/>
  <c r="BA139" i="4"/>
  <c r="AV139" i="4"/>
  <c r="AX139" i="4" s="1"/>
  <c r="AL150" i="4" l="1"/>
  <c r="AN150" i="4" s="1"/>
  <c r="AI162" i="4"/>
  <c r="AH151" i="4"/>
  <c r="AP161" i="4"/>
  <c r="AR161" i="4" s="1"/>
  <c r="AS161" i="4"/>
  <c r="BF139" i="4"/>
  <c r="BB139" i="4"/>
  <c r="BC139" i="4" s="1"/>
  <c r="AY139" i="4"/>
  <c r="AZ139" i="4" s="1"/>
  <c r="D17" i="4"/>
  <c r="N34" i="4" s="1"/>
  <c r="D31" i="4"/>
  <c r="N31" i="4" s="1"/>
  <c r="D157" i="4"/>
  <c r="BG139" i="4" l="1"/>
  <c r="E158" i="4" s="1"/>
  <c r="AS162" i="4"/>
  <c r="AP162" i="4"/>
  <c r="AR162" i="4" s="1"/>
  <c r="AH152" i="4"/>
  <c r="AL151" i="4"/>
  <c r="AN151" i="4" s="1"/>
  <c r="AO151" i="4" s="1"/>
  <c r="BE151" i="4" s="1"/>
  <c r="AO150" i="4"/>
  <c r="BE150" i="4" s="1"/>
  <c r="AU150" i="4"/>
  <c r="BA140" i="4"/>
  <c r="AV140" i="4"/>
  <c r="AX140" i="4" s="1"/>
  <c r="BD139" i="4"/>
  <c r="D158" i="4" s="1"/>
  <c r="AL152" i="4" l="1"/>
  <c r="AN152" i="4" s="1"/>
  <c r="AO152" i="4" s="1"/>
  <c r="BE152" i="4" s="1"/>
  <c r="AH153" i="4"/>
  <c r="AY140" i="4"/>
  <c r="AZ140" i="4" s="1"/>
  <c r="BF140" i="4"/>
  <c r="BB140" i="4"/>
  <c r="BC140" i="4" s="1"/>
  <c r="BD140" i="4" s="1"/>
  <c r="D159" i="4" s="1"/>
  <c r="AH154" i="4" l="1"/>
  <c r="AL153" i="4"/>
  <c r="AN153" i="4" s="1"/>
  <c r="AO153" i="4" s="1"/>
  <c r="BE153" i="4" s="1"/>
  <c r="BG140" i="4"/>
  <c r="E159" i="4" s="1"/>
  <c r="BA141" i="4"/>
  <c r="AV141" i="4"/>
  <c r="AX141" i="4" s="1"/>
  <c r="AL154" i="4" l="1"/>
  <c r="AN154" i="4" s="1"/>
  <c r="AO154" i="4" s="1"/>
  <c r="BE154" i="4" s="1"/>
  <c r="AH155" i="4"/>
  <c r="AY141" i="4"/>
  <c r="AZ141" i="4" s="1"/>
  <c r="BB141" i="4"/>
  <c r="BC141" i="4" s="1"/>
  <c r="BF141" i="4"/>
  <c r="AL155" i="4" l="1"/>
  <c r="AN155" i="4" s="1"/>
  <c r="AO155" i="4" s="1"/>
  <c r="BE155" i="4" s="1"/>
  <c r="AH156" i="4"/>
  <c r="BG141" i="4"/>
  <c r="E160" i="4" s="1"/>
  <c r="BA142" i="4"/>
  <c r="AV142" i="4"/>
  <c r="AX142" i="4" s="1"/>
  <c r="BD141" i="4"/>
  <c r="D160" i="4" s="1"/>
  <c r="AH157" i="4" l="1"/>
  <c r="AL156" i="4"/>
  <c r="AN156" i="4" s="1"/>
  <c r="AO156" i="4" s="1"/>
  <c r="BE156" i="4" s="1"/>
  <c r="AY142" i="4"/>
  <c r="AZ142" i="4" s="1"/>
  <c r="BF142" i="4"/>
  <c r="BB142" i="4"/>
  <c r="BC142" i="4" s="1"/>
  <c r="BD142" i="4" s="1"/>
  <c r="D161" i="4" s="1"/>
  <c r="AL157" i="4" l="1"/>
  <c r="AN157" i="4" s="1"/>
  <c r="AO157" i="4" s="1"/>
  <c r="BE157" i="4" s="1"/>
  <c r="AH158" i="4"/>
  <c r="AV143" i="4"/>
  <c r="AX143" i="4" s="1"/>
  <c r="BA143" i="4"/>
  <c r="BG142" i="4"/>
  <c r="E161" i="4" s="1"/>
  <c r="AH159" i="4" l="1"/>
  <c r="AL158" i="4"/>
  <c r="AN158" i="4" s="1"/>
  <c r="AO158" i="4" s="1"/>
  <c r="BE158" i="4" s="1"/>
  <c r="BB143" i="4"/>
  <c r="BC143" i="4" s="1"/>
  <c r="BD143" i="4" s="1"/>
  <c r="D162" i="4" s="1"/>
  <c r="BF143" i="4"/>
  <c r="AY143" i="4"/>
  <c r="AZ143" i="4" s="1"/>
  <c r="BG143" i="4" l="1"/>
  <c r="E162" i="4" s="1"/>
  <c r="AL159" i="4"/>
  <c r="AN159" i="4" s="1"/>
  <c r="AO159" i="4" s="1"/>
  <c r="BE159" i="4" s="1"/>
  <c r="AH160" i="4"/>
  <c r="BA144" i="4"/>
  <c r="AV144" i="4"/>
  <c r="AX144" i="4" s="1"/>
  <c r="AL160" i="4" l="1"/>
  <c r="AN160" i="4" s="1"/>
  <c r="AO160" i="4" s="1"/>
  <c r="BE160" i="4" s="1"/>
  <c r="AH161" i="4"/>
  <c r="AY144" i="4"/>
  <c r="AZ144" i="4" s="1"/>
  <c r="BF144" i="4"/>
  <c r="BB144" i="4"/>
  <c r="BC144" i="4" s="1"/>
  <c r="BG144" i="4" l="1"/>
  <c r="E163" i="4" s="1"/>
  <c r="AL161" i="4"/>
  <c r="AN161" i="4" s="1"/>
  <c r="AO161" i="4" s="1"/>
  <c r="BE161" i="4" s="1"/>
  <c r="AH162" i="4"/>
  <c r="BD144" i="4"/>
  <c r="D163" i="4" s="1"/>
  <c r="BA145" i="4"/>
  <c r="AV145" i="4"/>
  <c r="AX145" i="4" s="1"/>
  <c r="AL162" i="4" l="1"/>
  <c r="AN162" i="4" s="1"/>
  <c r="AO162" i="4" s="1"/>
  <c r="BE162" i="4" s="1"/>
  <c r="AY145" i="4"/>
  <c r="AZ145" i="4" s="1"/>
  <c r="BB145" i="4"/>
  <c r="BC145" i="4" s="1"/>
  <c r="BD145" i="4" s="1"/>
  <c r="D164" i="4" s="1"/>
  <c r="BF145" i="4"/>
  <c r="BG145" i="4" l="1"/>
  <c r="E164" i="4" s="1"/>
  <c r="AV146" i="4"/>
  <c r="AX146" i="4" s="1"/>
  <c r="BA146" i="4"/>
  <c r="BB146" i="4" l="1"/>
  <c r="BC146" i="4" s="1"/>
  <c r="BD146" i="4" s="1"/>
  <c r="D165" i="4" s="1"/>
  <c r="BF146" i="4"/>
  <c r="AY146" i="4"/>
  <c r="AZ146" i="4" s="1"/>
  <c r="BG146" i="4" l="1"/>
  <c r="E165" i="4" s="1"/>
  <c r="BA147" i="4"/>
  <c r="AV147" i="4"/>
  <c r="AX147" i="4" s="1"/>
  <c r="AY147" i="4" l="1"/>
  <c r="AZ147" i="4" s="1"/>
  <c r="BF147" i="4"/>
  <c r="BB147" i="4"/>
  <c r="BC147" i="4" s="1"/>
  <c r="BG147" i="4" l="1"/>
  <c r="E166" i="4" s="1"/>
  <c r="BD147" i="4"/>
  <c r="D166" i="4" s="1"/>
  <c r="BA148" i="4"/>
  <c r="AV148" i="4"/>
  <c r="AX148" i="4" s="1"/>
  <c r="AY148" i="4" l="1"/>
  <c r="AZ148" i="4" s="1"/>
  <c r="BF148" i="4"/>
  <c r="BB148" i="4"/>
  <c r="BC148" i="4" s="1"/>
  <c r="BG148" i="4" l="1"/>
  <c r="E167" i="4" s="1"/>
  <c r="BD148" i="4"/>
  <c r="D167" i="4" s="1"/>
  <c r="BA149" i="4"/>
  <c r="AV149" i="4"/>
  <c r="AX149" i="4" s="1"/>
  <c r="AY149" i="4" l="1"/>
  <c r="AZ149" i="4" s="1"/>
  <c r="BB149" i="4"/>
  <c r="BC149" i="4" s="1"/>
  <c r="BD149" i="4" s="1"/>
  <c r="D168" i="4" s="1"/>
  <c r="BF149" i="4"/>
  <c r="BG149" i="4" l="1"/>
  <c r="E168" i="4" s="1"/>
  <c r="AV150" i="4"/>
  <c r="AX150" i="4" s="1"/>
  <c r="BA150" i="4"/>
  <c r="BF150" i="4" l="1"/>
  <c r="BB150" i="4"/>
  <c r="BC150" i="4" s="1"/>
  <c r="BD150" i="4" s="1"/>
  <c r="AY150" i="4"/>
  <c r="AZ150" i="4" s="1"/>
  <c r="D169" i="4" l="1"/>
  <c r="D32" i="4"/>
  <c r="N32" i="4" s="1"/>
  <c r="AV151" i="4"/>
  <c r="AX151" i="4" s="1"/>
  <c r="BA151" i="4"/>
  <c r="BG150" i="4"/>
  <c r="E169" i="4" l="1"/>
  <c r="E32" i="4"/>
  <c r="O32" i="4" s="1"/>
  <c r="BB151" i="4"/>
  <c r="BC151" i="4" s="1"/>
  <c r="BF151" i="4"/>
  <c r="AY151" i="4"/>
  <c r="AZ151" i="4" s="1"/>
  <c r="BG151" i="4" l="1"/>
  <c r="E170" i="4" s="1"/>
  <c r="BA152" i="4"/>
  <c r="AV152" i="4"/>
  <c r="AX152" i="4" s="1"/>
  <c r="BD151" i="4"/>
  <c r="D170" i="4" s="1"/>
  <c r="AY152" i="4" l="1"/>
  <c r="AZ152" i="4" s="1"/>
  <c r="BB152" i="4"/>
  <c r="BC152" i="4" s="1"/>
  <c r="BD152" i="4" s="1"/>
  <c r="D171" i="4" s="1"/>
  <c r="BF152" i="4"/>
  <c r="BG152" i="4" l="1"/>
  <c r="E171" i="4" s="1"/>
  <c r="BA153" i="4"/>
  <c r="AV153" i="4"/>
  <c r="AX153" i="4" s="1"/>
  <c r="AY153" i="4" l="1"/>
  <c r="AZ153" i="4" s="1"/>
  <c r="BB153" i="4"/>
  <c r="BC153" i="4" s="1"/>
  <c r="BF153" i="4"/>
  <c r="BG153" i="4" l="1"/>
  <c r="E172" i="4" s="1"/>
  <c r="BD153" i="4"/>
  <c r="D172" i="4" s="1"/>
  <c r="BA154" i="4"/>
  <c r="AV154" i="4"/>
  <c r="AX154" i="4" s="1"/>
  <c r="AY154" i="4" l="1"/>
  <c r="AZ154" i="4" s="1"/>
  <c r="BF154" i="4"/>
  <c r="BB154" i="4"/>
  <c r="BC154" i="4" s="1"/>
  <c r="BD154" i="4" s="1"/>
  <c r="D173" i="4" s="1"/>
  <c r="BG154" i="4" l="1"/>
  <c r="E173" i="4" s="1"/>
  <c r="BA155" i="4"/>
  <c r="AV155" i="4"/>
  <c r="AX155" i="4" s="1"/>
  <c r="AY155" i="4" l="1"/>
  <c r="AZ155" i="4" s="1"/>
  <c r="BB155" i="4"/>
  <c r="BC155" i="4" s="1"/>
  <c r="BD155" i="4" s="1"/>
  <c r="D174" i="4" s="1"/>
  <c r="BF155" i="4"/>
  <c r="BG155" i="4" l="1"/>
  <c r="E174" i="4" s="1"/>
  <c r="BA156" i="4"/>
  <c r="AV156" i="4"/>
  <c r="AX156" i="4" s="1"/>
  <c r="AY156" i="4" l="1"/>
  <c r="AZ156" i="4" s="1"/>
  <c r="BB156" i="4"/>
  <c r="BC156" i="4" s="1"/>
  <c r="BD156" i="4" s="1"/>
  <c r="D175" i="4" s="1"/>
  <c r="BF156" i="4"/>
  <c r="BG156" i="4" l="1"/>
  <c r="E175" i="4" s="1"/>
  <c r="BA157" i="4"/>
  <c r="AV157" i="4"/>
  <c r="AX157" i="4" s="1"/>
  <c r="AY157" i="4" l="1"/>
  <c r="AZ157" i="4" s="1"/>
  <c r="BF157" i="4"/>
  <c r="BB157" i="4"/>
  <c r="BC157" i="4" s="1"/>
  <c r="BG157" i="4" l="1"/>
  <c r="E176" i="4" s="1"/>
  <c r="BD157" i="4"/>
  <c r="D176" i="4" s="1"/>
  <c r="BA158" i="4"/>
  <c r="AV158" i="4"/>
  <c r="AX158" i="4" s="1"/>
  <c r="AY158" i="4" l="1"/>
  <c r="AZ158" i="4" s="1"/>
  <c r="BB158" i="4"/>
  <c r="BC158" i="4" s="1"/>
  <c r="BF158" i="4"/>
  <c r="BG158" i="4" l="1"/>
  <c r="E177" i="4" s="1"/>
  <c r="BD158" i="4"/>
  <c r="D177" i="4" s="1"/>
  <c r="BA159" i="4"/>
  <c r="AV159" i="4"/>
  <c r="AX159" i="4" s="1"/>
  <c r="AY159" i="4" l="1"/>
  <c r="AZ159" i="4" s="1"/>
  <c r="BF159" i="4"/>
  <c r="BB159" i="4"/>
  <c r="BC159" i="4" s="1"/>
  <c r="BD159" i="4" s="1"/>
  <c r="D178" i="4" s="1"/>
  <c r="BG159" i="4" l="1"/>
  <c r="E178" i="4" s="1"/>
  <c r="BA160" i="4"/>
  <c r="AV160" i="4"/>
  <c r="AX160" i="4" s="1"/>
  <c r="AY160" i="4" l="1"/>
  <c r="AZ160" i="4" s="1"/>
  <c r="BB160" i="4"/>
  <c r="BC160" i="4" s="1"/>
  <c r="BD160" i="4" s="1"/>
  <c r="D179" i="4" s="1"/>
  <c r="BF160" i="4"/>
  <c r="BG160" i="4" l="1"/>
  <c r="E179" i="4" s="1"/>
  <c r="BA161" i="4"/>
  <c r="AV161" i="4"/>
  <c r="AX161" i="4" s="1"/>
  <c r="AY161" i="4" l="1"/>
  <c r="AZ161" i="4" s="1"/>
  <c r="BA162" i="4" s="1"/>
  <c r="BB161" i="4"/>
  <c r="BC161" i="4" s="1"/>
  <c r="BF161" i="4"/>
  <c r="BG161" i="4" l="1"/>
  <c r="E180" i="4" s="1"/>
  <c r="BD161" i="4"/>
  <c r="D180" i="4" s="1"/>
  <c r="BB162" i="4"/>
  <c r="BC162" i="4" s="1"/>
  <c r="BD162" i="4" s="1"/>
  <c r="BF162" i="4"/>
  <c r="D181" i="4" l="1"/>
  <c r="D33" i="4"/>
  <c r="N33" i="4" s="1"/>
  <c r="BG162" i="4"/>
  <c r="E33" i="4" l="1"/>
  <c r="O33" i="4" s="1"/>
  <c r="E181" i="4"/>
  <c r="AL53" i="5"/>
  <c r="AM53" i="5" s="1"/>
  <c r="AQ53" i="5" s="1"/>
  <c r="C54" i="5" s="1"/>
  <c r="O54" i="5" s="1"/>
  <c r="AL51" i="5"/>
  <c r="AM51" i="5" s="1"/>
  <c r="AQ51" i="5" s="1"/>
  <c r="C52" i="5" s="1"/>
  <c r="O52" i="5" s="1"/>
  <c r="AL52" i="5"/>
  <c r="AM52" i="5" s="1"/>
  <c r="AQ52" i="5" s="1"/>
  <c r="C53" i="5" s="1"/>
  <c r="O53" i="5" s="1"/>
  <c r="AL45" i="5"/>
  <c r="AM45" i="5" s="1"/>
  <c r="AQ45" i="5" s="1"/>
  <c r="C46" i="5" s="1"/>
  <c r="O46" i="5" s="1"/>
  <c r="AL47" i="5"/>
  <c r="AM47" i="5" s="1"/>
  <c r="AQ47" i="5" s="1"/>
  <c r="C48" i="5" s="1"/>
  <c r="O48" i="5" s="1"/>
  <c r="AL48" i="5"/>
  <c r="AM48" i="5" s="1"/>
  <c r="AQ48" i="5" s="1"/>
  <c r="C49" i="5" s="1"/>
  <c r="O49" i="5" s="1"/>
  <c r="AL50" i="5"/>
  <c r="AM50" i="5" s="1"/>
  <c r="AQ50" i="5" s="1"/>
  <c r="C51" i="5" s="1"/>
  <c r="O51" i="5" s="1"/>
  <c r="AL46" i="5"/>
  <c r="AM46" i="5" s="1"/>
  <c r="AQ46" i="5" s="1"/>
  <c r="C47" i="5" s="1"/>
  <c r="O47" i="5" s="1"/>
  <c r="AL54" i="5"/>
  <c r="AM54" i="5" s="1"/>
  <c r="AQ54" i="5" s="1"/>
  <c r="C55" i="5" s="1"/>
  <c r="O55" i="5" s="1"/>
  <c r="AL49" i="5"/>
  <c r="AM49" i="5" s="1"/>
  <c r="AQ49" i="5" s="1"/>
  <c r="C50" i="5" s="1"/>
  <c r="O50" i="5" s="1"/>
  <c r="AE56" i="5" l="1"/>
  <c r="AF56" i="5"/>
  <c r="AF57" i="5" s="1"/>
  <c r="AF58" i="5" s="1"/>
  <c r="AF59" i="5" s="1"/>
  <c r="AF60" i="5" s="1"/>
  <c r="AF61" i="5" s="1"/>
  <c r="AF62" i="5" s="1"/>
  <c r="AF63" i="5" s="1"/>
  <c r="AF64" i="5" s="1"/>
  <c r="AF65" i="5" s="1"/>
  <c r="AF66" i="5" s="1"/>
  <c r="AF67" i="5" s="1"/>
  <c r="AE57" i="5" l="1"/>
  <c r="AG56" i="5"/>
  <c r="AH56" i="5" l="1"/>
  <c r="AJ56" i="5" s="1"/>
  <c r="AG57" i="5"/>
  <c r="AE58" i="5"/>
  <c r="AL57" i="5"/>
  <c r="AE59" i="5" l="1"/>
  <c r="AL58" i="5"/>
  <c r="AH57" i="5"/>
  <c r="AJ57" i="5" s="1"/>
  <c r="AG58" i="5"/>
  <c r="AN56" i="5"/>
  <c r="AP56" i="5" s="1"/>
  <c r="AL56" i="5"/>
  <c r="AM56" i="5" s="1"/>
  <c r="AQ56" i="5" s="1"/>
  <c r="C57" i="5" s="1"/>
  <c r="O57" i="5" s="1"/>
  <c r="AG59" i="5" l="1"/>
  <c r="AH58" i="5"/>
  <c r="AJ58" i="5" s="1"/>
  <c r="AN57" i="5"/>
  <c r="AP57" i="5" s="1"/>
  <c r="AM57" i="5"/>
  <c r="AQ57" i="5" s="1"/>
  <c r="C58" i="5" s="1"/>
  <c r="O58" i="5" s="1"/>
  <c r="AE60" i="5"/>
  <c r="AL59" i="5"/>
  <c r="AN58" i="5" l="1"/>
  <c r="AP58" i="5" s="1"/>
  <c r="AM58" i="5"/>
  <c r="AQ58" i="5" s="1"/>
  <c r="C59" i="5" s="1"/>
  <c r="O59" i="5" s="1"/>
  <c r="AE61" i="5"/>
  <c r="AL60" i="5"/>
  <c r="AH59" i="5"/>
  <c r="AJ59" i="5" s="1"/>
  <c r="AG60" i="5"/>
  <c r="AN59" i="5" l="1"/>
  <c r="AP59" i="5" s="1"/>
  <c r="AM59" i="5"/>
  <c r="AQ59" i="5" s="1"/>
  <c r="C60" i="5" s="1"/>
  <c r="O60" i="5" s="1"/>
  <c r="AG61" i="5"/>
  <c r="AH60" i="5"/>
  <c r="AJ60" i="5" s="1"/>
  <c r="AE62" i="5"/>
  <c r="AL61" i="5"/>
  <c r="AN60" i="5" l="1"/>
  <c r="AP60" i="5" s="1"/>
  <c r="AM60" i="5"/>
  <c r="AQ60" i="5" s="1"/>
  <c r="C61" i="5" s="1"/>
  <c r="O61" i="5" s="1"/>
  <c r="AG62" i="5"/>
  <c r="AH61" i="5"/>
  <c r="AJ61" i="5" s="1"/>
  <c r="AE63" i="5"/>
  <c r="AL62" i="5"/>
  <c r="AE64" i="5" l="1"/>
  <c r="AL63" i="5"/>
  <c r="AN61" i="5"/>
  <c r="AP61" i="5" s="1"/>
  <c r="AM61" i="5"/>
  <c r="AQ61" i="5" s="1"/>
  <c r="C62" i="5" s="1"/>
  <c r="O62" i="5" s="1"/>
  <c r="AG63" i="5"/>
  <c r="AH62" i="5"/>
  <c r="AJ62" i="5" s="1"/>
  <c r="AG64" i="5" l="1"/>
  <c r="AH63" i="5"/>
  <c r="AJ63" i="5" s="1"/>
  <c r="AE65" i="5"/>
  <c r="AL64" i="5"/>
  <c r="AN62" i="5"/>
  <c r="AP62" i="5" s="1"/>
  <c r="AM62" i="5"/>
  <c r="AQ62" i="5" s="1"/>
  <c r="C63" i="5" s="1"/>
  <c r="O63" i="5" s="1"/>
  <c r="AE66" i="5" l="1"/>
  <c r="AL65" i="5"/>
  <c r="AN63" i="5"/>
  <c r="AP63" i="5" s="1"/>
  <c r="AM63" i="5"/>
  <c r="AQ63" i="5" s="1"/>
  <c r="C64" i="5" s="1"/>
  <c r="O64" i="5" s="1"/>
  <c r="AG65" i="5"/>
  <c r="AH64" i="5"/>
  <c r="AJ64" i="5" s="1"/>
  <c r="AN64" i="5" l="1"/>
  <c r="AP64" i="5" s="1"/>
  <c r="AM64" i="5"/>
  <c r="AQ64" i="5" s="1"/>
  <c r="C65" i="5" s="1"/>
  <c r="O65" i="5" s="1"/>
  <c r="AG66" i="5"/>
  <c r="AH65" i="5"/>
  <c r="AJ65" i="5" s="1"/>
  <c r="AE67" i="5"/>
  <c r="AL66" i="5"/>
  <c r="AN65" i="5" l="1"/>
  <c r="AP65" i="5" s="1"/>
  <c r="AM65" i="5"/>
  <c r="AQ65" i="5" s="1"/>
  <c r="C66" i="5" s="1"/>
  <c r="O66" i="5" s="1"/>
  <c r="AG67" i="5"/>
  <c r="AH67" i="5" s="1"/>
  <c r="AJ67" i="5" s="1"/>
  <c r="AH66" i="5"/>
  <c r="AJ66" i="5" s="1"/>
  <c r="AN67" i="5" l="1"/>
  <c r="AM67" i="5"/>
  <c r="AN66" i="5"/>
  <c r="AP66" i="5" s="1"/>
  <c r="AM66" i="5"/>
  <c r="AQ66" i="5" s="1"/>
  <c r="C67" i="5" s="1"/>
  <c r="O67" i="5" s="1"/>
  <c r="AP67" i="5" l="1"/>
  <c r="AQ67" i="5"/>
  <c r="C68" i="5" s="1"/>
  <c r="O68" i="5" s="1"/>
  <c r="C10" i="5" l="1"/>
  <c r="C26" i="5" s="1"/>
  <c r="AE68" i="5"/>
  <c r="AE69" i="5" s="1"/>
  <c r="AE70" i="5" s="1"/>
  <c r="AE71" i="5" s="1"/>
  <c r="AE72" i="5" s="1"/>
  <c r="AE73" i="5" s="1"/>
  <c r="AE74" i="5" s="1"/>
  <c r="AE75" i="5" s="1"/>
  <c r="AE76" i="5" s="1"/>
  <c r="AE77" i="5" s="1"/>
  <c r="AE78" i="5" s="1"/>
  <c r="AE79" i="5" s="1"/>
  <c r="AF68" i="5"/>
  <c r="AF69" i="5" s="1"/>
  <c r="AF70" i="5" s="1"/>
  <c r="AF71" i="5" s="1"/>
  <c r="AF72" i="5" s="1"/>
  <c r="AF73" i="5" s="1"/>
  <c r="AF74" i="5" s="1"/>
  <c r="AF75" i="5" s="1"/>
  <c r="AF76" i="5" s="1"/>
  <c r="AF77" i="5" s="1"/>
  <c r="AF78" i="5" s="1"/>
  <c r="AF79" i="5" s="1"/>
  <c r="AL70" i="5" l="1"/>
  <c r="AL69" i="5"/>
  <c r="AG68" i="5"/>
  <c r="AG69" i="5" s="1"/>
  <c r="AG70" i="5" s="1"/>
  <c r="AH70" i="5" s="1"/>
  <c r="AJ70" i="5" s="1"/>
  <c r="AN70" i="5" s="1"/>
  <c r="AL71" i="5"/>
  <c r="AG71" i="5" l="1"/>
  <c r="AH68" i="5"/>
  <c r="AJ68" i="5" s="1"/>
  <c r="AN68" i="5" s="1"/>
  <c r="AP68" i="5" s="1"/>
  <c r="AH69" i="5"/>
  <c r="AJ69" i="5" s="1"/>
  <c r="AN69" i="5" s="1"/>
  <c r="AL72" i="5"/>
  <c r="AM70" i="5"/>
  <c r="AG72" i="5"/>
  <c r="AH71" i="5"/>
  <c r="AJ71" i="5" s="1"/>
  <c r="AN71" i="5" s="1"/>
  <c r="AL68" i="5" l="1"/>
  <c r="AM68" i="5" s="1"/>
  <c r="AQ68" i="5" s="1"/>
  <c r="C69" i="5" s="1"/>
  <c r="O69" i="5" s="1"/>
  <c r="AP69" i="5"/>
  <c r="AP70" i="5" s="1"/>
  <c r="AP71" i="5" s="1"/>
  <c r="AM69" i="5"/>
  <c r="AQ69" i="5" s="1"/>
  <c r="C70" i="5" s="1"/>
  <c r="O70" i="5" s="1"/>
  <c r="AG73" i="5"/>
  <c r="AH72" i="5"/>
  <c r="AJ72" i="5" s="1"/>
  <c r="AN72" i="5" s="1"/>
  <c r="AM71" i="5"/>
  <c r="AL73" i="5"/>
  <c r="AQ71" i="5" l="1"/>
  <c r="C72" i="5" s="1"/>
  <c r="O72" i="5" s="1"/>
  <c r="AQ70" i="5"/>
  <c r="C71" i="5" s="1"/>
  <c r="O71" i="5" s="1"/>
  <c r="AP72" i="5"/>
  <c r="AL74" i="5"/>
  <c r="AM72" i="5"/>
  <c r="AQ72" i="5" s="1"/>
  <c r="C73" i="5" s="1"/>
  <c r="O73" i="5" s="1"/>
  <c r="AH73" i="5"/>
  <c r="AJ73" i="5" s="1"/>
  <c r="AN73" i="5" s="1"/>
  <c r="AG74" i="5"/>
  <c r="AP73" i="5" l="1"/>
  <c r="AH74" i="5"/>
  <c r="AJ74" i="5" s="1"/>
  <c r="AN74" i="5" s="1"/>
  <c r="AG75" i="5"/>
  <c r="AM73" i="5"/>
  <c r="AQ73" i="5" s="1"/>
  <c r="C74" i="5" s="1"/>
  <c r="O74" i="5" s="1"/>
  <c r="AL75" i="5"/>
  <c r="AP74" i="5" l="1"/>
  <c r="AL76" i="5"/>
  <c r="AG76" i="5"/>
  <c r="AH75" i="5"/>
  <c r="AJ75" i="5" s="1"/>
  <c r="AN75" i="5" s="1"/>
  <c r="AM74" i="5"/>
  <c r="AQ74" i="5" s="1"/>
  <c r="C75" i="5" s="1"/>
  <c r="O75" i="5" s="1"/>
  <c r="AP75" i="5" l="1"/>
  <c r="AG77" i="5"/>
  <c r="AH76" i="5"/>
  <c r="AJ76" i="5" s="1"/>
  <c r="AN76" i="5" s="1"/>
  <c r="AM75" i="5"/>
  <c r="AQ75" i="5" s="1"/>
  <c r="C76" i="5" s="1"/>
  <c r="O76" i="5" s="1"/>
  <c r="AL77" i="5"/>
  <c r="AP76" i="5" l="1"/>
  <c r="AL78" i="5"/>
  <c r="AM76" i="5"/>
  <c r="AQ76" i="5" s="1"/>
  <c r="C77" i="5" s="1"/>
  <c r="O77" i="5" s="1"/>
  <c r="AG78" i="5"/>
  <c r="AH77" i="5"/>
  <c r="AJ77" i="5" s="1"/>
  <c r="AN77" i="5" s="1"/>
  <c r="AP77" i="5" l="1"/>
  <c r="AM77" i="5"/>
  <c r="AQ77" i="5" s="1"/>
  <c r="C78" i="5" s="1"/>
  <c r="O78" i="5" s="1"/>
  <c r="AH78" i="5"/>
  <c r="AJ78" i="5" s="1"/>
  <c r="AN78" i="5" s="1"/>
  <c r="AG79" i="5"/>
  <c r="AH79" i="5" s="1"/>
  <c r="AJ79" i="5" s="1"/>
  <c r="AN79" i="5" s="1"/>
  <c r="AP78" i="5" l="1"/>
  <c r="AP79" i="5" s="1"/>
  <c r="AM79" i="5"/>
  <c r="AM78" i="5"/>
  <c r="AQ78" i="5" s="1"/>
  <c r="C79" i="5" s="1"/>
  <c r="O79" i="5" s="1"/>
  <c r="AQ79" i="5" l="1"/>
  <c r="C11" i="5" l="1"/>
  <c r="C27" i="5" s="1"/>
  <c r="C80" i="5"/>
  <c r="O80" i="5" s="1"/>
  <c r="AE80" i="5" l="1"/>
  <c r="AF80" i="5"/>
  <c r="AF81" i="5" s="1"/>
  <c r="AF82" i="5" s="1"/>
  <c r="AF83" i="5" s="1"/>
  <c r="AF84" i="5" s="1"/>
  <c r="AF85" i="5" s="1"/>
  <c r="AF86" i="5" s="1"/>
  <c r="AF87" i="5" s="1"/>
  <c r="AF88" i="5" s="1"/>
  <c r="AF89" i="5" s="1"/>
  <c r="AF90" i="5" s="1"/>
  <c r="AF91" i="5" s="1"/>
  <c r="AE81" i="5" l="1"/>
  <c r="AG80" i="5"/>
  <c r="AH80" i="5" l="1"/>
  <c r="AJ80" i="5" s="1"/>
  <c r="AG81" i="5"/>
  <c r="AE82" i="5"/>
  <c r="AL81" i="5"/>
  <c r="AE83" i="5" l="1"/>
  <c r="AL82" i="5"/>
  <c r="AG82" i="5"/>
  <c r="AH81" i="5"/>
  <c r="AJ81" i="5" s="1"/>
  <c r="AN80" i="5"/>
  <c r="AP80" i="5" s="1"/>
  <c r="AL80" i="5"/>
  <c r="AM80" i="5" s="1"/>
  <c r="AQ80" i="5" s="1"/>
  <c r="C81" i="5" s="1"/>
  <c r="O81" i="5" s="1"/>
  <c r="AN81" i="5" l="1"/>
  <c r="AP81" i="5" s="1"/>
  <c r="AM81" i="5"/>
  <c r="AQ81" i="5" s="1"/>
  <c r="C82" i="5" s="1"/>
  <c r="O82" i="5" s="1"/>
  <c r="AG83" i="5"/>
  <c r="AH82" i="5"/>
  <c r="AJ82" i="5" s="1"/>
  <c r="AE84" i="5"/>
  <c r="AL83" i="5"/>
  <c r="AN82" i="5" l="1"/>
  <c r="AP82" i="5" s="1"/>
  <c r="AM82" i="5"/>
  <c r="AQ82" i="5" s="1"/>
  <c r="C83" i="5" s="1"/>
  <c r="O83" i="5" s="1"/>
  <c r="AE85" i="5"/>
  <c r="AL84" i="5"/>
  <c r="AG84" i="5"/>
  <c r="AH83" i="5"/>
  <c r="AJ83" i="5" s="1"/>
  <c r="AN83" i="5" l="1"/>
  <c r="AP83" i="5" s="1"/>
  <c r="AM83" i="5"/>
  <c r="AQ83" i="5" s="1"/>
  <c r="C84" i="5" s="1"/>
  <c r="O84" i="5" s="1"/>
  <c r="AE86" i="5"/>
  <c r="AL85" i="5"/>
  <c r="AH84" i="5"/>
  <c r="AJ84" i="5" s="1"/>
  <c r="AG85" i="5"/>
  <c r="AH85" i="5" l="1"/>
  <c r="AJ85" i="5" s="1"/>
  <c r="AG86" i="5"/>
  <c r="AN84" i="5"/>
  <c r="AP84" i="5" s="1"/>
  <c r="AM84" i="5"/>
  <c r="AQ84" i="5" s="1"/>
  <c r="C85" i="5" s="1"/>
  <c r="O85" i="5" s="1"/>
  <c r="AE87" i="5"/>
  <c r="AL86" i="5"/>
  <c r="AN85" i="5" l="1"/>
  <c r="AP85" i="5" s="1"/>
  <c r="AM85" i="5"/>
  <c r="AQ85" i="5" s="1"/>
  <c r="C86" i="5" s="1"/>
  <c r="O86" i="5" s="1"/>
  <c r="AE88" i="5"/>
  <c r="AL87" i="5"/>
  <c r="AH86" i="5"/>
  <c r="AJ86" i="5" s="1"/>
  <c r="AG87" i="5"/>
  <c r="AN86" i="5" l="1"/>
  <c r="AP86" i="5" s="1"/>
  <c r="AM86" i="5"/>
  <c r="AQ86" i="5" s="1"/>
  <c r="C87" i="5" s="1"/>
  <c r="O87" i="5" s="1"/>
  <c r="AG88" i="5"/>
  <c r="AH87" i="5"/>
  <c r="AJ87" i="5" s="1"/>
  <c r="AE89" i="5"/>
  <c r="AL88" i="5"/>
  <c r="AN87" i="5" l="1"/>
  <c r="AP87" i="5" s="1"/>
  <c r="AM87" i="5"/>
  <c r="AQ87" i="5" s="1"/>
  <c r="C88" i="5" s="1"/>
  <c r="O88" i="5" s="1"/>
  <c r="AG89" i="5"/>
  <c r="AH88" i="5"/>
  <c r="AJ88" i="5" s="1"/>
  <c r="AE90" i="5"/>
  <c r="AL89" i="5"/>
  <c r="AN88" i="5" l="1"/>
  <c r="AP88" i="5" s="1"/>
  <c r="AM88" i="5"/>
  <c r="AQ88" i="5" s="1"/>
  <c r="C89" i="5" s="1"/>
  <c r="O89" i="5" s="1"/>
  <c r="AG90" i="5"/>
  <c r="AH89" i="5"/>
  <c r="AJ89" i="5" s="1"/>
  <c r="AE91" i="5"/>
  <c r="AL90" i="5"/>
  <c r="AN89" i="5" l="1"/>
  <c r="AP89" i="5" s="1"/>
  <c r="AM89" i="5"/>
  <c r="AQ89" i="5" s="1"/>
  <c r="C90" i="5" s="1"/>
  <c r="O90" i="5" s="1"/>
  <c r="AG91" i="5"/>
  <c r="AH91" i="5" s="1"/>
  <c r="AJ91" i="5" s="1"/>
  <c r="AH90" i="5"/>
  <c r="AJ90" i="5" s="1"/>
  <c r="AN91" i="5" l="1"/>
  <c r="AM91" i="5"/>
  <c r="AN90" i="5"/>
  <c r="AP90" i="5" s="1"/>
  <c r="AM90" i="5"/>
  <c r="AQ90" i="5" s="1"/>
  <c r="C91" i="5" s="1"/>
  <c r="O91" i="5" s="1"/>
  <c r="AP91" i="5" l="1"/>
  <c r="AF92" i="5" s="1"/>
  <c r="AF93" i="5" s="1"/>
  <c r="AF94" i="5" s="1"/>
  <c r="AF95" i="5" s="1"/>
  <c r="AF96" i="5" s="1"/>
  <c r="AF97" i="5" s="1"/>
  <c r="AF98" i="5" s="1"/>
  <c r="AF99" i="5" s="1"/>
  <c r="AF100" i="5" s="1"/>
  <c r="AF101" i="5" s="1"/>
  <c r="AF102" i="5" s="1"/>
  <c r="AF103" i="5" s="1"/>
  <c r="AQ91" i="5"/>
  <c r="AE92" i="5" l="1"/>
  <c r="AE93" i="5" s="1"/>
  <c r="C92" i="5"/>
  <c r="O92" i="5" s="1"/>
  <c r="C12" i="5"/>
  <c r="C28" i="5" s="1"/>
  <c r="AG92" i="5" l="1"/>
  <c r="AG93" i="5" s="1"/>
  <c r="AE94" i="5"/>
  <c r="AL93" i="5"/>
  <c r="AH92" i="5" l="1"/>
  <c r="AJ92" i="5" s="1"/>
  <c r="AN92" i="5" s="1"/>
  <c r="AP92" i="5" s="1"/>
  <c r="AE95" i="5"/>
  <c r="AL94" i="5"/>
  <c r="AL92" i="5"/>
  <c r="AM92" i="5" s="1"/>
  <c r="AQ92" i="5" s="1"/>
  <c r="C93" i="5" s="1"/>
  <c r="O93" i="5" s="1"/>
  <c r="AH93" i="5"/>
  <c r="AJ93" i="5" s="1"/>
  <c r="AG94" i="5"/>
  <c r="AN93" i="5" l="1"/>
  <c r="AP93" i="5" s="1"/>
  <c r="AM93" i="5"/>
  <c r="AQ93" i="5" s="1"/>
  <c r="AH94" i="5"/>
  <c r="AJ94" i="5" s="1"/>
  <c r="AG95" i="5"/>
  <c r="AE96" i="5"/>
  <c r="AL95" i="5"/>
  <c r="AN94" i="5" l="1"/>
  <c r="AP94" i="5" s="1"/>
  <c r="AM94" i="5"/>
  <c r="AQ94" i="5" s="1"/>
  <c r="C95" i="5" s="1"/>
  <c r="O95" i="5" s="1"/>
  <c r="AE97" i="5"/>
  <c r="AL96" i="5"/>
  <c r="AG96" i="5"/>
  <c r="AH95" i="5"/>
  <c r="AJ95" i="5" s="1"/>
  <c r="C4" i="5"/>
  <c r="C94" i="5"/>
  <c r="O94" i="5" s="1"/>
  <c r="AG97" i="5" l="1"/>
  <c r="AH96" i="5"/>
  <c r="AJ96" i="5" s="1"/>
  <c r="AE98" i="5"/>
  <c r="AL97" i="5"/>
  <c r="AN95" i="5"/>
  <c r="AP95" i="5" s="1"/>
  <c r="AM95" i="5"/>
  <c r="AQ95" i="5" s="1"/>
  <c r="C96" i="5" s="1"/>
  <c r="O96" i="5" s="1"/>
  <c r="AN96" i="5" l="1"/>
  <c r="AP96" i="5" s="1"/>
  <c r="AM96" i="5"/>
  <c r="AQ96" i="5" s="1"/>
  <c r="C97" i="5" s="1"/>
  <c r="O97" i="5" s="1"/>
  <c r="AE99" i="5"/>
  <c r="AL98" i="5"/>
  <c r="AG98" i="5"/>
  <c r="AH97" i="5"/>
  <c r="AJ97" i="5" s="1"/>
  <c r="AG99" i="5" l="1"/>
  <c r="AH98" i="5"/>
  <c r="AJ98" i="5" s="1"/>
  <c r="AE100" i="5"/>
  <c r="AL99" i="5"/>
  <c r="AN97" i="5"/>
  <c r="AP97" i="5" s="1"/>
  <c r="AM97" i="5"/>
  <c r="AQ97" i="5" s="1"/>
  <c r="C98" i="5" s="1"/>
  <c r="O98" i="5" s="1"/>
  <c r="AE101" i="5" l="1"/>
  <c r="AL100" i="5"/>
  <c r="AG100" i="5"/>
  <c r="AH99" i="5"/>
  <c r="AJ99" i="5" s="1"/>
  <c r="AN98" i="5"/>
  <c r="AP98" i="5" s="1"/>
  <c r="AM98" i="5"/>
  <c r="AQ98" i="5" s="1"/>
  <c r="C99" i="5" s="1"/>
  <c r="O99" i="5" s="1"/>
  <c r="AN99" i="5" l="1"/>
  <c r="AP99" i="5" s="1"/>
  <c r="AM99" i="5"/>
  <c r="AQ99" i="5" s="1"/>
  <c r="C100" i="5" s="1"/>
  <c r="O100" i="5" s="1"/>
  <c r="AG101" i="5"/>
  <c r="AH100" i="5"/>
  <c r="AJ100" i="5" s="1"/>
  <c r="AE102" i="5"/>
  <c r="AL101" i="5"/>
  <c r="AN100" i="5" l="1"/>
  <c r="AP100" i="5" s="1"/>
  <c r="AM100" i="5"/>
  <c r="AQ100" i="5" s="1"/>
  <c r="C101" i="5" s="1"/>
  <c r="O101" i="5" s="1"/>
  <c r="AG102" i="5"/>
  <c r="AH101" i="5"/>
  <c r="AJ101" i="5" s="1"/>
  <c r="AE103" i="5"/>
  <c r="AL102" i="5"/>
  <c r="AG103" i="5" l="1"/>
  <c r="AH103" i="5" s="1"/>
  <c r="AJ103" i="5" s="1"/>
  <c r="AH102" i="5"/>
  <c r="AJ102" i="5" s="1"/>
  <c r="AN101" i="5"/>
  <c r="AP101" i="5" s="1"/>
  <c r="AM101" i="5"/>
  <c r="AQ101" i="5" s="1"/>
  <c r="C102" i="5" s="1"/>
  <c r="O102" i="5" s="1"/>
  <c r="AN102" i="5" l="1"/>
  <c r="AP102" i="5" s="1"/>
  <c r="AM102" i="5"/>
  <c r="AQ102" i="5" s="1"/>
  <c r="C103" i="5" s="1"/>
  <c r="O103" i="5" s="1"/>
  <c r="AN103" i="5"/>
  <c r="AM103" i="5"/>
  <c r="AP103" i="5" l="1"/>
  <c r="AE104" i="5" s="1"/>
  <c r="AQ103" i="5"/>
  <c r="AF104" i="5" l="1"/>
  <c r="AF105" i="5" s="1"/>
  <c r="AF106" i="5" s="1"/>
  <c r="AF107" i="5" s="1"/>
  <c r="AF108" i="5" s="1"/>
  <c r="AF109" i="5" s="1"/>
  <c r="AF110" i="5" s="1"/>
  <c r="AF111" i="5" s="1"/>
  <c r="AF112" i="5" s="1"/>
  <c r="AF113" i="5" s="1"/>
  <c r="AF114" i="5" s="1"/>
  <c r="AF115" i="5" s="1"/>
  <c r="AE105" i="5"/>
  <c r="AG104" i="5"/>
  <c r="C104" i="5"/>
  <c r="O104" i="5" s="1"/>
  <c r="C13" i="5"/>
  <c r="C29" i="5" s="1"/>
  <c r="AH104" i="5" l="1"/>
  <c r="AJ104" i="5" s="1"/>
  <c r="AG105" i="5"/>
  <c r="AE106" i="5"/>
  <c r="AL105" i="5"/>
  <c r="AE107" i="5" l="1"/>
  <c r="AL106" i="5"/>
  <c r="AG106" i="5"/>
  <c r="AH105" i="5"/>
  <c r="AJ105" i="5" s="1"/>
  <c r="AN104" i="5"/>
  <c r="AP104" i="5" s="1"/>
  <c r="AL104" i="5"/>
  <c r="AM104" i="5" s="1"/>
  <c r="AQ104" i="5" s="1"/>
  <c r="C105" i="5" s="1"/>
  <c r="O105" i="5" s="1"/>
  <c r="AN105" i="5" l="1"/>
  <c r="AP105" i="5" s="1"/>
  <c r="AM105" i="5"/>
  <c r="AQ105" i="5" s="1"/>
  <c r="C106" i="5" s="1"/>
  <c r="O106" i="5" s="1"/>
  <c r="AG107" i="5"/>
  <c r="AH106" i="5"/>
  <c r="AJ106" i="5" s="1"/>
  <c r="AE108" i="5"/>
  <c r="AL107" i="5"/>
  <c r="AE109" i="5" l="1"/>
  <c r="AL108" i="5"/>
  <c r="AN106" i="5"/>
  <c r="AP106" i="5" s="1"/>
  <c r="AM106" i="5"/>
  <c r="AQ106" i="5" s="1"/>
  <c r="C107" i="5" s="1"/>
  <c r="O107" i="5" s="1"/>
  <c r="AG108" i="5"/>
  <c r="AH107" i="5"/>
  <c r="AJ107" i="5" s="1"/>
  <c r="AN107" i="5" l="1"/>
  <c r="AP107" i="5" s="1"/>
  <c r="AM107" i="5"/>
  <c r="AQ107" i="5" s="1"/>
  <c r="C108" i="5" s="1"/>
  <c r="O108" i="5" s="1"/>
  <c r="AH108" i="5"/>
  <c r="AJ108" i="5" s="1"/>
  <c r="AG109" i="5"/>
  <c r="AE110" i="5"/>
  <c r="AL109" i="5"/>
  <c r="AG110" i="5" l="1"/>
  <c r="AH109" i="5"/>
  <c r="AJ109" i="5" s="1"/>
  <c r="AE111" i="5"/>
  <c r="AL110" i="5"/>
  <c r="AN108" i="5"/>
  <c r="AP108" i="5" s="1"/>
  <c r="AM108" i="5"/>
  <c r="AQ108" i="5" s="1"/>
  <c r="C109" i="5" s="1"/>
  <c r="O109" i="5" s="1"/>
  <c r="AE112" i="5" l="1"/>
  <c r="AL111" i="5"/>
  <c r="AG111" i="5"/>
  <c r="AH110" i="5"/>
  <c r="AJ110" i="5" s="1"/>
  <c r="AN109" i="5"/>
  <c r="AP109" i="5" s="1"/>
  <c r="AM109" i="5"/>
  <c r="AQ109" i="5" s="1"/>
  <c r="C110" i="5" s="1"/>
  <c r="O110" i="5" s="1"/>
  <c r="AN110" i="5" l="1"/>
  <c r="AP110" i="5" s="1"/>
  <c r="AM110" i="5"/>
  <c r="AQ110" i="5" s="1"/>
  <c r="C111" i="5" s="1"/>
  <c r="O111" i="5" s="1"/>
  <c r="AH111" i="5"/>
  <c r="AJ111" i="5" s="1"/>
  <c r="AG112" i="5"/>
  <c r="AE113" i="5"/>
  <c r="AL112" i="5"/>
  <c r="AE114" i="5" l="1"/>
  <c r="AL113" i="5"/>
  <c r="AN111" i="5"/>
  <c r="AP111" i="5" s="1"/>
  <c r="AM111" i="5"/>
  <c r="AQ111" i="5" s="1"/>
  <c r="C112" i="5" s="1"/>
  <c r="O112" i="5" s="1"/>
  <c r="AG113" i="5"/>
  <c r="AH112" i="5"/>
  <c r="AJ112" i="5" s="1"/>
  <c r="AN112" i="5" l="1"/>
  <c r="AP112" i="5" s="1"/>
  <c r="AM112" i="5"/>
  <c r="AQ112" i="5" s="1"/>
  <c r="C113" i="5" s="1"/>
  <c r="O113" i="5" s="1"/>
  <c r="AE115" i="5"/>
  <c r="AL114" i="5"/>
  <c r="AG114" i="5"/>
  <c r="AH113" i="5"/>
  <c r="AJ113" i="5" s="1"/>
  <c r="AN113" i="5" l="1"/>
  <c r="AP113" i="5" s="1"/>
  <c r="AM113" i="5"/>
  <c r="AQ113" i="5" s="1"/>
  <c r="C114" i="5" s="1"/>
  <c r="O114" i="5" s="1"/>
  <c r="AG115" i="5"/>
  <c r="AH115" i="5" s="1"/>
  <c r="AJ115" i="5" s="1"/>
  <c r="AH114" i="5"/>
  <c r="AJ114" i="5" s="1"/>
  <c r="AN114" i="5" l="1"/>
  <c r="AP114" i="5" s="1"/>
  <c r="AM114" i="5"/>
  <c r="AQ114" i="5" s="1"/>
  <c r="C115" i="5" s="1"/>
  <c r="O115" i="5" s="1"/>
  <c r="AN115" i="5"/>
  <c r="AM115" i="5"/>
  <c r="AP115" i="5" l="1"/>
  <c r="AF116" i="5" s="1"/>
  <c r="AF117" i="5" s="1"/>
  <c r="AF118" i="5" s="1"/>
  <c r="AF119" i="5" s="1"/>
  <c r="AF120" i="5" s="1"/>
  <c r="AF121" i="5" s="1"/>
  <c r="AF122" i="5" s="1"/>
  <c r="AF123" i="5" s="1"/>
  <c r="AF124" i="5" s="1"/>
  <c r="AF125" i="5" s="1"/>
  <c r="AF126" i="5" s="1"/>
  <c r="AF127" i="5" s="1"/>
  <c r="AQ115" i="5"/>
  <c r="AE116" i="5" l="1"/>
  <c r="AE117" i="5" s="1"/>
  <c r="C14" i="5"/>
  <c r="C30" i="5" s="1"/>
  <c r="C116" i="5"/>
  <c r="O116" i="5" s="1"/>
  <c r="AG116" i="5" l="1"/>
  <c r="AH116" i="5" s="1"/>
  <c r="AJ116" i="5" s="1"/>
  <c r="AE118" i="5"/>
  <c r="AL117" i="5"/>
  <c r="AG117" i="5" l="1"/>
  <c r="AE119" i="5"/>
  <c r="AL118" i="5"/>
  <c r="AH117" i="5"/>
  <c r="AJ117" i="5" s="1"/>
  <c r="AG118" i="5"/>
  <c r="AN116" i="5"/>
  <c r="AP116" i="5" s="1"/>
  <c r="AL116" i="5"/>
  <c r="AM116" i="5" s="1"/>
  <c r="AQ116" i="5" s="1"/>
  <c r="C117" i="5" s="1"/>
  <c r="O117" i="5" s="1"/>
  <c r="AH118" i="5" l="1"/>
  <c r="AJ118" i="5" s="1"/>
  <c r="AG119" i="5"/>
  <c r="AN117" i="5"/>
  <c r="AP117" i="5" s="1"/>
  <c r="AM117" i="5"/>
  <c r="AQ117" i="5" s="1"/>
  <c r="C118" i="5" s="1"/>
  <c r="O118" i="5" s="1"/>
  <c r="AE120" i="5"/>
  <c r="AL119" i="5"/>
  <c r="AH119" i="5" l="1"/>
  <c r="AJ119" i="5" s="1"/>
  <c r="AG120" i="5"/>
  <c r="AN118" i="5"/>
  <c r="AP118" i="5" s="1"/>
  <c r="AM118" i="5"/>
  <c r="AQ118" i="5" s="1"/>
  <c r="C119" i="5" s="1"/>
  <c r="O119" i="5" s="1"/>
  <c r="AE121" i="5"/>
  <c r="AL120" i="5"/>
  <c r="AG121" i="5" l="1"/>
  <c r="AH120" i="5"/>
  <c r="AJ120" i="5" s="1"/>
  <c r="AE122" i="5"/>
  <c r="AL121" i="5"/>
  <c r="AN119" i="5"/>
  <c r="AP119" i="5" s="1"/>
  <c r="AM119" i="5"/>
  <c r="AQ119" i="5" s="1"/>
  <c r="C120" i="5" s="1"/>
  <c r="O120" i="5" s="1"/>
  <c r="AN120" i="5" l="1"/>
  <c r="AP120" i="5" s="1"/>
  <c r="AM120" i="5"/>
  <c r="AQ120" i="5" s="1"/>
  <c r="C121" i="5" s="1"/>
  <c r="O121" i="5" s="1"/>
  <c r="AH121" i="5"/>
  <c r="AJ121" i="5" s="1"/>
  <c r="AG122" i="5"/>
  <c r="AE123" i="5"/>
  <c r="AL122" i="5"/>
  <c r="AE124" i="5" l="1"/>
  <c r="AL123" i="5"/>
  <c r="AN121" i="5"/>
  <c r="AP121" i="5" s="1"/>
  <c r="AM121" i="5"/>
  <c r="AQ121" i="5" s="1"/>
  <c r="C122" i="5" s="1"/>
  <c r="O122" i="5" s="1"/>
  <c r="AH122" i="5"/>
  <c r="AJ122" i="5" s="1"/>
  <c r="AG123" i="5"/>
  <c r="AG124" i="5" l="1"/>
  <c r="AH123" i="5"/>
  <c r="AJ123" i="5" s="1"/>
  <c r="AN122" i="5"/>
  <c r="AP122" i="5" s="1"/>
  <c r="AM122" i="5"/>
  <c r="AQ122" i="5" s="1"/>
  <c r="C123" i="5" s="1"/>
  <c r="O123" i="5" s="1"/>
  <c r="AE125" i="5"/>
  <c r="AL124" i="5"/>
  <c r="AN123" i="5" l="1"/>
  <c r="AP123" i="5" s="1"/>
  <c r="AM123" i="5"/>
  <c r="AQ123" i="5" s="1"/>
  <c r="C124" i="5" s="1"/>
  <c r="O124" i="5" s="1"/>
  <c r="AH124" i="5"/>
  <c r="AJ124" i="5" s="1"/>
  <c r="AG125" i="5"/>
  <c r="AE126" i="5"/>
  <c r="AL125" i="5"/>
  <c r="AE127" i="5" l="1"/>
  <c r="AL126" i="5"/>
  <c r="AG126" i="5"/>
  <c r="AH125" i="5"/>
  <c r="AJ125" i="5" s="1"/>
  <c r="AN124" i="5"/>
  <c r="AP124" i="5" s="1"/>
  <c r="AM124" i="5"/>
  <c r="AQ124" i="5" s="1"/>
  <c r="C125" i="5" s="1"/>
  <c r="O125" i="5" s="1"/>
  <c r="AN125" i="5" l="1"/>
  <c r="AP125" i="5" s="1"/>
  <c r="AM125" i="5"/>
  <c r="AQ125" i="5" s="1"/>
  <c r="C126" i="5" s="1"/>
  <c r="O126" i="5" s="1"/>
  <c r="AG127" i="5"/>
  <c r="AH127" i="5" s="1"/>
  <c r="AJ127" i="5" s="1"/>
  <c r="AH126" i="5"/>
  <c r="AJ126" i="5" s="1"/>
  <c r="AN126" i="5" l="1"/>
  <c r="AP126" i="5" s="1"/>
  <c r="AM126" i="5"/>
  <c r="AQ126" i="5" s="1"/>
  <c r="C127" i="5" s="1"/>
  <c r="O127" i="5" s="1"/>
  <c r="AN127" i="5"/>
  <c r="AM127" i="5"/>
  <c r="AP127" i="5" l="1"/>
  <c r="AF128" i="5" s="1"/>
  <c r="AF129" i="5" s="1"/>
  <c r="AF130" i="5" s="1"/>
  <c r="AF131" i="5" s="1"/>
  <c r="AF132" i="5" s="1"/>
  <c r="AF133" i="5" s="1"/>
  <c r="AF134" i="5" s="1"/>
  <c r="AF135" i="5" s="1"/>
  <c r="AF136" i="5" s="1"/>
  <c r="AF137" i="5" s="1"/>
  <c r="AF138" i="5" s="1"/>
  <c r="AF139" i="5" s="1"/>
  <c r="AQ127" i="5"/>
  <c r="AE128" i="5" l="1"/>
  <c r="AE129" i="5" s="1"/>
  <c r="C128" i="5"/>
  <c r="O128" i="5" s="1"/>
  <c r="C15" i="5"/>
  <c r="C31" i="5" s="1"/>
  <c r="AG128" i="5" l="1"/>
  <c r="AG129" i="5" s="1"/>
  <c r="AE130" i="5"/>
  <c r="AL129" i="5"/>
  <c r="AH128" i="5" l="1"/>
  <c r="AJ128" i="5" s="1"/>
  <c r="AN128" i="5" s="1"/>
  <c r="AP128" i="5" s="1"/>
  <c r="AE131" i="5"/>
  <c r="AL130" i="5"/>
  <c r="AG130" i="5"/>
  <c r="AH129" i="5"/>
  <c r="AJ129" i="5" s="1"/>
  <c r="AL128" i="5" l="1"/>
  <c r="AM128" i="5" s="1"/>
  <c r="AQ128" i="5" s="1"/>
  <c r="C129" i="5" s="1"/>
  <c r="O129" i="5" s="1"/>
  <c r="AN129" i="5"/>
  <c r="AP129" i="5" s="1"/>
  <c r="AM129" i="5"/>
  <c r="AQ129" i="5" s="1"/>
  <c r="C130" i="5" s="1"/>
  <c r="O130" i="5" s="1"/>
  <c r="AG131" i="5"/>
  <c r="AH130" i="5"/>
  <c r="AJ130" i="5" s="1"/>
  <c r="AE132" i="5"/>
  <c r="AL131" i="5"/>
  <c r="AE133" i="5" l="1"/>
  <c r="AL132" i="5"/>
  <c r="AN130" i="5"/>
  <c r="AP130" i="5" s="1"/>
  <c r="AM130" i="5"/>
  <c r="AQ130" i="5" s="1"/>
  <c r="C131" i="5" s="1"/>
  <c r="O131" i="5" s="1"/>
  <c r="AG132" i="5"/>
  <c r="AH131" i="5"/>
  <c r="AJ131" i="5" s="1"/>
  <c r="AN131" i="5" l="1"/>
  <c r="AP131" i="5" s="1"/>
  <c r="AM131" i="5"/>
  <c r="AQ131" i="5" s="1"/>
  <c r="C132" i="5" s="1"/>
  <c r="O132" i="5" s="1"/>
  <c r="AG133" i="5"/>
  <c r="AH132" i="5"/>
  <c r="AJ132" i="5" s="1"/>
  <c r="AE134" i="5"/>
  <c r="AL133" i="5"/>
  <c r="AE135" i="5" l="1"/>
  <c r="AL134" i="5"/>
  <c r="AN132" i="5"/>
  <c r="AP132" i="5" s="1"/>
  <c r="AM132" i="5"/>
  <c r="AQ132" i="5" s="1"/>
  <c r="C133" i="5" s="1"/>
  <c r="O133" i="5" s="1"/>
  <c r="AH133" i="5"/>
  <c r="AJ133" i="5" s="1"/>
  <c r="AG134" i="5"/>
  <c r="AG135" i="5" l="1"/>
  <c r="AH134" i="5"/>
  <c r="AJ134" i="5" s="1"/>
  <c r="AN133" i="5"/>
  <c r="AP133" i="5" s="1"/>
  <c r="AM133" i="5"/>
  <c r="AQ133" i="5" s="1"/>
  <c r="C134" i="5" s="1"/>
  <c r="O134" i="5" s="1"/>
  <c r="AE136" i="5"/>
  <c r="AL135" i="5"/>
  <c r="AN134" i="5" l="1"/>
  <c r="AP134" i="5" s="1"/>
  <c r="AM134" i="5"/>
  <c r="AQ134" i="5" s="1"/>
  <c r="C135" i="5" s="1"/>
  <c r="O135" i="5" s="1"/>
  <c r="AG136" i="5"/>
  <c r="AH135" i="5"/>
  <c r="AJ135" i="5" s="1"/>
  <c r="AE137" i="5"/>
  <c r="AL136" i="5"/>
  <c r="AN135" i="5" l="1"/>
  <c r="AP135" i="5" s="1"/>
  <c r="AM135" i="5"/>
  <c r="AQ135" i="5" s="1"/>
  <c r="C136" i="5" s="1"/>
  <c r="O136" i="5" s="1"/>
  <c r="AH136" i="5"/>
  <c r="AJ136" i="5" s="1"/>
  <c r="AG137" i="5"/>
  <c r="AE138" i="5"/>
  <c r="AL137" i="5"/>
  <c r="AG138" i="5" l="1"/>
  <c r="AH137" i="5"/>
  <c r="AJ137" i="5" s="1"/>
  <c r="AE139" i="5"/>
  <c r="AL138" i="5"/>
  <c r="AN136" i="5"/>
  <c r="AP136" i="5" s="1"/>
  <c r="AM136" i="5"/>
  <c r="AQ136" i="5" s="1"/>
  <c r="C137" i="5" s="1"/>
  <c r="O137" i="5" s="1"/>
  <c r="AG139" i="5" l="1"/>
  <c r="AH139" i="5" s="1"/>
  <c r="AJ139" i="5" s="1"/>
  <c r="AH138" i="5"/>
  <c r="AJ138" i="5" s="1"/>
  <c r="AN137" i="5"/>
  <c r="AP137" i="5" s="1"/>
  <c r="AM137" i="5"/>
  <c r="AQ137" i="5" s="1"/>
  <c r="C138" i="5" s="1"/>
  <c r="O138" i="5" s="1"/>
  <c r="AN139" i="5" l="1"/>
  <c r="AM139" i="5"/>
  <c r="AN138" i="5"/>
  <c r="AP138" i="5" s="1"/>
  <c r="AM138" i="5"/>
  <c r="AQ138" i="5" s="1"/>
  <c r="C139" i="5" s="1"/>
  <c r="O139" i="5" s="1"/>
  <c r="AP139" i="5" l="1"/>
  <c r="AF140" i="5" s="1"/>
  <c r="AF141" i="5" s="1"/>
  <c r="AF142" i="5" s="1"/>
  <c r="AF143" i="5" s="1"/>
  <c r="AF144" i="5" s="1"/>
  <c r="AF145" i="5" s="1"/>
  <c r="AF146" i="5" s="1"/>
  <c r="AF147" i="5" s="1"/>
  <c r="AF148" i="5" s="1"/>
  <c r="AF149" i="5" s="1"/>
  <c r="AF150" i="5" s="1"/>
  <c r="AF151" i="5" s="1"/>
  <c r="AQ139" i="5"/>
  <c r="AE140" i="5" l="1"/>
  <c r="AE141" i="5" s="1"/>
  <c r="C16" i="5"/>
  <c r="C32" i="5" s="1"/>
  <c r="C140" i="5"/>
  <c r="O140" i="5" s="1"/>
  <c r="AG140" i="5" l="1"/>
  <c r="AH140" i="5" s="1"/>
  <c r="AJ140" i="5" s="1"/>
  <c r="AE142" i="5"/>
  <c r="AL141" i="5"/>
  <c r="AG141" i="5" l="1"/>
  <c r="AH141" i="5" s="1"/>
  <c r="AJ141" i="5" s="1"/>
  <c r="AE143" i="5"/>
  <c r="AL142" i="5"/>
  <c r="AG142" i="5"/>
  <c r="AN140" i="5"/>
  <c r="AP140" i="5" s="1"/>
  <c r="AL140" i="5"/>
  <c r="AM140" i="5" s="1"/>
  <c r="AQ140" i="5" s="1"/>
  <c r="C141" i="5" s="1"/>
  <c r="O141" i="5" s="1"/>
  <c r="AH142" i="5" l="1"/>
  <c r="AJ142" i="5" s="1"/>
  <c r="AG143" i="5"/>
  <c r="AN141" i="5"/>
  <c r="AP141" i="5" s="1"/>
  <c r="AM141" i="5"/>
  <c r="AQ141" i="5" s="1"/>
  <c r="C142" i="5" s="1"/>
  <c r="O142" i="5" s="1"/>
  <c r="AE144" i="5"/>
  <c r="AL143" i="5"/>
  <c r="AE145" i="5" l="1"/>
  <c r="AL144" i="5"/>
  <c r="AN142" i="5"/>
  <c r="AP142" i="5" s="1"/>
  <c r="AM142" i="5"/>
  <c r="AQ142" i="5" s="1"/>
  <c r="C143" i="5" s="1"/>
  <c r="O143" i="5" s="1"/>
  <c r="AG144" i="5"/>
  <c r="AH143" i="5"/>
  <c r="AJ143" i="5" s="1"/>
  <c r="AN143" i="5" l="1"/>
  <c r="AP143" i="5" s="1"/>
  <c r="AM143" i="5"/>
  <c r="AQ143" i="5" s="1"/>
  <c r="C144" i="5" s="1"/>
  <c r="O144" i="5" s="1"/>
  <c r="AH144" i="5"/>
  <c r="AJ144" i="5" s="1"/>
  <c r="AG145" i="5"/>
  <c r="AE146" i="5"/>
  <c r="AL145" i="5"/>
  <c r="AH145" i="5" l="1"/>
  <c r="AJ145" i="5" s="1"/>
  <c r="AG146" i="5"/>
  <c r="AE147" i="5"/>
  <c r="AL146" i="5"/>
  <c r="AN144" i="5"/>
  <c r="AP144" i="5" s="1"/>
  <c r="AM144" i="5"/>
  <c r="AQ144" i="5" s="1"/>
  <c r="C145" i="5" s="1"/>
  <c r="O145" i="5" s="1"/>
  <c r="AE148" i="5" l="1"/>
  <c r="AL147" i="5"/>
  <c r="AG147" i="5"/>
  <c r="AH146" i="5"/>
  <c r="AJ146" i="5" s="1"/>
  <c r="AN145" i="5"/>
  <c r="AP145" i="5" s="1"/>
  <c r="AM145" i="5"/>
  <c r="AQ145" i="5" s="1"/>
  <c r="C146" i="5" s="1"/>
  <c r="O146" i="5" s="1"/>
  <c r="AN146" i="5" l="1"/>
  <c r="AP146" i="5" s="1"/>
  <c r="AM146" i="5"/>
  <c r="AQ146" i="5" s="1"/>
  <c r="C147" i="5" s="1"/>
  <c r="O147" i="5" s="1"/>
  <c r="AH147" i="5"/>
  <c r="AJ147" i="5" s="1"/>
  <c r="AG148" i="5"/>
  <c r="AE149" i="5"/>
  <c r="AL148" i="5"/>
  <c r="AE150" i="5" l="1"/>
  <c r="AL149" i="5"/>
  <c r="AG149" i="5"/>
  <c r="AH148" i="5"/>
  <c r="AJ148" i="5" s="1"/>
  <c r="AN147" i="5"/>
  <c r="AP147" i="5" s="1"/>
  <c r="AM147" i="5"/>
  <c r="AQ147" i="5" s="1"/>
  <c r="C148" i="5" s="1"/>
  <c r="O148" i="5" s="1"/>
  <c r="AE151" i="5" l="1"/>
  <c r="AL150" i="5"/>
  <c r="AN148" i="5"/>
  <c r="AP148" i="5" s="1"/>
  <c r="AM148" i="5"/>
  <c r="AQ148" i="5" s="1"/>
  <c r="C149" i="5" s="1"/>
  <c r="O149" i="5" s="1"/>
  <c r="AG150" i="5"/>
  <c r="AH149" i="5"/>
  <c r="AJ149" i="5" s="1"/>
  <c r="AN149" i="5" l="1"/>
  <c r="AP149" i="5" s="1"/>
  <c r="AM149" i="5"/>
  <c r="AQ149" i="5" s="1"/>
  <c r="C150" i="5" s="1"/>
  <c r="O150" i="5" s="1"/>
  <c r="AH150" i="5"/>
  <c r="AJ150" i="5" s="1"/>
  <c r="AG151" i="5"/>
  <c r="AH151" i="5" s="1"/>
  <c r="AJ151" i="5" s="1"/>
  <c r="AN151" i="5" l="1"/>
  <c r="AM151" i="5"/>
  <c r="AN150" i="5"/>
  <c r="AP150" i="5" s="1"/>
  <c r="AM150" i="5"/>
  <c r="AQ150" i="5" s="1"/>
  <c r="C151" i="5" s="1"/>
  <c r="O151" i="5" s="1"/>
  <c r="AP151" i="5" l="1"/>
  <c r="AF152" i="5" s="1"/>
  <c r="AF153" i="5" s="1"/>
  <c r="AF154" i="5" s="1"/>
  <c r="AF155" i="5" s="1"/>
  <c r="AF156" i="5" s="1"/>
  <c r="AF157" i="5" s="1"/>
  <c r="AF158" i="5" s="1"/>
  <c r="AF159" i="5" s="1"/>
  <c r="AF160" i="5" s="1"/>
  <c r="AF161" i="5" s="1"/>
  <c r="AF162" i="5" s="1"/>
  <c r="AF163" i="5" s="1"/>
  <c r="AQ151" i="5"/>
  <c r="AE152" i="5" l="1"/>
  <c r="AE153" i="5" s="1"/>
  <c r="C17" i="5"/>
  <c r="C33" i="5" s="1"/>
  <c r="C152" i="5"/>
  <c r="O152" i="5" s="1"/>
  <c r="AG152" i="5" l="1"/>
  <c r="AH152" i="5" s="1"/>
  <c r="AJ152" i="5" s="1"/>
  <c r="AG153" i="5"/>
  <c r="AE154" i="5"/>
  <c r="AL153" i="5"/>
  <c r="AE155" i="5" l="1"/>
  <c r="AL154" i="5"/>
  <c r="AG154" i="5"/>
  <c r="AH153" i="5"/>
  <c r="AJ153" i="5" s="1"/>
  <c r="AN152" i="5"/>
  <c r="AP152" i="5" s="1"/>
  <c r="AL152" i="5"/>
  <c r="AM152" i="5" s="1"/>
  <c r="AQ152" i="5" s="1"/>
  <c r="C153" i="5" s="1"/>
  <c r="O153" i="5" s="1"/>
  <c r="AN153" i="5" l="1"/>
  <c r="AP153" i="5" s="1"/>
  <c r="AM153" i="5"/>
  <c r="AQ153" i="5" s="1"/>
  <c r="C154" i="5" s="1"/>
  <c r="O154" i="5" s="1"/>
  <c r="AH154" i="5"/>
  <c r="AJ154" i="5" s="1"/>
  <c r="AG155" i="5"/>
  <c r="AE156" i="5"/>
  <c r="AL155" i="5"/>
  <c r="AE157" i="5" l="1"/>
  <c r="AL156" i="5"/>
  <c r="AN154" i="5"/>
  <c r="AP154" i="5" s="1"/>
  <c r="AM154" i="5"/>
  <c r="AQ154" i="5" s="1"/>
  <c r="C155" i="5" s="1"/>
  <c r="O155" i="5" s="1"/>
  <c r="AG156" i="5"/>
  <c r="AH155" i="5"/>
  <c r="AJ155" i="5" s="1"/>
  <c r="AG157" i="5" l="1"/>
  <c r="AH156" i="5"/>
  <c r="AJ156" i="5" s="1"/>
  <c r="AN155" i="5"/>
  <c r="AP155" i="5" s="1"/>
  <c r="AM155" i="5"/>
  <c r="AQ155" i="5" s="1"/>
  <c r="C156" i="5" s="1"/>
  <c r="O156" i="5" s="1"/>
  <c r="AE158" i="5"/>
  <c r="AL157" i="5"/>
  <c r="AE159" i="5" l="1"/>
  <c r="AL158" i="5"/>
  <c r="AN156" i="5"/>
  <c r="AP156" i="5" s="1"/>
  <c r="AM156" i="5"/>
  <c r="AQ156" i="5" s="1"/>
  <c r="C157" i="5" s="1"/>
  <c r="O157" i="5" s="1"/>
  <c r="AG158" i="5"/>
  <c r="AH157" i="5"/>
  <c r="AJ157" i="5" s="1"/>
  <c r="AG159" i="5" l="1"/>
  <c r="AH158" i="5"/>
  <c r="AJ158" i="5" s="1"/>
  <c r="AE160" i="5"/>
  <c r="AL159" i="5"/>
  <c r="AN157" i="5"/>
  <c r="AP157" i="5" s="1"/>
  <c r="AM157" i="5"/>
  <c r="AQ157" i="5" s="1"/>
  <c r="C158" i="5" s="1"/>
  <c r="O158" i="5" s="1"/>
  <c r="AH159" i="5" l="1"/>
  <c r="AJ159" i="5" s="1"/>
  <c r="AG160" i="5"/>
  <c r="AE161" i="5"/>
  <c r="AL160" i="5"/>
  <c r="AN158" i="5"/>
  <c r="AP158" i="5" s="1"/>
  <c r="AM158" i="5"/>
  <c r="AQ158" i="5" s="1"/>
  <c r="C159" i="5" s="1"/>
  <c r="O159" i="5" s="1"/>
  <c r="AN159" i="5" l="1"/>
  <c r="AP159" i="5" s="1"/>
  <c r="AM159" i="5"/>
  <c r="AQ159" i="5" s="1"/>
  <c r="C160" i="5" s="1"/>
  <c r="O160" i="5" s="1"/>
  <c r="AE162" i="5"/>
  <c r="AL161" i="5"/>
  <c r="AH160" i="5"/>
  <c r="AJ160" i="5" s="1"/>
  <c r="AG161" i="5"/>
  <c r="AG162" i="5" l="1"/>
  <c r="AH161" i="5"/>
  <c r="AJ161" i="5" s="1"/>
  <c r="AN160" i="5"/>
  <c r="AP160" i="5" s="1"/>
  <c r="AM160" i="5"/>
  <c r="AQ160" i="5" s="1"/>
  <c r="C161" i="5" s="1"/>
  <c r="O161" i="5" s="1"/>
  <c r="AE163" i="5"/>
  <c r="AL162" i="5"/>
  <c r="AG163" i="5" l="1"/>
  <c r="AH163" i="5" s="1"/>
  <c r="AJ163" i="5" s="1"/>
  <c r="AH162" i="5"/>
  <c r="AJ162" i="5" s="1"/>
  <c r="AN161" i="5"/>
  <c r="AP161" i="5" s="1"/>
  <c r="AM161" i="5"/>
  <c r="AQ161" i="5" s="1"/>
  <c r="C162" i="5" s="1"/>
  <c r="O162" i="5" s="1"/>
  <c r="AN163" i="5" l="1"/>
  <c r="AM163" i="5"/>
  <c r="AN162" i="5"/>
  <c r="AP162" i="5" s="1"/>
  <c r="AM162" i="5"/>
  <c r="AQ162" i="5" s="1"/>
  <c r="C163" i="5" s="1"/>
  <c r="O163" i="5" s="1"/>
  <c r="AP163" i="5" l="1"/>
  <c r="AE164" i="5" s="1"/>
  <c r="AQ163" i="5"/>
  <c r="AF164" i="5" l="1"/>
  <c r="AF165" i="5" s="1"/>
  <c r="AF166" i="5" s="1"/>
  <c r="AF167" i="5" s="1"/>
  <c r="AF168" i="5" s="1"/>
  <c r="AF169" i="5" s="1"/>
  <c r="AF170" i="5" s="1"/>
  <c r="AF171" i="5" s="1"/>
  <c r="AF172" i="5" s="1"/>
  <c r="AF173" i="5" s="1"/>
  <c r="AF174" i="5" s="1"/>
  <c r="AF175" i="5" s="1"/>
  <c r="AE165" i="5"/>
  <c r="AG164" i="5"/>
  <c r="C164" i="5"/>
  <c r="O164" i="5" s="1"/>
  <c r="C18" i="5"/>
  <c r="C34" i="5" s="1"/>
  <c r="AH164" i="5" l="1"/>
  <c r="AJ164" i="5" s="1"/>
  <c r="AG165" i="5"/>
  <c r="AE166" i="5"/>
  <c r="AL165" i="5"/>
  <c r="AH165" i="5" l="1"/>
  <c r="AJ165" i="5" s="1"/>
  <c r="AG166" i="5"/>
  <c r="AE167" i="5"/>
  <c r="AL166" i="5"/>
  <c r="AN164" i="5"/>
  <c r="AP164" i="5" s="1"/>
  <c r="AL164" i="5"/>
  <c r="AM164" i="5" s="1"/>
  <c r="AQ164" i="5" s="1"/>
  <c r="C165" i="5" s="1"/>
  <c r="O165" i="5" s="1"/>
  <c r="AG167" i="5" l="1"/>
  <c r="AH166" i="5"/>
  <c r="AJ166" i="5" s="1"/>
  <c r="AE168" i="5"/>
  <c r="AL167" i="5"/>
  <c r="AN165" i="5"/>
  <c r="AP165" i="5" s="1"/>
  <c r="AM165" i="5"/>
  <c r="AQ165" i="5" s="1"/>
  <c r="C166" i="5" s="1"/>
  <c r="O166" i="5" s="1"/>
  <c r="AE169" i="5" l="1"/>
  <c r="AL168" i="5"/>
  <c r="AN166" i="5"/>
  <c r="AP166" i="5" s="1"/>
  <c r="AM166" i="5"/>
  <c r="AQ166" i="5" s="1"/>
  <c r="C167" i="5" s="1"/>
  <c r="O167" i="5" s="1"/>
  <c r="AG168" i="5"/>
  <c r="AH167" i="5"/>
  <c r="AJ167" i="5" s="1"/>
  <c r="AN167" i="5" l="1"/>
  <c r="AP167" i="5" s="1"/>
  <c r="AM167" i="5"/>
  <c r="AQ167" i="5" s="1"/>
  <c r="C168" i="5" s="1"/>
  <c r="O168" i="5" s="1"/>
  <c r="AG169" i="5"/>
  <c r="AH168" i="5"/>
  <c r="AJ168" i="5" s="1"/>
  <c r="AE170" i="5"/>
  <c r="AL169" i="5"/>
  <c r="AN168" i="5" l="1"/>
  <c r="AP168" i="5" s="1"/>
  <c r="AM168" i="5"/>
  <c r="AQ168" i="5" s="1"/>
  <c r="C169" i="5" s="1"/>
  <c r="O169" i="5" s="1"/>
  <c r="AH169" i="5"/>
  <c r="AJ169" i="5" s="1"/>
  <c r="AG170" i="5"/>
  <c r="AE171" i="5"/>
  <c r="AL170" i="5"/>
  <c r="AE172" i="5" l="1"/>
  <c r="AL171" i="5"/>
  <c r="AG171" i="5"/>
  <c r="AH170" i="5"/>
  <c r="AJ170" i="5" s="1"/>
  <c r="AN169" i="5"/>
  <c r="AP169" i="5" s="1"/>
  <c r="AM169" i="5"/>
  <c r="AQ169" i="5" s="1"/>
  <c r="C170" i="5" s="1"/>
  <c r="O170" i="5" s="1"/>
  <c r="AN170" i="5" l="1"/>
  <c r="AP170" i="5" s="1"/>
  <c r="AM170" i="5"/>
  <c r="AQ170" i="5" s="1"/>
  <c r="C171" i="5" s="1"/>
  <c r="O171" i="5" s="1"/>
  <c r="AG172" i="5"/>
  <c r="AH171" i="5"/>
  <c r="AJ171" i="5" s="1"/>
  <c r="AE173" i="5"/>
  <c r="AL172" i="5"/>
  <c r="AE174" i="5" l="1"/>
  <c r="AL173" i="5"/>
  <c r="AG173" i="5"/>
  <c r="AH172" i="5"/>
  <c r="AJ172" i="5" s="1"/>
  <c r="AN171" i="5"/>
  <c r="AP171" i="5" s="1"/>
  <c r="AM171" i="5"/>
  <c r="AQ171" i="5" s="1"/>
  <c r="C172" i="5" s="1"/>
  <c r="O172" i="5" s="1"/>
  <c r="AG174" i="5" l="1"/>
  <c r="AH173" i="5"/>
  <c r="AJ173" i="5" s="1"/>
  <c r="AN172" i="5"/>
  <c r="AP172" i="5" s="1"/>
  <c r="AM172" i="5"/>
  <c r="AQ172" i="5" s="1"/>
  <c r="C173" i="5" s="1"/>
  <c r="O173" i="5" s="1"/>
  <c r="AE175" i="5"/>
  <c r="AL174" i="5"/>
  <c r="AN173" i="5" l="1"/>
  <c r="AP173" i="5" s="1"/>
  <c r="AM173" i="5"/>
  <c r="AQ173" i="5" s="1"/>
  <c r="C174" i="5" s="1"/>
  <c r="O174" i="5" s="1"/>
  <c r="AH174" i="5"/>
  <c r="AJ174" i="5" s="1"/>
  <c r="AG175" i="5"/>
  <c r="AH175" i="5" s="1"/>
  <c r="AJ175" i="5" s="1"/>
  <c r="AN175" i="5" l="1"/>
  <c r="AM175" i="5"/>
  <c r="AN174" i="5"/>
  <c r="AP174" i="5" s="1"/>
  <c r="AM174" i="5"/>
  <c r="AQ174" i="5" s="1"/>
  <c r="C175" i="5" s="1"/>
  <c r="O175" i="5" s="1"/>
  <c r="AP175" i="5" l="1"/>
  <c r="AF176" i="5" s="1"/>
  <c r="AF177" i="5" s="1"/>
  <c r="AF178" i="5" s="1"/>
  <c r="AF179" i="5" s="1"/>
  <c r="AF180" i="5" s="1"/>
  <c r="AF181" i="5" s="1"/>
  <c r="AF182" i="5" s="1"/>
  <c r="AF183" i="5" s="1"/>
  <c r="AF184" i="5" s="1"/>
  <c r="AF185" i="5" s="1"/>
  <c r="AF186" i="5" s="1"/>
  <c r="AF187" i="5" s="1"/>
  <c r="AQ175" i="5"/>
  <c r="AE176" i="5" l="1"/>
  <c r="AE177" i="5" s="1"/>
  <c r="C176" i="5"/>
  <c r="O176" i="5" s="1"/>
  <c r="C19" i="5"/>
  <c r="C35" i="5" s="1"/>
  <c r="AG176" i="5" l="1"/>
  <c r="AH176" i="5" s="1"/>
  <c r="AJ176" i="5" s="1"/>
  <c r="AE178" i="5"/>
  <c r="AL177" i="5"/>
  <c r="AG177" i="5" l="1"/>
  <c r="AN176" i="5"/>
  <c r="AP176" i="5" s="1"/>
  <c r="AL176" i="5"/>
  <c r="AM176" i="5" s="1"/>
  <c r="AQ176" i="5" s="1"/>
  <c r="C177" i="5" s="1"/>
  <c r="O177" i="5" s="1"/>
  <c r="AE179" i="5"/>
  <c r="AL178" i="5"/>
  <c r="AH177" i="5"/>
  <c r="AJ177" i="5" s="1"/>
  <c r="AG178" i="5"/>
  <c r="AN177" i="5" l="1"/>
  <c r="AP177" i="5" s="1"/>
  <c r="AM177" i="5"/>
  <c r="AQ177" i="5" s="1"/>
  <c r="C178" i="5" s="1"/>
  <c r="O178" i="5" s="1"/>
  <c r="AG179" i="5"/>
  <c r="AH178" i="5"/>
  <c r="AJ178" i="5" s="1"/>
  <c r="AE180" i="5"/>
  <c r="AL179" i="5"/>
  <c r="AE181" i="5" l="1"/>
  <c r="AL180" i="5"/>
  <c r="AH179" i="5"/>
  <c r="AJ179" i="5" s="1"/>
  <c r="AG180" i="5"/>
  <c r="AN178" i="5"/>
  <c r="AP178" i="5" s="1"/>
  <c r="AM178" i="5"/>
  <c r="AQ178" i="5" s="1"/>
  <c r="C179" i="5" s="1"/>
  <c r="O179" i="5" s="1"/>
  <c r="AH180" i="5" l="1"/>
  <c r="AJ180" i="5" s="1"/>
  <c r="AG181" i="5"/>
  <c r="AN179" i="5"/>
  <c r="AP179" i="5" s="1"/>
  <c r="AM179" i="5"/>
  <c r="AQ179" i="5" s="1"/>
  <c r="C180" i="5" s="1"/>
  <c r="O180" i="5" s="1"/>
  <c r="AE182" i="5"/>
  <c r="AL181" i="5"/>
  <c r="AE183" i="5" l="1"/>
  <c r="AL182" i="5"/>
  <c r="AN180" i="5"/>
  <c r="AP180" i="5" s="1"/>
  <c r="AM180" i="5"/>
  <c r="AQ180" i="5" s="1"/>
  <c r="C181" i="5" s="1"/>
  <c r="O181" i="5" s="1"/>
  <c r="AH181" i="5"/>
  <c r="AJ181" i="5" s="1"/>
  <c r="AG182" i="5"/>
  <c r="AG183" i="5" l="1"/>
  <c r="AH182" i="5"/>
  <c r="AJ182" i="5" s="1"/>
  <c r="AN181" i="5"/>
  <c r="AP181" i="5" s="1"/>
  <c r="AM181" i="5"/>
  <c r="AQ181" i="5" s="1"/>
  <c r="C182" i="5" s="1"/>
  <c r="O182" i="5" s="1"/>
  <c r="AE184" i="5"/>
  <c r="AL183" i="5"/>
  <c r="AE185" i="5" l="1"/>
  <c r="AL184" i="5"/>
  <c r="AG184" i="5"/>
  <c r="AH183" i="5"/>
  <c r="AJ183" i="5" s="1"/>
  <c r="AN182" i="5"/>
  <c r="AP182" i="5" s="1"/>
  <c r="AM182" i="5"/>
  <c r="AQ182" i="5" s="1"/>
  <c r="C183" i="5" s="1"/>
  <c r="O183" i="5" s="1"/>
  <c r="AN183" i="5" l="1"/>
  <c r="AP183" i="5" s="1"/>
  <c r="AM183" i="5"/>
  <c r="AQ183" i="5" s="1"/>
  <c r="C184" i="5" s="1"/>
  <c r="O184" i="5" s="1"/>
  <c r="AH184" i="5"/>
  <c r="AJ184" i="5" s="1"/>
  <c r="AG185" i="5"/>
  <c r="AE186" i="5"/>
  <c r="AL185" i="5"/>
  <c r="AN184" i="5" l="1"/>
  <c r="AP184" i="5" s="1"/>
  <c r="AM184" i="5"/>
  <c r="AQ184" i="5" s="1"/>
  <c r="C185" i="5" s="1"/>
  <c r="O185" i="5" s="1"/>
  <c r="AG186" i="5"/>
  <c r="AH185" i="5"/>
  <c r="AJ185" i="5" s="1"/>
  <c r="AE187" i="5"/>
  <c r="AL186" i="5"/>
  <c r="AG187" i="5" l="1"/>
  <c r="AH187" i="5" s="1"/>
  <c r="AJ187" i="5" s="1"/>
  <c r="AM187" i="5" s="1"/>
  <c r="AH186" i="5"/>
  <c r="AJ186" i="5" s="1"/>
  <c r="AN185" i="5"/>
  <c r="AP185" i="5" s="1"/>
  <c r="AM185" i="5"/>
  <c r="AQ185" i="5" s="1"/>
  <c r="C186" i="5" s="1"/>
  <c r="O186" i="5" s="1"/>
  <c r="AN186" i="5" l="1"/>
  <c r="AP186" i="5" s="1"/>
  <c r="AP187" i="5" s="1"/>
  <c r="AM186" i="5"/>
  <c r="AQ186" i="5" s="1"/>
  <c r="C187" i="5" s="1"/>
  <c r="O187" i="5" s="1"/>
  <c r="AQ187" i="5" l="1"/>
  <c r="C20" i="5" l="1"/>
  <c r="C36" i="5" s="1"/>
  <c r="C188" i="5"/>
  <c r="O188" i="5" s="1"/>
</calcChain>
</file>

<file path=xl/sharedStrings.xml><?xml version="1.0" encoding="utf-8"?>
<sst xmlns="http://schemas.openxmlformats.org/spreadsheetml/2006/main" count="359" uniqueCount="131">
  <si>
    <t>COI</t>
  </si>
  <si>
    <t>EDO</t>
  </si>
  <si>
    <t>ROS</t>
  </si>
  <si>
    <t>ROD</t>
  </si>
  <si>
    <t>Cena zamiany</t>
  </si>
  <si>
    <t>-</t>
  </si>
  <si>
    <t>inflacja</t>
  </si>
  <si>
    <t>rok</t>
  </si>
  <si>
    <t>zapadalność</t>
  </si>
  <si>
    <t>na konto
z końcem 
miesiąca</t>
  </si>
  <si>
    <t>saldo konta
z końcem
miesiąca</t>
  </si>
  <si>
    <t>belka</t>
  </si>
  <si>
    <t>inflacja dla 
obligacji
indeksowanych</t>
  </si>
  <si>
    <t>miesiąc</t>
  </si>
  <si>
    <t>wartość nominalna</t>
  </si>
  <si>
    <t>podstawa 
kapitalizacji</t>
  </si>
  <si>
    <t>kara za
wcześniejszy
wykup</t>
  </si>
  <si>
    <t>oprocento-
wanie</t>
  </si>
  <si>
    <t>wartość
brutto
koniec  
miesiąca</t>
  </si>
  <si>
    <t>wykup z 
końcem 
miesiąca</t>
  </si>
  <si>
    <t>wynik końcowy
wykup z 
końcem 
miesiąca</t>
  </si>
  <si>
    <t>FV wpłaty
skumulowana inflacja</t>
  </si>
  <si>
    <t>na konto z 
końcem miesiąca
jeśli nie wypłacę!</t>
  </si>
  <si>
    <t>cena zakupu</t>
  </si>
  <si>
    <t>x</t>
  </si>
  <si>
    <t>liczba obligacji</t>
  </si>
  <si>
    <t>LATA KALENDARZOWE</t>
  </si>
  <si>
    <t>WSKAŹNIK DO WYLICZENIA OPŁATY</t>
  </si>
  <si>
    <t>wartość
obligacji 
1 rok</t>
  </si>
  <si>
    <t>dodatkowe
obligacje 
1 rok</t>
  </si>
  <si>
    <t>dodatkowe
obligacje 
2 rok</t>
  </si>
  <si>
    <t>dodatkowe
obligacje 
3 rok</t>
  </si>
  <si>
    <t>dodatkowe
obligacje 
4 rok</t>
  </si>
  <si>
    <t>wartość
obligacji 
2-4 rok</t>
  </si>
  <si>
    <t>wartość brutto
koniec miesiąca
1 rok</t>
  </si>
  <si>
    <t>wartość brutto
koniec miesiąca
2-4 rok</t>
  </si>
  <si>
    <t>na subkonto konto z 
końcem miesiąca
jeśli nie wypłacę!</t>
  </si>
  <si>
    <t>kara za
wcześniejszy
wykup 1 rok</t>
  </si>
  <si>
    <t>kara za
wcześniejszy
wykup 2-4 rok</t>
  </si>
  <si>
    <t>zostało</t>
  </si>
  <si>
    <t>kup obligacje 
w cenie zamiany</t>
  </si>
  <si>
    <t>na subkonto konto z 
końcem miesiąca
jeśli nie wypłacę!
Główne</t>
  </si>
  <si>
    <t>saldo brutto
TOTAL</t>
  </si>
  <si>
    <t>kara za wykup</t>
  </si>
  <si>
    <t>opłata</t>
  </si>
  <si>
    <t>suma
opłat</t>
  </si>
  <si>
    <t>saldo
pośrednie</t>
  </si>
  <si>
    <t>wynik końcowy
wykup z preferencją za
IKE</t>
  </si>
  <si>
    <t>saldo subkonta
z końcem
miesiąca</t>
  </si>
  <si>
    <t>na sub konto
z końcem 
miesiąca</t>
  </si>
  <si>
    <t>COI wiek 
emerytalny</t>
  </si>
  <si>
    <t>EDO wiek 
emerytalny</t>
  </si>
  <si>
    <t>skumulowana
inflacja</t>
  </si>
  <si>
    <t>← Nic nie wpisuj, policzy się samo jako iloczyn liczby obligacji i wartości jednej obligacji (100 zł).</t>
  </si>
  <si>
    <t>COI (4-latki)</t>
  </si>
  <si>
    <t>EDO (10-latki)</t>
  </si>
  <si>
    <t>ROS (6-latki)</t>
  </si>
  <si>
    <t xml:space="preserve">ROD (12-latki) </t>
  </si>
  <si>
    <t>COI, obligacje 4 letnie</t>
  </si>
  <si>
    <t>EDO - obligacje 10 letnie</t>
  </si>
  <si>
    <t>ROS - obligacje 6 letnie</t>
  </si>
  <si>
    <t>ROD - obligacje 12 letnie</t>
  </si>
  <si>
    <t>Wartości nominalne obligacji "opakowanych" w IKE, na koniec roku</t>
  </si>
  <si>
    <t>oprocentowanie
konta</t>
  </si>
  <si>
    <t>start</t>
  </si>
  <si>
    <t>konto
oszczędn.</t>
  </si>
  <si>
    <t>Nominalna skumulowana stopa zwrotu na koniec każdego roku
(dla porównania wykres skumulowanej inflacji)</t>
  </si>
  <si>
    <t>Kwota wpłacona powiększona o INFLACJĘ</t>
  </si>
  <si>
    <t>Konto
oszczędnościowe</t>
  </si>
  <si>
    <t>Zapadalność
m-c</t>
  </si>
  <si>
    <t>Wypłata
odsetek
co ile mc</t>
  </si>
  <si>
    <t>Kapitalizacja odsetek co  ile miesięcy</t>
  </si>
  <si>
    <t>Koszt
wcześniejszego
wykupu (za szt.)</t>
  </si>
  <si>
    <t>← Nic nie wpisuj.</t>
  </si>
  <si>
    <t>COI,  gdy nie spełniam warunków</t>
  </si>
  <si>
    <t>COI, gdy spełniam warunki IKE</t>
  </si>
  <si>
    <t>EDO, gdy nie spełniam warunków</t>
  </si>
  <si>
    <t>EDO, gdy spełniam warunki IKE</t>
  </si>
  <si>
    <t>kup  nowe obligacje 
po 100</t>
  </si>
  <si>
    <t>ROR</t>
  </si>
  <si>
    <t>DOS</t>
  </si>
  <si>
    <t>stopa NBP</t>
  </si>
  <si>
    <t>WIBOR6M</t>
  </si>
  <si>
    <t>Co ile m-c zmiana oprocentowania</t>
  </si>
  <si>
    <t>W jaki sposób chcesz ustalić poziom wskażników?</t>
  </si>
  <si>
    <t>Wskażnik
indeksacji
obligacji</t>
  </si>
  <si>
    <t>stopa referencyjna 
NBP</t>
  </si>
  <si>
    <t>+ MARŻA</t>
  </si>
  <si>
    <t>ROR, obligacje roczne</t>
  </si>
  <si>
    <t>ROR (roczne)</t>
  </si>
  <si>
    <t>koszty IKE Obligacje</t>
  </si>
  <si>
    <t>← Tu wpisz wysokość wskaźników w każdym z 12 lat, jeśli uważasz, że ich wartości będą różne w poszczególnych latach.</t>
  </si>
  <si>
    <t>WIBOR 6M</t>
  </si>
  <si>
    <t>Stopa referencyjna NBP</t>
  </si>
  <si>
    <t>Inflacja</t>
  </si>
  <si>
    <t>Rodzaj Obligacji:</t>
  </si>
  <si>
    <t>DOR (2-latki)</t>
  </si>
  <si>
    <t>DOR, obligacje 2 letnie</t>
  </si>
  <si>
    <t>tu wpisz miesiąc, który Cię interesuje↓</t>
  </si>
  <si>
    <t>% dla pierwszego okresu odsetkowego, w skali roku</t>
  </si>
  <si>
    <t>Ochrona
wartości 
nominalnej przy wcześniejszym wykupie
(ile miesięcy)</t>
  </si>
  <si>
    <t>pełny okres</t>
  </si>
  <si>
    <t>KONTO 
OSZCZĘDNOŚCIOWE</t>
  </si>
  <si>
    <t>TOS (3-latki)</t>
  </si>
  <si>
    <t>TOS, gdy spełniam warunki IKE</t>
  </si>
  <si>
    <t>TOS,  gdy nie spełniam warunków</t>
  </si>
  <si>
    <t>TOS wiek 
emerytalny</t>
  </si>
  <si>
    <t>TOS</t>
  </si>
  <si>
    <t>TOS, obligacje 3 letnie</t>
  </si>
  <si>
    <t>LATA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</si>
  <si>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roku oszczędzania</t>
    </r>
  </si>
  <si>
    <t>Wpłata powiększona o INFLACJĘ</t>
  </si>
  <si>
    <t>wpłata</t>
  </si>
  <si>
    <t>Wartość nominalna obligacji na koniec wybranego miesiąca</t>
  </si>
  <si>
    <t xml:space="preserve">Nominalna skumulowana stopa zwrotu na koniec każdego roku
</t>
  </si>
  <si>
    <t>Skumulowana INFLACJA</t>
  </si>
  <si>
    <t>Lokata</t>
  </si>
  <si>
    <r>
      <t xml:space="preserve">Tu znajdziesz </t>
    </r>
    <r>
      <rPr>
        <b/>
        <sz val="18"/>
        <color rgb="FF0070C0"/>
        <rFont val="Calibri  "/>
        <charset val="238"/>
      </rPr>
      <t>wartości nominalne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</si>
  <si>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WARTOŚCI NOMINALNE OBLIGACJI NA KONIEC MIESIĘCY</t>
  </si>
  <si>
    <r>
      <t xml:space="preserve">Tu znajdziesz </t>
    </r>
    <r>
      <rPr>
        <b/>
        <sz val="18"/>
        <color rgb="FF0070C0"/>
        <rFont val="Calibri  "/>
        <charset val="238"/>
      </rPr>
      <t>SKUMULOWANE STOPY ZWROTU Z OBLIGACJI</t>
    </r>
    <r>
      <rPr>
        <b/>
        <sz val="18"/>
        <color theme="1"/>
        <rFont val="Calibri  "/>
        <charset val="238"/>
      </rPr>
      <t xml:space="preserve"> na koniec każdego miesiąca oszczędzania</t>
    </r>
  </si>
  <si>
    <t>← tu wybierz z listy, czy zakładasz ten sam poziom wskaźników, w każdym z 12 lat (wybierz wówczas: "chcę taki sam w każdym roku"), czy też zakładasz różne poziomy wskaźników w każdym roku (wybierz wówczas "chcę sam ustawić każdy rok").</t>
  </si>
  <si>
    <t>Tu wpisz liczbę obligacji, które zamierzasz kupić. wartość nominalna jednej obligacji równa się 100 zł.</t>
  </si>
  <si>
    <t>TEN EKRAN SŁUŻY WPISANIU TWOICH ZAŁOŻEŃ - WPISZ JE TYLKO W POLA ZAZNACZONE ŻÓŁTYM KOLOREM</t>
  </si>
  <si>
    <t>Wartość zakupu (1 obligacja = 100 zł)</t>
  </si>
  <si>
    <t>Podatek od zysków kapitałowych (podatek "Belki")</t>
  </si>
  <si>
    <t>ZAŁOŻENIA DOTYCZĄCE INFLACJI I STÓP PROCENTOWYCH</t>
  </si>
  <si>
    <t>← Tu wpisz wysokość wskaźnikaów w skali jednego roku (np. 8%), jeśli zakładasz, że ich poziomy będą takie same w każdym z 12 lat.</t>
  </si>
  <si>
    <t>DANE O KOSZTACH PROWADZENIA KONTA IKE OBLIGACJE</t>
  </si>
  <si>
    <t>DANE O OPROCENTOWANIU OBLIGACJI, ZASADACH WYKUPU, ZAMIANY, KAPITALIZACJI</t>
  </si>
  <si>
    <t>chcę taki sam w kazdym roku</t>
  </si>
  <si>
    <r>
      <t xml:space="preserve">wpisz miesiąc, który Cię interesuje (wpisz numer tego miesiąca np. 40) </t>
    </r>
    <r>
      <rPr>
        <b/>
        <sz val="12"/>
        <color theme="1"/>
        <rFont val="Garamond"/>
        <family val="1"/>
        <charset val="238"/>
      </rPr>
      <t>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</si>
</sst>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0\ &quot;zł&quot;"/>
    <numFmt numFmtId="165" formatCode="#,##0\ &quot;zł&quot;"/>
    <numFmt numFmtId="166" formatCode="0.0%"/>
    <numFmt numFmtId="167" formatCode="0&quot; szt&quot;"/>
    <numFmt numFmtId="168" formatCode="0&quot; rok&quot;"/>
    <numFmt numFmtId="169" formatCode="&quot;koniec &quot;General&quot; roku&quot;"/>
    <numFmt numFmtId="170" formatCode="0&quot; miesiąc&quot;"/>
    <numFmt numFmtId="171" formatCode="&quot;koniec &quot;General&quot; mies.&quot;"/>
    <numFmt numFmtId="172" formatCode="\ General&quot; mies.&quot;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sz val="16"/>
      <color theme="1"/>
      <name val="Calibri  "/>
      <charset val="238"/>
    </font>
    <font>
      <b/>
      <sz val="14"/>
      <color theme="1"/>
      <name val="Calibri  "/>
      <charset val="238"/>
    </font>
    <font>
      <b/>
      <sz val="22"/>
      <color theme="1"/>
      <name val="Calibri  "/>
      <charset val="238"/>
    </font>
    <font>
      <b/>
      <sz val="11"/>
      <color theme="0"/>
      <name val="Calibri  "/>
      <charset val="238"/>
    </font>
    <font>
      <b/>
      <sz val="12"/>
      <color theme="1"/>
      <name val="Calibri  "/>
      <charset val="238"/>
    </font>
    <font>
      <sz val="11"/>
      <color theme="0"/>
      <name val="Calibri"/>
      <family val="2"/>
      <charset val="238"/>
      <scheme val="minor"/>
    </font>
    <font>
      <b/>
      <i/>
      <sz val="12"/>
      <color theme="1"/>
      <name val="Calibri  "/>
      <charset val="238"/>
    </font>
    <font>
      <sz val="12"/>
      <color theme="1"/>
      <name val="Calibri  "/>
      <charset val="238"/>
    </font>
    <font>
      <b/>
      <sz val="14"/>
      <name val="Calibri  "/>
      <charset val="238"/>
    </font>
    <font>
      <b/>
      <sz val="11"/>
      <name val="Calibri  "/>
      <charset val="238"/>
    </font>
    <font>
      <b/>
      <sz val="18"/>
      <color theme="1"/>
      <name val="Calibri  "/>
      <charset val="238"/>
    </font>
    <font>
      <b/>
      <sz val="18"/>
      <color rgb="FF0070C0"/>
      <name val="Calibri  "/>
      <charset val="238"/>
    </font>
    <font>
      <b/>
      <sz val="12"/>
      <color theme="0"/>
      <name val="Calibri  "/>
      <charset val="238"/>
    </font>
    <font>
      <b/>
      <i/>
      <sz val="11"/>
      <color theme="0"/>
      <name val="Calibri  "/>
      <charset val="238"/>
    </font>
    <font>
      <sz val="11"/>
      <name val="Calibri  "/>
      <charset val="238"/>
    </font>
    <font>
      <b/>
      <sz val="12"/>
      <name val="Calibri  "/>
      <charset val="238"/>
    </font>
    <font>
      <b/>
      <sz val="12"/>
      <color rgb="FFC00000"/>
      <name val="Calibri  "/>
      <charset val="238"/>
    </font>
    <font>
      <u/>
      <sz val="12"/>
      <color theme="10"/>
      <name val="Calibri  "/>
      <charset val="238"/>
    </font>
    <font>
      <sz val="12"/>
      <color rgb="FFFF0000"/>
      <name val="Calibri  "/>
      <charset val="238"/>
    </font>
    <font>
      <b/>
      <sz val="12"/>
      <color theme="8" tint="-0.499984740745262"/>
      <name val="Calibri  "/>
      <charset val="238"/>
    </font>
    <font>
      <u/>
      <sz val="11"/>
      <color theme="1"/>
      <name val="Poppins"/>
      <charset val="238"/>
    </font>
    <font>
      <sz val="18"/>
      <color theme="1"/>
      <name val="Calibri"/>
      <family val="2"/>
      <charset val="238"/>
      <scheme val="minor"/>
    </font>
    <font>
      <b/>
      <sz val="12"/>
      <color theme="1"/>
      <name val="Garamond"/>
      <family val="1"/>
      <charset val="238"/>
    </font>
    <font>
      <b/>
      <sz val="36"/>
      <color theme="1"/>
      <name val="Calibri  "/>
      <charset val="238"/>
    </font>
    <font>
      <u/>
      <sz val="14"/>
      <color theme="1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860D7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136834"/>
        <bgColor indexed="64"/>
      </patternFill>
    </fill>
    <fill>
      <patternFill patternType="solid">
        <fgColor rgb="FF646FB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3" borderId="1" xfId="0" applyFill="1" applyBorder="1"/>
    <xf numFmtId="9" fontId="0" fillId="0" borderId="1" xfId="1" applyFont="1" applyBorder="1"/>
    <xf numFmtId="3" fontId="0" fillId="0" borderId="1" xfId="0" applyNumberFormat="1" applyBorder="1"/>
    <xf numFmtId="0" fontId="0" fillId="2" borderId="3" xfId="0" applyFill="1" applyBorder="1" applyAlignment="1">
      <alignment wrapText="1"/>
    </xf>
    <xf numFmtId="9" fontId="0" fillId="2" borderId="3" xfId="1" applyFont="1" applyFill="1" applyBorder="1"/>
    <xf numFmtId="10" fontId="0" fillId="0" borderId="1" xfId="1" applyNumberFormat="1" applyFont="1" applyBorder="1"/>
    <xf numFmtId="0" fontId="0" fillId="5" borderId="1" xfId="0" applyFill="1" applyBorder="1"/>
    <xf numFmtId="164" fontId="0" fillId="3" borderId="1" xfId="0" applyNumberFormat="1" applyFill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0" xfId="0" applyFill="1"/>
    <xf numFmtId="164" fontId="0" fillId="6" borderId="0" xfId="0" applyNumberFormat="1" applyFill="1"/>
    <xf numFmtId="0" fontId="3" fillId="10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4" fillId="13" borderId="0" xfId="0" applyFont="1" applyFill="1"/>
    <xf numFmtId="0" fontId="4" fillId="6" borderId="0" xfId="0" applyFont="1" applyFill="1"/>
    <xf numFmtId="0" fontId="8" fillId="6" borderId="0" xfId="0" applyFont="1" applyFill="1"/>
    <xf numFmtId="0" fontId="4" fillId="6" borderId="1" xfId="0" applyFont="1" applyFill="1" applyBorder="1"/>
    <xf numFmtId="169" fontId="4" fillId="6" borderId="6" xfId="0" applyNumberFormat="1" applyFont="1" applyFill="1" applyBorder="1" applyAlignment="1">
      <alignment horizontal="left"/>
    </xf>
    <xf numFmtId="164" fontId="4" fillId="6" borderId="4" xfId="0" applyNumberFormat="1" applyFont="1" applyFill="1" applyBorder="1"/>
    <xf numFmtId="166" fontId="4" fillId="6" borderId="1" xfId="1" applyNumberFormat="1" applyFont="1" applyFill="1" applyBorder="1"/>
    <xf numFmtId="166" fontId="4" fillId="6" borderId="4" xfId="1" applyNumberFormat="1" applyFont="1" applyFill="1" applyBorder="1"/>
    <xf numFmtId="166" fontId="4" fillId="6" borderId="7" xfId="1" applyNumberFormat="1" applyFont="1" applyFill="1" applyBorder="1"/>
    <xf numFmtId="169" fontId="4" fillId="6" borderId="8" xfId="0" applyNumberFormat="1" applyFont="1" applyFill="1" applyBorder="1" applyAlignment="1">
      <alignment horizontal="left"/>
    </xf>
    <xf numFmtId="166" fontId="4" fillId="6" borderId="9" xfId="1" applyNumberFormat="1" applyFont="1" applyFill="1" applyBorder="1"/>
    <xf numFmtId="166" fontId="4" fillId="6" borderId="10" xfId="1" applyNumberFormat="1" applyFont="1" applyFill="1" applyBorder="1"/>
    <xf numFmtId="166" fontId="4" fillId="6" borderId="11" xfId="1" applyNumberFormat="1" applyFont="1" applyFill="1" applyBorder="1"/>
    <xf numFmtId="0" fontId="4" fillId="6" borderId="4" xfId="0" applyFont="1" applyFill="1" applyBorder="1"/>
    <xf numFmtId="0" fontId="4" fillId="6" borderId="1" xfId="0" applyFont="1" applyFill="1" applyBorder="1" applyAlignment="1">
      <alignment horizontal="center" vertical="center" wrapText="1"/>
    </xf>
    <xf numFmtId="0" fontId="7" fillId="13" borderId="0" xfId="0" applyFont="1" applyFill="1" applyAlignment="1">
      <alignment horizontal="center"/>
    </xf>
    <xf numFmtId="0" fontId="9" fillId="13" borderId="0" xfId="0" applyFont="1" applyFill="1" applyAlignment="1">
      <alignment horizontal="center" vertical="center" wrapText="1"/>
    </xf>
    <xf numFmtId="166" fontId="4" fillId="13" borderId="0" xfId="1" applyNumberFormat="1" applyFont="1" applyFill="1" applyBorder="1"/>
    <xf numFmtId="0" fontId="4" fillId="6" borderId="16" xfId="0" applyFont="1" applyFill="1" applyBorder="1"/>
    <xf numFmtId="0" fontId="9" fillId="9" borderId="18" xfId="0" applyFont="1" applyFill="1" applyBorder="1" applyAlignment="1">
      <alignment horizontal="center" vertical="center" wrapText="1"/>
    </xf>
    <xf numFmtId="171" fontId="10" fillId="4" borderId="19" xfId="0" applyNumberFormat="1" applyFont="1" applyFill="1" applyBorder="1" applyAlignment="1">
      <alignment horizontal="left"/>
    </xf>
    <xf numFmtId="166" fontId="4" fillId="6" borderId="20" xfId="1" applyNumberFormat="1" applyFont="1" applyFill="1" applyBorder="1"/>
    <xf numFmtId="166" fontId="4" fillId="6" borderId="21" xfId="1" applyNumberFormat="1" applyFont="1" applyFill="1" applyBorder="1"/>
    <xf numFmtId="0" fontId="9" fillId="10" borderId="17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0" fontId="0" fillId="13" borderId="0" xfId="0" applyFill="1"/>
    <xf numFmtId="0" fontId="9" fillId="15" borderId="17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/>
    </xf>
    <xf numFmtId="171" fontId="10" fillId="16" borderId="19" xfId="0" applyNumberFormat="1" applyFont="1" applyFill="1" applyBorder="1" applyAlignment="1">
      <alignment horizontal="left"/>
    </xf>
    <xf numFmtId="0" fontId="6" fillId="13" borderId="0" xfId="0" applyFont="1" applyFill="1" applyAlignment="1">
      <alignment horizontal="center"/>
    </xf>
    <xf numFmtId="0" fontId="4" fillId="6" borderId="22" xfId="0" applyFont="1" applyFill="1" applyBorder="1"/>
    <xf numFmtId="164" fontId="4" fillId="6" borderId="24" xfId="0" applyNumberFormat="1" applyFont="1" applyFill="1" applyBorder="1"/>
    <xf numFmtId="166" fontId="4" fillId="6" borderId="24" xfId="1" applyNumberFormat="1" applyFont="1" applyFill="1" applyBorder="1"/>
    <xf numFmtId="166" fontId="4" fillId="6" borderId="25" xfId="1" applyNumberFormat="1" applyFont="1" applyFill="1" applyBorder="1"/>
    <xf numFmtId="0" fontId="4" fillId="6" borderId="1" xfId="0" applyFont="1" applyFill="1" applyBorder="1" applyAlignment="1">
      <alignment horizontal="center" wrapText="1"/>
    </xf>
    <xf numFmtId="0" fontId="9" fillId="17" borderId="23" xfId="0" applyFont="1" applyFill="1" applyBorder="1" applyAlignment="1">
      <alignment horizontal="center" vertical="center" wrapText="1"/>
    </xf>
    <xf numFmtId="169" fontId="4" fillId="6" borderId="30" xfId="0" applyNumberFormat="1" applyFont="1" applyFill="1" applyBorder="1" applyAlignment="1">
      <alignment horizontal="left"/>
    </xf>
    <xf numFmtId="164" fontId="4" fillId="6" borderId="5" xfId="0" applyNumberFormat="1" applyFont="1" applyFill="1" applyBorder="1"/>
    <xf numFmtId="0" fontId="9" fillId="18" borderId="17" xfId="0" applyFont="1" applyFill="1" applyBorder="1" applyAlignment="1">
      <alignment horizontal="center" vertical="center" wrapText="1"/>
    </xf>
    <xf numFmtId="0" fontId="3" fillId="19" borderId="1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/>
    </xf>
    <xf numFmtId="0" fontId="0" fillId="19" borderId="1" xfId="0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9" fillId="19" borderId="17" xfId="0" applyFont="1" applyFill="1" applyBorder="1" applyAlignment="1">
      <alignment horizontal="center" vertical="center" wrapText="1"/>
    </xf>
    <xf numFmtId="164" fontId="0" fillId="0" borderId="2" xfId="0" applyNumberFormat="1" applyBorder="1"/>
    <xf numFmtId="164" fontId="0" fillId="0" borderId="31" xfId="0" applyNumberFormat="1" applyBorder="1"/>
    <xf numFmtId="164" fontId="4" fillId="13" borderId="0" xfId="0" applyNumberFormat="1" applyFont="1" applyFill="1"/>
    <xf numFmtId="0" fontId="5" fillId="13" borderId="0" xfId="0" applyFont="1" applyFill="1" applyAlignment="1">
      <alignment wrapText="1"/>
    </xf>
    <xf numFmtId="0" fontId="15" fillId="22" borderId="17" xfId="0" applyFont="1" applyFill="1" applyBorder="1" applyAlignment="1">
      <alignment horizontal="center" vertical="center" wrapText="1"/>
    </xf>
    <xf numFmtId="0" fontId="3" fillId="19" borderId="0" xfId="0" applyFont="1" applyFill="1" applyAlignment="1">
      <alignment horizontal="center" vertical="center" wrapText="1"/>
    </xf>
    <xf numFmtId="0" fontId="8" fillId="13" borderId="0" xfId="0" applyFont="1" applyFill="1"/>
    <xf numFmtId="0" fontId="16" fillId="13" borderId="0" xfId="0" applyFont="1" applyFill="1" applyAlignment="1">
      <alignment horizontal="center"/>
    </xf>
    <xf numFmtId="0" fontId="4" fillId="13" borderId="0" xfId="0" applyFont="1" applyFill="1" applyAlignment="1">
      <alignment horizontal="center" vertical="center" wrapText="1"/>
    </xf>
    <xf numFmtId="9" fontId="4" fillId="13" borderId="0" xfId="1" applyFont="1" applyFill="1"/>
    <xf numFmtId="166" fontId="4" fillId="13" borderId="0" xfId="0" applyNumberFormat="1" applyFont="1" applyFill="1"/>
    <xf numFmtId="2" fontId="4" fillId="13" borderId="0" xfId="0" applyNumberFormat="1" applyFont="1" applyFill="1"/>
    <xf numFmtId="0" fontId="13" fillId="6" borderId="0" xfId="0" applyFont="1" applyFill="1"/>
    <xf numFmtId="0" fontId="13" fillId="6" borderId="0" xfId="0" applyFont="1" applyFill="1" applyAlignment="1">
      <alignment vertical="top" wrapText="1"/>
    </xf>
    <xf numFmtId="0" fontId="10" fillId="6" borderId="0" xfId="0" applyFont="1" applyFill="1" applyAlignment="1">
      <alignment horizontal="left" vertical="center"/>
    </xf>
    <xf numFmtId="0" fontId="13" fillId="6" borderId="0" xfId="0" applyFont="1" applyFill="1" applyAlignment="1">
      <alignment horizontal="right" vertical="top" wrapText="1"/>
    </xf>
    <xf numFmtId="0" fontId="23" fillId="6" borderId="0" xfId="2" applyFont="1" applyFill="1"/>
    <xf numFmtId="0" fontId="10" fillId="6" borderId="16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center" vertical="center" wrapText="1"/>
    </xf>
    <xf numFmtId="10" fontId="13" fillId="6" borderId="7" xfId="0" applyNumberFormat="1" applyFont="1" applyFill="1" applyBorder="1"/>
    <xf numFmtId="10" fontId="13" fillId="6" borderId="11" xfId="0" applyNumberFormat="1" applyFont="1" applyFill="1" applyBorder="1"/>
    <xf numFmtId="0" fontId="24" fillId="6" borderId="0" xfId="0" applyFont="1" applyFill="1"/>
    <xf numFmtId="165" fontId="13" fillId="7" borderId="33" xfId="0" applyNumberFormat="1" applyFont="1" applyFill="1" applyBorder="1" applyAlignment="1">
      <alignment vertical="center"/>
    </xf>
    <xf numFmtId="0" fontId="10" fillId="6" borderId="33" xfId="0" applyFont="1" applyFill="1" applyBorder="1" applyAlignment="1">
      <alignment vertical="center" wrapText="1"/>
    </xf>
    <xf numFmtId="9" fontId="13" fillId="7" borderId="33" xfId="0" applyNumberFormat="1" applyFont="1" applyFill="1" applyBorder="1" applyAlignment="1">
      <alignment vertical="center"/>
    </xf>
    <xf numFmtId="0" fontId="10" fillId="6" borderId="34" xfId="0" applyFont="1" applyFill="1" applyBorder="1" applyAlignment="1">
      <alignment vertical="center" wrapText="1"/>
    </xf>
    <xf numFmtId="0" fontId="21" fillId="6" borderId="33" xfId="0" applyFont="1" applyFill="1" applyBorder="1" applyAlignment="1">
      <alignment horizontal="center" vertical="center" wrapText="1"/>
    </xf>
    <xf numFmtId="0" fontId="21" fillId="6" borderId="33" xfId="0" quotePrefix="1" applyFont="1" applyFill="1" applyBorder="1" applyAlignment="1">
      <alignment horizontal="center" vertical="center" wrapText="1"/>
    </xf>
    <xf numFmtId="0" fontId="10" fillId="19" borderId="33" xfId="0" applyFont="1" applyFill="1" applyBorder="1" applyAlignment="1">
      <alignment horizontal="center" vertical="center" wrapText="1"/>
    </xf>
    <xf numFmtId="0" fontId="13" fillId="6" borderId="33" xfId="0" applyFont="1" applyFill="1" applyBorder="1"/>
    <xf numFmtId="10" fontId="10" fillId="6" borderId="33" xfId="0" applyNumberFormat="1" applyFont="1" applyFill="1" applyBorder="1"/>
    <xf numFmtId="0" fontId="13" fillId="6" borderId="33" xfId="0" applyFont="1" applyFill="1" applyBorder="1" applyAlignment="1">
      <alignment horizontal="center" vertical="center" wrapText="1"/>
    </xf>
    <xf numFmtId="164" fontId="13" fillId="6" borderId="33" xfId="0" applyNumberFormat="1" applyFont="1" applyFill="1" applyBorder="1"/>
    <xf numFmtId="0" fontId="18" fillId="20" borderId="33" xfId="0" applyFont="1" applyFill="1" applyBorder="1" applyAlignment="1">
      <alignment horizontal="center" vertical="center" wrapText="1"/>
    </xf>
    <xf numFmtId="0" fontId="18" fillId="21" borderId="33" xfId="0" applyFont="1" applyFill="1" applyBorder="1" applyAlignment="1">
      <alignment horizontal="center" vertical="center" wrapText="1"/>
    </xf>
    <xf numFmtId="0" fontId="18" fillId="10" borderId="33" xfId="0" applyFont="1" applyFill="1" applyBorder="1" applyAlignment="1">
      <alignment horizontal="center" vertical="center" wrapText="1"/>
    </xf>
    <xf numFmtId="0" fontId="18" fillId="8" borderId="33" xfId="0" applyFont="1" applyFill="1" applyBorder="1" applyAlignment="1">
      <alignment horizontal="center" vertical="center" wrapText="1"/>
    </xf>
    <xf numFmtId="10" fontId="13" fillId="6" borderId="33" xfId="0" applyNumberFormat="1" applyFont="1" applyFill="1" applyBorder="1"/>
    <xf numFmtId="0" fontId="18" fillId="12" borderId="33" xfId="0" applyFont="1" applyFill="1" applyBorder="1" applyAlignment="1">
      <alignment horizontal="center" vertical="center" wrapText="1"/>
    </xf>
    <xf numFmtId="0" fontId="18" fillId="11" borderId="33" xfId="0" applyFont="1" applyFill="1" applyBorder="1" applyAlignment="1">
      <alignment horizontal="center" vertical="center" wrapText="1"/>
    </xf>
    <xf numFmtId="10" fontId="10" fillId="6" borderId="36" xfId="0" applyNumberFormat="1" applyFont="1" applyFill="1" applyBorder="1"/>
    <xf numFmtId="10" fontId="10" fillId="6" borderId="37" xfId="0" applyNumberFormat="1" applyFont="1" applyFill="1" applyBorder="1"/>
    <xf numFmtId="0" fontId="10" fillId="19" borderId="33" xfId="0" applyFont="1" applyFill="1" applyBorder="1" applyAlignment="1">
      <alignment horizontal="left" vertical="center" wrapText="1"/>
    </xf>
    <xf numFmtId="0" fontId="18" fillId="20" borderId="33" xfId="0" applyFont="1" applyFill="1" applyBorder="1" applyAlignment="1">
      <alignment horizontal="left" vertical="center" wrapText="1"/>
    </xf>
    <xf numFmtId="0" fontId="18" fillId="21" borderId="33" xfId="0" applyFont="1" applyFill="1" applyBorder="1" applyAlignment="1">
      <alignment horizontal="left" vertical="center" wrapText="1"/>
    </xf>
    <xf numFmtId="0" fontId="18" fillId="10" borderId="33" xfId="0" applyFont="1" applyFill="1" applyBorder="1" applyAlignment="1">
      <alignment horizontal="left" vertical="center" wrapText="1"/>
    </xf>
    <xf numFmtId="0" fontId="18" fillId="8" borderId="33" xfId="0" applyFont="1" applyFill="1" applyBorder="1" applyAlignment="1">
      <alignment horizontal="left" vertical="center" wrapText="1"/>
    </xf>
    <xf numFmtId="0" fontId="18" fillId="12" borderId="33" xfId="0" applyFont="1" applyFill="1" applyBorder="1" applyAlignment="1">
      <alignment horizontal="left" vertical="center" wrapText="1"/>
    </xf>
    <xf numFmtId="0" fontId="18" fillId="11" borderId="33" xfId="0" applyFont="1" applyFill="1" applyBorder="1" applyAlignment="1">
      <alignment horizontal="left" vertical="center" wrapText="1"/>
    </xf>
    <xf numFmtId="0" fontId="13" fillId="6" borderId="6" xfId="0" applyFont="1" applyFill="1" applyBorder="1" applyAlignment="1">
      <alignment horizontal="left"/>
    </xf>
    <xf numFmtId="0" fontId="13" fillId="6" borderId="8" xfId="0" applyFont="1" applyFill="1" applyBorder="1" applyAlignment="1">
      <alignment horizontal="left"/>
    </xf>
    <xf numFmtId="0" fontId="25" fillId="6" borderId="0" xfId="0" applyFont="1" applyFill="1"/>
    <xf numFmtId="0" fontId="13" fillId="6" borderId="39" xfId="0" applyFont="1" applyFill="1" applyBorder="1"/>
    <xf numFmtId="167" fontId="10" fillId="26" borderId="33" xfId="0" applyNumberFormat="1" applyFont="1" applyFill="1" applyBorder="1" applyAlignment="1">
      <alignment vertical="center"/>
    </xf>
    <xf numFmtId="0" fontId="13" fillId="26" borderId="0" xfId="0" applyFont="1" applyFill="1"/>
    <xf numFmtId="0" fontId="22" fillId="26" borderId="0" xfId="0" applyFont="1" applyFill="1" applyAlignment="1">
      <alignment vertical="center"/>
    </xf>
    <xf numFmtId="0" fontId="9" fillId="19" borderId="33" xfId="0" applyFont="1" applyFill="1" applyBorder="1" applyAlignment="1">
      <alignment horizontal="center" vertical="center" wrapText="1"/>
    </xf>
    <xf numFmtId="0" fontId="9" fillId="9" borderId="33" xfId="0" applyFont="1" applyFill="1" applyBorder="1" applyAlignment="1">
      <alignment horizontal="center" vertical="center" wrapText="1"/>
    </xf>
    <xf numFmtId="0" fontId="4" fillId="6" borderId="33" xfId="0" applyFont="1" applyFill="1" applyBorder="1"/>
    <xf numFmtId="9" fontId="4" fillId="6" borderId="33" xfId="1" applyFont="1" applyFill="1" applyBorder="1"/>
    <xf numFmtId="0" fontId="4" fillId="6" borderId="40" xfId="0" applyFont="1" applyFill="1" applyBorder="1" applyAlignment="1">
      <alignment wrapText="1"/>
    </xf>
    <xf numFmtId="3" fontId="4" fillId="6" borderId="33" xfId="0" applyNumberFormat="1" applyFont="1" applyFill="1" applyBorder="1"/>
    <xf numFmtId="164" fontId="4" fillId="6" borderId="33" xfId="0" applyNumberFormat="1" applyFont="1" applyFill="1" applyBorder="1"/>
    <xf numFmtId="9" fontId="4" fillId="6" borderId="40" xfId="1" applyFont="1" applyFill="1" applyBorder="1"/>
    <xf numFmtId="10" fontId="4" fillId="6" borderId="33" xfId="1" applyNumberFormat="1" applyFont="1" applyFill="1" applyBorder="1"/>
    <xf numFmtId="0" fontId="4" fillId="13" borderId="33" xfId="0" applyFont="1" applyFill="1" applyBorder="1"/>
    <xf numFmtId="164" fontId="4" fillId="13" borderId="33" xfId="0" applyNumberFormat="1" applyFont="1" applyFill="1" applyBorder="1"/>
    <xf numFmtId="10" fontId="4" fillId="13" borderId="33" xfId="1" applyNumberFormat="1" applyFont="1" applyFill="1" applyBorder="1"/>
    <xf numFmtId="0" fontId="9" fillId="20" borderId="33" xfId="0" applyFont="1" applyFill="1" applyBorder="1" applyAlignment="1">
      <alignment horizontal="center" vertical="center"/>
    </xf>
    <xf numFmtId="0" fontId="9" fillId="20" borderId="33" xfId="0" applyFont="1" applyFill="1" applyBorder="1" applyAlignment="1">
      <alignment horizontal="center" vertical="center" wrapText="1"/>
    </xf>
    <xf numFmtId="0" fontId="9" fillId="21" borderId="33" xfId="0" applyFont="1" applyFill="1" applyBorder="1" applyAlignment="1">
      <alignment horizontal="center" vertical="center"/>
    </xf>
    <xf numFmtId="0" fontId="9" fillId="21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 wrapText="1"/>
    </xf>
    <xf numFmtId="0" fontId="9" fillId="10" borderId="33" xfId="0" applyFont="1" applyFill="1" applyBorder="1" applyAlignment="1">
      <alignment horizontal="center" vertical="center"/>
    </xf>
    <xf numFmtId="0" fontId="9" fillId="8" borderId="33" xfId="0" applyFont="1" applyFill="1" applyBorder="1" applyAlignment="1">
      <alignment horizontal="center" vertical="center" wrapText="1"/>
    </xf>
    <xf numFmtId="0" fontId="9" fillId="8" borderId="33" xfId="0" applyFont="1" applyFill="1" applyBorder="1" applyAlignment="1">
      <alignment horizontal="center" vertical="center"/>
    </xf>
    <xf numFmtId="3" fontId="4" fillId="13" borderId="33" xfId="0" applyNumberFormat="1" applyFont="1" applyFill="1" applyBorder="1"/>
    <xf numFmtId="0" fontId="9" fillId="12" borderId="33" xfId="0" applyFont="1" applyFill="1" applyBorder="1" applyAlignment="1">
      <alignment horizontal="center" vertical="center" wrapText="1"/>
    </xf>
    <xf numFmtId="0" fontId="9" fillId="12" borderId="33" xfId="0" applyFont="1" applyFill="1" applyBorder="1" applyAlignment="1">
      <alignment horizontal="center" vertical="center"/>
    </xf>
    <xf numFmtId="0" fontId="9" fillId="25" borderId="33" xfId="0" applyFont="1" applyFill="1" applyBorder="1" applyAlignment="1">
      <alignment horizontal="center" vertical="center" wrapText="1"/>
    </xf>
    <xf numFmtId="0" fontId="9" fillId="25" borderId="33" xfId="0" applyFont="1" applyFill="1" applyBorder="1" applyAlignment="1">
      <alignment horizontal="center" vertical="center"/>
    </xf>
    <xf numFmtId="0" fontId="13" fillId="6" borderId="33" xfId="0" applyFont="1" applyFill="1" applyBorder="1" applyAlignment="1">
      <alignment wrapText="1"/>
    </xf>
    <xf numFmtId="0" fontId="18" fillId="24" borderId="33" xfId="0" applyFont="1" applyFill="1" applyBorder="1" applyAlignment="1">
      <alignment horizontal="center" vertical="center" wrapText="1"/>
    </xf>
    <xf numFmtId="166" fontId="4" fillId="6" borderId="33" xfId="1" applyNumberFormat="1" applyFont="1" applyFill="1" applyBorder="1"/>
    <xf numFmtId="166" fontId="12" fillId="6" borderId="33" xfId="1" applyNumberFormat="1" applyFont="1" applyFill="1" applyBorder="1"/>
    <xf numFmtId="0" fontId="18" fillId="9" borderId="33" xfId="0" applyFont="1" applyFill="1" applyBorder="1" applyAlignment="1">
      <alignment horizontal="center" vertical="center" wrapText="1"/>
    </xf>
    <xf numFmtId="165" fontId="4" fillId="6" borderId="33" xfId="0" applyNumberFormat="1" applyFont="1" applyFill="1" applyBorder="1"/>
    <xf numFmtId="165" fontId="19" fillId="23" borderId="33" xfId="0" applyNumberFormat="1" applyFont="1" applyFill="1" applyBorder="1"/>
    <xf numFmtId="0" fontId="10" fillId="13" borderId="0" xfId="0" applyFont="1" applyFill="1" applyAlignment="1">
      <alignment wrapText="1"/>
    </xf>
    <xf numFmtId="0" fontId="4" fillId="7" borderId="0" xfId="0" applyFont="1" applyFill="1"/>
    <xf numFmtId="0" fontId="4" fillId="14" borderId="0" xfId="0" applyFont="1" applyFill="1"/>
    <xf numFmtId="0" fontId="10" fillId="19" borderId="42" xfId="0" applyFont="1" applyFill="1" applyBorder="1" applyAlignment="1">
      <alignment horizontal="center" vertical="center" wrapText="1"/>
    </xf>
    <xf numFmtId="0" fontId="18" fillId="20" borderId="41" xfId="0" applyFont="1" applyFill="1" applyBorder="1" applyAlignment="1">
      <alignment horizontal="center" vertical="center" wrapText="1"/>
    </xf>
    <xf numFmtId="0" fontId="18" fillId="21" borderId="41" xfId="0" applyFont="1" applyFill="1" applyBorder="1" applyAlignment="1">
      <alignment horizontal="center" vertical="center" wrapText="1"/>
    </xf>
    <xf numFmtId="0" fontId="18" fillId="10" borderId="41" xfId="0" applyFont="1" applyFill="1" applyBorder="1" applyAlignment="1">
      <alignment horizontal="center" vertical="center" wrapText="1"/>
    </xf>
    <xf numFmtId="0" fontId="18" fillId="8" borderId="41" xfId="0" applyFont="1" applyFill="1" applyBorder="1" applyAlignment="1">
      <alignment horizontal="center" vertical="center" wrapText="1"/>
    </xf>
    <xf numFmtId="0" fontId="18" fillId="12" borderId="41" xfId="0" applyFont="1" applyFill="1" applyBorder="1" applyAlignment="1">
      <alignment horizontal="center" vertical="center" wrapText="1"/>
    </xf>
    <xf numFmtId="0" fontId="18" fillId="11" borderId="41" xfId="0" applyFont="1" applyFill="1" applyBorder="1" applyAlignment="1">
      <alignment horizontal="center" vertical="center" wrapText="1"/>
    </xf>
    <xf numFmtId="0" fontId="18" fillId="24" borderId="41" xfId="0" applyFont="1" applyFill="1" applyBorder="1" applyAlignment="1">
      <alignment horizontal="center" vertical="center" wrapText="1"/>
    </xf>
    <xf numFmtId="0" fontId="10" fillId="6" borderId="48" xfId="0" applyFont="1" applyFill="1" applyBorder="1" applyAlignment="1">
      <alignment horizontal="center" vertical="center"/>
    </xf>
    <xf numFmtId="0" fontId="18" fillId="9" borderId="49" xfId="0" applyFont="1" applyFill="1" applyBorder="1" applyAlignment="1">
      <alignment horizontal="center" vertical="center" wrapText="1"/>
    </xf>
    <xf numFmtId="0" fontId="5" fillId="6" borderId="48" xfId="0" applyFont="1" applyFill="1" applyBorder="1"/>
    <xf numFmtId="165" fontId="20" fillId="6" borderId="49" xfId="0" applyNumberFormat="1" applyFont="1" applyFill="1" applyBorder="1"/>
    <xf numFmtId="169" fontId="5" fillId="6" borderId="48" xfId="0" applyNumberFormat="1" applyFont="1" applyFill="1" applyBorder="1" applyAlignment="1">
      <alignment horizontal="left"/>
    </xf>
    <xf numFmtId="169" fontId="19" fillId="23" borderId="48" xfId="0" applyNumberFormat="1" applyFont="1" applyFill="1" applyBorder="1" applyAlignment="1">
      <alignment horizontal="left"/>
    </xf>
    <xf numFmtId="165" fontId="19" fillId="23" borderId="49" xfId="0" applyNumberFormat="1" applyFont="1" applyFill="1" applyBorder="1"/>
    <xf numFmtId="165" fontId="4" fillId="6" borderId="49" xfId="0" applyNumberFormat="1" applyFont="1" applyFill="1" applyBorder="1"/>
    <xf numFmtId="169" fontId="5" fillId="6" borderId="50" xfId="0" applyNumberFormat="1" applyFont="1" applyFill="1" applyBorder="1" applyAlignment="1">
      <alignment horizontal="left"/>
    </xf>
    <xf numFmtId="165" fontId="4" fillId="6" borderId="51" xfId="0" applyNumberFormat="1" applyFont="1" applyFill="1" applyBorder="1"/>
    <xf numFmtId="165" fontId="4" fillId="6" borderId="52" xfId="0" applyNumberFormat="1" applyFont="1" applyFill="1" applyBorder="1"/>
    <xf numFmtId="0" fontId="9" fillId="9" borderId="49" xfId="0" applyFont="1" applyFill="1" applyBorder="1" applyAlignment="1">
      <alignment horizontal="center" vertical="center" wrapText="1"/>
    </xf>
    <xf numFmtId="0" fontId="4" fillId="6" borderId="48" xfId="0" applyFont="1" applyFill="1" applyBorder="1"/>
    <xf numFmtId="166" fontId="4" fillId="6" borderId="49" xfId="1" applyNumberFormat="1" applyFont="1" applyFill="1" applyBorder="1"/>
    <xf numFmtId="169" fontId="4" fillId="6" borderId="48" xfId="0" applyNumberFormat="1" applyFont="1" applyFill="1" applyBorder="1" applyAlignment="1">
      <alignment horizontal="left"/>
    </xf>
    <xf numFmtId="169" fontId="12" fillId="6" borderId="48" xfId="0" applyNumberFormat="1" applyFont="1" applyFill="1" applyBorder="1" applyAlignment="1">
      <alignment horizontal="left"/>
    </xf>
    <xf numFmtId="166" fontId="12" fillId="6" borderId="49" xfId="1" applyNumberFormat="1" applyFont="1" applyFill="1" applyBorder="1"/>
    <xf numFmtId="169" fontId="4" fillId="6" borderId="50" xfId="0" applyNumberFormat="1" applyFont="1" applyFill="1" applyBorder="1" applyAlignment="1">
      <alignment horizontal="left"/>
    </xf>
    <xf numFmtId="166" fontId="4" fillId="6" borderId="51" xfId="1" applyNumberFormat="1" applyFont="1" applyFill="1" applyBorder="1"/>
    <xf numFmtId="166" fontId="4" fillId="6" borderId="52" xfId="1" applyNumberFormat="1" applyFont="1" applyFill="1" applyBorder="1"/>
    <xf numFmtId="10" fontId="10" fillId="6" borderId="53" xfId="0" applyNumberFormat="1" applyFont="1" applyFill="1" applyBorder="1"/>
    <xf numFmtId="10" fontId="10" fillId="6" borderId="54" xfId="0" applyNumberFormat="1" applyFont="1" applyFill="1" applyBorder="1"/>
    <xf numFmtId="168" fontId="10" fillId="6" borderId="36" xfId="0" applyNumberFormat="1" applyFont="1" applyFill="1" applyBorder="1" applyAlignment="1">
      <alignment horizontal="left"/>
    </xf>
    <xf numFmtId="170" fontId="4" fillId="6" borderId="33" xfId="0" applyNumberFormat="1" applyFont="1" applyFill="1" applyBorder="1"/>
    <xf numFmtId="0" fontId="18" fillId="9" borderId="56" xfId="0" applyFont="1" applyFill="1" applyBorder="1" applyAlignment="1">
      <alignment horizontal="center" vertical="center" wrapText="1"/>
    </xf>
    <xf numFmtId="172" fontId="7" fillId="4" borderId="57" xfId="0" applyNumberFormat="1" applyFont="1" applyFill="1" applyBorder="1" applyAlignment="1">
      <alignment horizontal="left"/>
    </xf>
    <xf numFmtId="165" fontId="10" fillId="6" borderId="51" xfId="0" applyNumberFormat="1" applyFont="1" applyFill="1" applyBorder="1" applyAlignment="1">
      <alignment wrapText="1"/>
    </xf>
    <xf numFmtId="165" fontId="10" fillId="6" borderId="52" xfId="0" applyNumberFormat="1" applyFont="1" applyFill="1" applyBorder="1" applyAlignment="1">
      <alignment wrapText="1"/>
    </xf>
    <xf numFmtId="0" fontId="26" fillId="0" borderId="0" xfId="0" applyFont="1" applyAlignment="1">
      <alignment horizontal="left" vertical="center" indent="9"/>
    </xf>
    <xf numFmtId="0" fontId="14" fillId="26" borderId="37" xfId="0" applyFont="1" applyFill="1" applyBorder="1" applyAlignment="1">
      <alignment horizontal="center" vertical="center"/>
    </xf>
    <xf numFmtId="164" fontId="27" fillId="0" borderId="20" xfId="0" applyNumberFormat="1" applyFont="1" applyBorder="1"/>
    <xf numFmtId="164" fontId="27" fillId="0" borderId="21" xfId="0" applyNumberFormat="1" applyFont="1" applyBorder="1"/>
    <xf numFmtId="164" fontId="27" fillId="6" borderId="26" xfId="0" applyNumberFormat="1" applyFont="1" applyFill="1" applyBorder="1"/>
    <xf numFmtId="0" fontId="10" fillId="13" borderId="48" xfId="0" applyFont="1" applyFill="1" applyBorder="1" applyAlignment="1">
      <alignment wrapText="1"/>
    </xf>
    <xf numFmtId="0" fontId="29" fillId="6" borderId="0" xfId="0" applyFont="1" applyFill="1"/>
    <xf numFmtId="10" fontId="10" fillId="6" borderId="36" xfId="0" applyNumberFormat="1" applyFont="1" applyFill="1" applyBorder="1" applyAlignment="1">
      <alignment horizontal="left"/>
    </xf>
    <xf numFmtId="0" fontId="30" fillId="6" borderId="38" xfId="2" applyFont="1" applyFill="1" applyBorder="1" applyAlignment="1">
      <alignment horizontal="center" vertical="center" wrapText="1"/>
    </xf>
    <xf numFmtId="0" fontId="30" fillId="6" borderId="35" xfId="2" applyFont="1" applyFill="1" applyBorder="1" applyAlignment="1">
      <alignment horizontal="center" vertical="center" wrapText="1"/>
    </xf>
    <xf numFmtId="10" fontId="10" fillId="6" borderId="58" xfId="0" applyNumberFormat="1" applyFont="1" applyFill="1" applyBorder="1"/>
    <xf numFmtId="10" fontId="10" fillId="7" borderId="36" xfId="0" applyNumberFormat="1" applyFont="1" applyFill="1" applyBorder="1"/>
    <xf numFmtId="0" fontId="10" fillId="6" borderId="0" xfId="0" applyFont="1" applyFill="1" applyAlignment="1">
      <alignment horizontal="center" vertical="top" wrapText="1"/>
    </xf>
    <xf numFmtId="0" fontId="13" fillId="6" borderId="32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0" fillId="6" borderId="32" xfId="0" applyFont="1" applyFill="1" applyBorder="1" applyAlignment="1">
      <alignment horizontal="right" vertical="center" wrapText="1"/>
    </xf>
    <xf numFmtId="0" fontId="10" fillId="6" borderId="0" xfId="0" applyFont="1" applyFill="1" applyAlignment="1">
      <alignment horizontal="right" vertical="center" wrapText="1"/>
    </xf>
    <xf numFmtId="0" fontId="13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horizontal="right" wrapText="1"/>
    </xf>
    <xf numFmtId="0" fontId="16" fillId="6" borderId="27" xfId="0" applyFont="1" applyFill="1" applyBorder="1" applyAlignment="1">
      <alignment horizontal="center"/>
    </xf>
    <xf numFmtId="0" fontId="16" fillId="6" borderId="28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6" fillId="6" borderId="46" xfId="0" applyFont="1" applyFill="1" applyBorder="1" applyAlignment="1">
      <alignment horizontal="center"/>
    </xf>
    <xf numFmtId="0" fontId="16" fillId="6" borderId="47" xfId="0" applyFont="1" applyFill="1" applyBorder="1" applyAlignment="1">
      <alignment horizontal="center"/>
    </xf>
    <xf numFmtId="0" fontId="16" fillId="13" borderId="55" xfId="0" applyFont="1" applyFill="1" applyBorder="1" applyAlignment="1">
      <alignment horizontal="center"/>
    </xf>
    <xf numFmtId="0" fontId="16" fillId="13" borderId="43" xfId="0" applyFont="1" applyFill="1" applyBorder="1" applyAlignment="1">
      <alignment horizontal="center"/>
    </xf>
    <xf numFmtId="0" fontId="16" fillId="13" borderId="44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7" fillId="6" borderId="47" xfId="0" applyFont="1" applyFill="1" applyBorder="1" applyAlignment="1">
      <alignment horizontal="center" vertical="center" wrapText="1"/>
    </xf>
    <xf numFmtId="168" fontId="5" fillId="6" borderId="33" xfId="0" applyNumberFormat="1" applyFont="1" applyFill="1" applyBorder="1" applyAlignment="1">
      <alignment horizontal="center" vertical="center" textRotation="90"/>
    </xf>
    <xf numFmtId="168" fontId="5" fillId="13" borderId="0" xfId="0" applyNumberFormat="1" applyFont="1" applyFill="1" applyAlignment="1">
      <alignment horizontal="center" vertical="center" textRotation="90"/>
    </xf>
    <xf numFmtId="0" fontId="16" fillId="6" borderId="33" xfId="0" applyFont="1" applyFill="1" applyBorder="1" applyAlignment="1">
      <alignment horizontal="center"/>
    </xf>
    <xf numFmtId="168" fontId="5" fillId="6" borderId="2" xfId="0" applyNumberFormat="1" applyFont="1" applyFill="1" applyBorder="1" applyAlignment="1">
      <alignment horizontal="center" vertical="center" textRotation="90"/>
    </xf>
    <xf numFmtId="168" fontId="5" fillId="6" borderId="12" xfId="0" applyNumberFormat="1" applyFont="1" applyFill="1" applyBorder="1" applyAlignment="1">
      <alignment horizontal="center" vertical="center" textRotation="90"/>
    </xf>
    <xf numFmtId="168" fontId="5" fillId="6" borderId="4" xfId="0" applyNumberFormat="1" applyFont="1" applyFill="1" applyBorder="1" applyAlignment="1">
      <alignment horizontal="center" vertical="center" textRotation="90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</cellXfs>
  <cellStyles count="3">
    <cellStyle name="Hiperłącze" xfId="2" builtinId="8"/>
    <cellStyle name="Normalny" xfId="0" builtinId="0"/>
    <cellStyle name="Procentowy" xfId="1" builtinId="5"/>
  </cellStyles>
  <dxfs count="4">
    <dxf>
      <font>
        <color auto="1"/>
      </font>
      <fill>
        <patternFill>
          <bgColor rgb="FFFFFFCC"/>
        </patternFill>
      </fill>
    </dxf>
    <dxf>
      <font>
        <color theme="0" tint="-4.9989318521683403E-2"/>
      </font>
      <fill>
        <patternFill>
          <bgColor theme="0" tint="-0.14996795556505021"/>
        </patternFill>
      </fill>
    </dxf>
    <dxf>
      <font>
        <color theme="0" tint="-4.9989318521683403E-2"/>
      </font>
      <fill>
        <patternFill patternType="solid">
          <bgColor theme="2"/>
        </patternFill>
      </fill>
    </dxf>
    <dxf>
      <font>
        <color theme="1"/>
      </font>
      <fill>
        <patternFill patternType="solid"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9999FF"/>
      <color rgb="FF003399"/>
      <color rgb="FFFF99FF"/>
      <color rgb="FFFF9900"/>
      <color rgb="FFFF5050"/>
      <color rgb="FFFFFF00"/>
      <color rgb="FFCCCC00"/>
      <color rgb="FF99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800" b="1"/>
              <a:t>Nominalna skumulowana stopa zwrotu na koniec każdego roku</a:t>
            </a:r>
          </a:p>
        </c:rich>
      </c:tx>
      <c:layout>
        <c:manualLayout>
          <c:xMode val="edge"/>
          <c:yMode val="edge"/>
          <c:x val="0.11862523053270721"/>
          <c:y val="2.27569244605734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8.8331261861680693E-2"/>
          <c:y val="0.14012232759185531"/>
          <c:w val="0.85931895800095393"/>
          <c:h val="0.52498473486963559"/>
        </c:manualLayout>
      </c:layout>
      <c:scatterChart>
        <c:scatterStyle val="lineMarker"/>
        <c:varyColors val="0"/>
        <c:ser>
          <c:idx val="1"/>
          <c:order val="0"/>
          <c:tx>
            <c:strRef>
              <c:f>OBLIGACJE!$D$23</c:f>
              <c:strCache>
                <c:ptCount val="1"/>
                <c:pt idx="0">
                  <c:v>DOR (2-latki)</c:v>
                </c:pt>
              </c:strCache>
            </c:strRef>
          </c:tx>
          <c:spPr>
            <a:ln w="28575" cap="rnd">
              <a:solidFill>
                <a:srgbClr val="33CC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OBLIGACJE!$D$24:$D$34</c:f>
              <c:numCache>
                <c:formatCode>0.0%</c:formatCode>
                <c:ptCount val="11"/>
                <c:pt idx="0">
                  <c:v>0</c:v>
                </c:pt>
                <c:pt idx="1">
                  <c:v>3.0537744546996981E-2</c:v>
                </c:pt>
                <c:pt idx="2">
                  <c:v>7.3681796651270615E-2</c:v>
                </c:pt>
                <c:pt idx="3">
                  <c:v>0.11059893216187122</c:v>
                </c:pt>
                <c:pt idx="4">
                  <c:v>0.15708989973559051</c:v>
                </c:pt>
                <c:pt idx="5">
                  <c:v>0.19766277081562866</c:v>
                </c:pt>
                <c:pt idx="6">
                  <c:v>0.24780238153431777</c:v>
                </c:pt>
                <c:pt idx="7">
                  <c:v>0.29123654026524681</c:v>
                </c:pt>
                <c:pt idx="8">
                  <c:v>0.34528798174525899</c:v>
                </c:pt>
                <c:pt idx="9">
                  <c:v>0.39178999674261661</c:v>
                </c:pt>
                <c:pt idx="10">
                  <c:v>0.45005419353016962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336-4C7F-8F86-C57347C90C36}"/>
            </c:ext>
          </c:extLst>
        </c:ser>
        <c:ser>
          <c:idx val="0"/>
          <c:order val="1"/>
          <c:tx>
            <c:strRef>
              <c:f>OBLIGACJE!$C$23</c:f>
              <c:strCache>
                <c:ptCount val="1"/>
                <c:pt idx="0">
                  <c:v>ROR (roczne)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OBLIGACJE!$C$24:$C$34</c:f>
              <c:numCache>
                <c:formatCode>0.0%</c:formatCode>
                <c:ptCount val="11"/>
                <c:pt idx="0">
                  <c:v>0</c:v>
                </c:pt>
                <c:pt idx="1">
                  <c:v>3.4973389619258555E-2</c:v>
                </c:pt>
                <c:pt idx="2">
                  <c:v>7.5313950672013741E-2</c:v>
                </c:pt>
                <c:pt idx="3">
                  <c:v>0.11813966026235145</c:v>
                </c:pt>
                <c:pt idx="4">
                  <c:v>0.16250659896227759</c:v>
                </c:pt>
                <c:pt idx="5">
                  <c:v>0.20847073872471289</c:v>
                </c:pt>
                <c:pt idx="6">
                  <c:v>0.25608793908471728</c:v>
                </c:pt>
                <c:pt idx="7">
                  <c:v>0.30541808312141305</c:v>
                </c:pt>
                <c:pt idx="8">
                  <c:v>0.35652314822817899</c:v>
                </c:pt>
                <c:pt idx="9">
                  <c:v>0.41050121777415427</c:v>
                </c:pt>
                <c:pt idx="10">
                  <c:v>0.46642193696690581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336-4C7F-8F86-C57347C90C36}"/>
            </c:ext>
          </c:extLst>
        </c:ser>
        <c:ser>
          <c:idx val="4"/>
          <c:order val="2"/>
          <c:tx>
            <c:strRef>
              <c:f>OBLIGACJE!$E$23</c:f>
              <c:strCache>
                <c:ptCount val="1"/>
                <c:pt idx="0">
                  <c:v>TOS (3-latki)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OBLIGACJE!$E$24:$E$34</c:f>
              <c:numCache>
                <c:formatCode>0.0%</c:formatCode>
                <c:ptCount val="11"/>
                <c:pt idx="0">
                  <c:v>0</c:v>
                </c:pt>
                <c:pt idx="1">
                  <c:v>2.9565000000000063E-2</c:v>
                </c:pt>
                <c:pt idx="2">
                  <c:v>6.8981422499999834E-2</c:v>
                </c:pt>
                <c:pt idx="3">
                  <c:v>0.11833070864624995</c:v>
                </c:pt>
                <c:pt idx="4">
                  <c:v>0.15254867148195039</c:v>
                </c:pt>
                <c:pt idx="5">
                  <c:v>0.19667192615087647</c:v>
                </c:pt>
                <c:pt idx="6">
                  <c:v>0.25191062453299562</c:v>
                </c:pt>
                <c:pt idx="7">
                  <c:v>0.29021866545376884</c:v>
                </c:pt>
                <c:pt idx="8">
                  <c:v>0.33961010939476699</c:v>
                </c:pt>
                <c:pt idx="9">
                  <c:v>0.40143897040501053</c:v>
                </c:pt>
                <c:pt idx="10">
                  <c:v>0.44432488540687309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336-4C7F-8F86-C57347C90C36}"/>
            </c:ext>
          </c:extLst>
        </c:ser>
        <c:ser>
          <c:idx val="5"/>
          <c:order val="3"/>
          <c:tx>
            <c:strRef>
              <c:f>OBLIGACJE!$F$23</c:f>
              <c:strCache>
                <c:ptCount val="1"/>
                <c:pt idx="0">
                  <c:v>COI (4-latki)</c:v>
                </c:pt>
              </c:strCache>
            </c:strRef>
          </c:tx>
          <c:spPr>
            <a:ln w="31750" cap="rnd">
              <a:solidFill>
                <a:srgbClr val="136834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OBLIGACJE!$F$24:$F$34</c:f>
              <c:numCache>
                <c:formatCode>0.0%</c:formatCode>
                <c:ptCount val="11"/>
                <c:pt idx="0">
                  <c:v>0</c:v>
                </c:pt>
                <c:pt idx="1">
                  <c:v>2.4299999999999988E-2</c:v>
                </c:pt>
                <c:pt idx="2">
                  <c:v>6.0546422279579959E-2</c:v>
                </c:pt>
                <c:pt idx="3">
                  <c:v>9.8060504807847559E-2</c:v>
                </c:pt>
                <c:pt idx="4">
                  <c:v>0.15308658196058533</c:v>
                </c:pt>
                <c:pt idx="5">
                  <c:v>0.18216803409386362</c:v>
                </c:pt>
                <c:pt idx="6">
                  <c:v>0.22400080624929086</c:v>
                </c:pt>
                <c:pt idx="7">
                  <c:v>0.26729661224416357</c:v>
                </c:pt>
                <c:pt idx="8">
                  <c:v>0.33080141933097473</c:v>
                </c:pt>
                <c:pt idx="9">
                  <c:v>0.364374567492461</c:v>
                </c:pt>
                <c:pt idx="10">
                  <c:v>0.41265462246639739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336-4C7F-8F86-C57347C90C36}"/>
            </c:ext>
          </c:extLst>
        </c:ser>
        <c:ser>
          <c:idx val="2"/>
          <c:order val="4"/>
          <c:tx>
            <c:strRef>
              <c:f>OBLIGACJE!$G$23</c:f>
              <c:strCache>
                <c:ptCount val="1"/>
                <c:pt idx="0">
                  <c:v>EDO (10-latki)</c:v>
                </c:pt>
              </c:strCache>
            </c:strRef>
          </c:tx>
          <c:spPr>
            <a:ln w="31750" cap="rnd">
              <a:solidFill>
                <a:srgbClr val="860D71"/>
              </a:solidFill>
              <a:round/>
            </a:ln>
            <a:effectLst/>
          </c:spPr>
          <c:marker>
            <c:symbol val="none"/>
          </c:marker>
          <c:dPt>
            <c:idx val="10"/>
            <c:marker>
              <c:symbol val="none"/>
            </c:marker>
            <c:bubble3D val="0"/>
            <c:spPr>
              <a:ln w="31750" cap="rnd">
                <a:solidFill>
                  <a:srgbClr val="9900CC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DF1-4B4C-BCB4-D59A39D160BF}"/>
              </c:ext>
            </c:extLst>
          </c:dPt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OBLIGACJE!$G$24:$G$34</c:f>
              <c:numCache>
                <c:formatCode>0.0%</c:formatCode>
                <c:ptCount val="11"/>
                <c:pt idx="0">
                  <c:v>0</c:v>
                </c:pt>
                <c:pt idx="1">
                  <c:v>2.1060000000000079E-2</c:v>
                </c:pt>
                <c:pt idx="2">
                  <c:v>6.2117280000000052E-2</c:v>
                </c:pt>
                <c:pt idx="3">
                  <c:v>0.10514530943999989</c:v>
                </c:pt>
                <c:pt idx="4">
                  <c:v>0.15023868429312026</c:v>
                </c:pt>
                <c:pt idx="5">
                  <c:v>0.19749654113919002</c:v>
                </c:pt>
                <c:pt idx="6">
                  <c:v>0.24702277511387094</c:v>
                </c:pt>
                <c:pt idx="7">
                  <c:v>0.29892626831933677</c:v>
                </c:pt>
                <c:pt idx="8">
                  <c:v>0.35332112919866487</c:v>
                </c:pt>
                <c:pt idx="9">
                  <c:v>0.41032694340020059</c:v>
                </c:pt>
                <c:pt idx="10">
                  <c:v>0.49436903668341059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45E-432F-8C5C-A05E1D4A1A60}"/>
            </c:ext>
          </c:extLst>
        </c:ser>
        <c:ser>
          <c:idx val="3"/>
          <c:order val="5"/>
          <c:tx>
            <c:strRef>
              <c:f>OBLIGACJE!$H$23</c:f>
              <c:strCache>
                <c:ptCount val="1"/>
                <c:pt idx="0">
                  <c:v>ROS (6-latki)</c:v>
                </c:pt>
              </c:strCache>
            </c:strRef>
          </c:tx>
          <c:spPr>
            <a:ln w="28575" cap="flat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OBLIGACJE!$H$24:$H$34</c:f>
              <c:numCache>
                <c:formatCode>0.0%</c:formatCode>
                <c:ptCount val="11"/>
                <c:pt idx="0">
                  <c:v>0</c:v>
                </c:pt>
                <c:pt idx="1">
                  <c:v>2.5919999999999943E-2</c:v>
                </c:pt>
                <c:pt idx="2">
                  <c:v>6.6821760000000063E-2</c:v>
                </c:pt>
                <c:pt idx="3">
                  <c:v>0.10968680448000012</c:v>
                </c:pt>
                <c:pt idx="4">
                  <c:v>0.15460937109504003</c:v>
                </c:pt>
                <c:pt idx="5">
                  <c:v>0.20168822090760208</c:v>
                </c:pt>
                <c:pt idx="6">
                  <c:v>0.26722685551116698</c:v>
                </c:pt>
                <c:pt idx="7">
                  <c:v>0.30007542941734622</c:v>
                </c:pt>
                <c:pt idx="8">
                  <c:v>0.35190617071911778</c:v>
                </c:pt>
                <c:pt idx="9">
                  <c:v>0.4062246806369032</c:v>
                </c:pt>
                <c:pt idx="10">
                  <c:v>0.46315036832329093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45E-432F-8C5C-A05E1D4A1A60}"/>
            </c:ext>
          </c:extLst>
        </c:ser>
        <c:ser>
          <c:idx val="6"/>
          <c:order val="6"/>
          <c:tx>
            <c:strRef>
              <c:f>OBLIGACJE!$I$23</c:f>
              <c:strCache>
                <c:ptCount val="1"/>
                <c:pt idx="0">
                  <c:v>ROD (12-latki) </c:v>
                </c:pt>
              </c:strCache>
            </c:strRef>
          </c:tx>
          <c:spPr>
            <a:ln w="28575" cap="rnd">
              <a:solidFill>
                <a:srgbClr val="9999FF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OBLIGACJE!$I$24:$I$34</c:f>
              <c:numCache>
                <c:formatCode>0.0%</c:formatCode>
                <c:ptCount val="11"/>
                <c:pt idx="0">
                  <c:v>0</c:v>
                </c:pt>
                <c:pt idx="1">
                  <c:v>2.3085000000000022E-2</c:v>
                </c:pt>
                <c:pt idx="2">
                  <c:v>6.8526404999999846E-2</c:v>
                </c:pt>
                <c:pt idx="3">
                  <c:v>0.11637620446499986</c:v>
                </c:pt>
                <c:pt idx="4">
                  <c:v>0.16676204330164479</c:v>
                </c:pt>
                <c:pt idx="5">
                  <c:v>0.219818331596632</c:v>
                </c:pt>
                <c:pt idx="6">
                  <c:v>0.27568660317125326</c:v>
                </c:pt>
                <c:pt idx="7">
                  <c:v>0.3345158931393295</c:v>
                </c:pt>
                <c:pt idx="8">
                  <c:v>0.39646313547571399</c:v>
                </c:pt>
                <c:pt idx="9">
                  <c:v>0.46169358165592689</c:v>
                </c:pt>
                <c:pt idx="10">
                  <c:v>0.53038124148369059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45E-432F-8C5C-A05E1D4A1A60}"/>
            </c:ext>
          </c:extLst>
        </c:ser>
        <c:ser>
          <c:idx val="7"/>
          <c:order val="7"/>
          <c:tx>
            <c:strRef>
              <c:f>OBLIGACJE!$J$23</c:f>
              <c:strCache>
                <c:ptCount val="1"/>
                <c:pt idx="0">
                  <c:v>Lokata</c:v>
                </c:pt>
              </c:strCache>
            </c:strRef>
          </c:tx>
          <c:spPr>
            <a:ln w="3810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OBLIGACJE!$J$24:$J$34</c:f>
              <c:numCache>
                <c:formatCode>0.0%</c:formatCode>
                <c:ptCount val="11"/>
                <c:pt idx="0">
                  <c:v>0</c:v>
                </c:pt>
                <c:pt idx="1">
                  <c:v>3.4973389619257444E-2</c:v>
                </c:pt>
                <c:pt idx="2">
                  <c:v>7.1169917219975343E-2</c:v>
                </c:pt>
                <c:pt idx="3">
                  <c:v>0.10863236008333721</c:v>
                </c:pt>
                <c:pt idx="4">
                  <c:v>0.14740499155704878</c:v>
                </c:pt>
                <c:pt idx="5">
                  <c:v>0.18753363337785434</c:v>
                </c:pt>
                <c:pt idx="6">
                  <c:v>0.22906570982395036</c:v>
                </c:pt>
                <c:pt idx="7">
                  <c:v>0.27205030376129269</c:v>
                </c:pt>
                <c:pt idx="8">
                  <c:v>0.31653821465003129</c:v>
                </c:pt>
                <c:pt idx="9">
                  <c:v>0.36258201857962846</c:v>
                </c:pt>
                <c:pt idx="10">
                  <c:v>0.41023613040360818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F1-4B4C-BCB4-D59A39D160BF}"/>
            </c:ext>
          </c:extLst>
        </c:ser>
        <c:ser>
          <c:idx val="8"/>
          <c:order val="8"/>
          <c:tx>
            <c:strRef>
              <c:f>OBLIGACJE!$K$23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OBLIGACJE!$B$24:$B$34</c:f>
              <c:numCache>
                <c:formatCode>"koniec "General" roku"</c:formatCode>
                <c:ptCount val="11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OBLIGACJE!$K$24:$K$34</c:f>
              <c:numCache>
                <c:formatCode>0.0%</c:formatCode>
                <c:ptCount val="11"/>
                <c:pt idx="0">
                  <c:v>0</c:v>
                </c:pt>
                <c:pt idx="1">
                  <c:v>2.8000000000000025E-2</c:v>
                </c:pt>
                <c:pt idx="2">
                  <c:v>5.6783999999999946E-2</c:v>
                </c:pt>
                <c:pt idx="3">
                  <c:v>8.6373951999999976E-2</c:v>
                </c:pt>
                <c:pt idx="4">
                  <c:v>0.11679242265599998</c:v>
                </c:pt>
                <c:pt idx="5">
                  <c:v>0.14806261049036795</c:v>
                </c:pt>
                <c:pt idx="6">
                  <c:v>0.18020836358409831</c:v>
                </c:pt>
                <c:pt idx="7">
                  <c:v>0.21325419776445309</c:v>
                </c:pt>
                <c:pt idx="8">
                  <c:v>0.24722531530185776</c:v>
                </c:pt>
                <c:pt idx="9">
                  <c:v>0.2821476241303098</c:v>
                </c:pt>
                <c:pt idx="10">
                  <c:v>0.3180477576059586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DF1-4B4C-BCB4-D59A39D16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225839"/>
        <c:axId val="143248303"/>
      </c:scatterChart>
      <c:valAx>
        <c:axId val="143225839"/>
        <c:scaling>
          <c:orientation val="minMax"/>
          <c:max val="10"/>
        </c:scaling>
        <c:delete val="0"/>
        <c:axPos val="b"/>
        <c:numFmt formatCode="General&quot; rok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48303"/>
        <c:crosses val="autoZero"/>
        <c:crossBetween val="midCat"/>
        <c:majorUnit val="1"/>
        <c:minorUnit val="1"/>
      </c:valAx>
      <c:valAx>
        <c:axId val="143248303"/>
        <c:scaling>
          <c:orientation val="minMax"/>
          <c:min val="0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43225839"/>
        <c:crosses val="autoZero"/>
        <c:crossBetween val="midCat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1.4040796295599227E-2"/>
          <c:y val="0.75035106402871676"/>
          <c:w val="0.83511413233906961"/>
          <c:h val="0.249648935971283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l-PL" sz="2000" b="1">
                <a:solidFill>
                  <a:schemeClr val="tx1"/>
                </a:solidFill>
              </a:rPr>
              <a:t>Wartości nominalne obligacji na koniec każdego roku oszczędzania</a:t>
            </a:r>
          </a:p>
        </c:rich>
      </c:tx>
      <c:layout>
        <c:manualLayout>
          <c:xMode val="edge"/>
          <c:yMode val="edge"/>
          <c:x val="0.11971914800589922"/>
          <c:y val="2.7867322480264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578459589371435"/>
          <c:y val="0.14553409327982805"/>
          <c:w val="0.86995344277276743"/>
          <c:h val="0.50305533797804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OBLIGACJE!$C$7</c:f>
              <c:strCache>
                <c:ptCount val="1"/>
                <c:pt idx="0">
                  <c:v>ROR (roczne)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OBLIGACJE!$C$8:$C$18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103497.33896192585</c:v>
                </c:pt>
                <c:pt idx="2">
                  <c:v>107531.39506720137</c:v>
                </c:pt>
                <c:pt idx="3">
                  <c:v>111813.96602623514</c:v>
                </c:pt>
                <c:pt idx="4">
                  <c:v>116250.65989622776</c:v>
                </c:pt>
                <c:pt idx="5">
                  <c:v>120847.07387247129</c:v>
                </c:pt>
                <c:pt idx="6">
                  <c:v>125608.79390847172</c:v>
                </c:pt>
                <c:pt idx="7">
                  <c:v>130541.80831214131</c:v>
                </c:pt>
                <c:pt idx="8">
                  <c:v>135652.31482281789</c:v>
                </c:pt>
                <c:pt idx="9">
                  <c:v>141050.12177741542</c:v>
                </c:pt>
                <c:pt idx="10">
                  <c:v>146642.19369669058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09-465B-9C1B-48094DA13D00}"/>
            </c:ext>
          </c:extLst>
        </c:ser>
        <c:ser>
          <c:idx val="3"/>
          <c:order val="1"/>
          <c:tx>
            <c:strRef>
              <c:f>OBLIGACJE!$D$7</c:f>
              <c:strCache>
                <c:ptCount val="1"/>
                <c:pt idx="0">
                  <c:v>DOR (2-latki)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OBLIGACJE!$D$8:$D$18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103053.7744546997</c:v>
                </c:pt>
                <c:pt idx="2">
                  <c:v>107368.17966512706</c:v>
                </c:pt>
                <c:pt idx="3">
                  <c:v>111059.89321618712</c:v>
                </c:pt>
                <c:pt idx="4">
                  <c:v>115708.98997355904</c:v>
                </c:pt>
                <c:pt idx="5">
                  <c:v>119766.27708156286</c:v>
                </c:pt>
                <c:pt idx="6">
                  <c:v>124780.23815343178</c:v>
                </c:pt>
                <c:pt idx="7">
                  <c:v>129123.65402652467</c:v>
                </c:pt>
                <c:pt idx="8">
                  <c:v>134528.7981745259</c:v>
                </c:pt>
                <c:pt idx="9">
                  <c:v>139178.99967426166</c:v>
                </c:pt>
                <c:pt idx="10">
                  <c:v>145005.41935301697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09-465B-9C1B-48094DA13D00}"/>
            </c:ext>
          </c:extLst>
        </c:ser>
        <c:ser>
          <c:idx val="4"/>
          <c:order val="2"/>
          <c:tx>
            <c:strRef>
              <c:f>OBLIGACJE!$E$7</c:f>
              <c:strCache>
                <c:ptCount val="1"/>
                <c:pt idx="0">
                  <c:v>TOS (3-latki)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OBLIGACJE!$E$8:$E$18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102956.5</c:v>
                </c:pt>
                <c:pt idx="2">
                  <c:v>106898.14224999999</c:v>
                </c:pt>
                <c:pt idx="3">
                  <c:v>111833.070864625</c:v>
                </c:pt>
                <c:pt idx="4">
                  <c:v>115254.86714819503</c:v>
                </c:pt>
                <c:pt idx="5">
                  <c:v>119667.19261508765</c:v>
                </c:pt>
                <c:pt idx="6">
                  <c:v>125191.06245329956</c:v>
                </c:pt>
                <c:pt idx="7">
                  <c:v>129021.86654537689</c:v>
                </c:pt>
                <c:pt idx="8">
                  <c:v>133961.01093947669</c:v>
                </c:pt>
                <c:pt idx="9">
                  <c:v>140143.89704050106</c:v>
                </c:pt>
                <c:pt idx="10">
                  <c:v>144432.48854068731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09-465B-9C1B-48094DA13D00}"/>
            </c:ext>
          </c:extLst>
        </c:ser>
        <c:ser>
          <c:idx val="5"/>
          <c:order val="3"/>
          <c:tx>
            <c:strRef>
              <c:f>OBLIGACJE!$F$7</c:f>
              <c:strCache>
                <c:ptCount val="1"/>
                <c:pt idx="0">
                  <c:v>COI (4-latki)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B06-476B-8C04-A17D2C0B4C42}"/>
              </c:ext>
            </c:extLst>
          </c:dPt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OBLIGACJE!$F$8:$F$18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102430</c:v>
                </c:pt>
                <c:pt idx="2">
                  <c:v>106054.64222795799</c:v>
                </c:pt>
                <c:pt idx="3">
                  <c:v>109806.05048078475</c:v>
                </c:pt>
                <c:pt idx="4">
                  <c:v>115308.65819605853</c:v>
                </c:pt>
                <c:pt idx="5">
                  <c:v>118216.80340938635</c:v>
                </c:pt>
                <c:pt idx="6">
                  <c:v>122400.08062492909</c:v>
                </c:pt>
                <c:pt idx="7">
                  <c:v>126729.66122441636</c:v>
                </c:pt>
                <c:pt idx="8">
                  <c:v>133080.14193309747</c:v>
                </c:pt>
                <c:pt idx="9">
                  <c:v>136437.45674924611</c:v>
                </c:pt>
                <c:pt idx="10">
                  <c:v>141265.46224663974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09-465B-9C1B-48094DA13D00}"/>
            </c:ext>
          </c:extLst>
        </c:ser>
        <c:ser>
          <c:idx val="1"/>
          <c:order val="4"/>
          <c:tx>
            <c:strRef>
              <c:f>OBLIGACJE!$G$7</c:f>
              <c:strCache>
                <c:ptCount val="1"/>
                <c:pt idx="0">
                  <c:v>EDO (10-latki)</c:v>
                </c:pt>
              </c:strCache>
            </c:strRef>
          </c:tx>
          <c:spPr>
            <a:solidFill>
              <a:srgbClr val="860D71"/>
            </a:solidFill>
            <a:ln w="28575" cap="rnd">
              <a:noFill/>
              <a:round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OBLIGACJE!$G$8:$G$18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102106</c:v>
                </c:pt>
                <c:pt idx="2">
                  <c:v>106211.728</c:v>
                </c:pt>
                <c:pt idx="3">
                  <c:v>110514.530944</c:v>
                </c:pt>
                <c:pt idx="4">
                  <c:v>115023.86842931202</c:v>
                </c:pt>
                <c:pt idx="5">
                  <c:v>119749.65411391899</c:v>
                </c:pt>
                <c:pt idx="6">
                  <c:v>124702.2775113871</c:v>
                </c:pt>
                <c:pt idx="7">
                  <c:v>129892.62683193368</c:v>
                </c:pt>
                <c:pt idx="8">
                  <c:v>135332.11291986649</c:v>
                </c:pt>
                <c:pt idx="9">
                  <c:v>141032.69434002007</c:v>
                </c:pt>
                <c:pt idx="10">
                  <c:v>149436.90366834105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DC-4D58-BAC1-F80779A0F8EF}"/>
            </c:ext>
          </c:extLst>
        </c:ser>
        <c:ser>
          <c:idx val="2"/>
          <c:order val="5"/>
          <c:tx>
            <c:strRef>
              <c:f>OBLIGACJE!$H$7</c:f>
              <c:strCache>
                <c:ptCount val="1"/>
                <c:pt idx="0">
                  <c:v>ROS (6-latki)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OBLIGACJE!$H$8:$H$18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102592</c:v>
                </c:pt>
                <c:pt idx="2">
                  <c:v>106682.17600000001</c:v>
                </c:pt>
                <c:pt idx="3">
                  <c:v>110968.68044800001</c:v>
                </c:pt>
                <c:pt idx="4">
                  <c:v>115460.93710950401</c:v>
                </c:pt>
                <c:pt idx="5">
                  <c:v>120168.82209076021</c:v>
                </c:pt>
                <c:pt idx="6">
                  <c:v>126722.68555111669</c:v>
                </c:pt>
                <c:pt idx="7">
                  <c:v>130007.54294173463</c:v>
                </c:pt>
                <c:pt idx="8">
                  <c:v>135190.61707191178</c:v>
                </c:pt>
                <c:pt idx="9">
                  <c:v>140622.46806369032</c:v>
                </c:pt>
                <c:pt idx="10">
                  <c:v>146315.03683232909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DC-4D58-BAC1-F80779A0F8EF}"/>
            </c:ext>
          </c:extLst>
        </c:ser>
        <c:ser>
          <c:idx val="6"/>
          <c:order val="6"/>
          <c:tx>
            <c:strRef>
              <c:f>OBLIGACJE!$I$7</c:f>
              <c:strCache>
                <c:ptCount val="1"/>
                <c:pt idx="0">
                  <c:v>ROD (12-latki) </c:v>
                </c:pt>
              </c:strCache>
            </c:strRef>
          </c:tx>
          <c:spPr>
            <a:solidFill>
              <a:srgbClr val="9999FF"/>
            </a:solidFill>
            <a:ln>
              <a:solidFill>
                <a:srgbClr val="9999FF"/>
              </a:solidFill>
            </a:ln>
            <a:effectLst/>
          </c:spPr>
          <c:invertIfNegative val="0"/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OBLIGACJE!$I$8:$I$18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102308.5</c:v>
                </c:pt>
                <c:pt idx="2">
                  <c:v>106852.64049999999</c:v>
                </c:pt>
                <c:pt idx="3">
                  <c:v>111637.62044649998</c:v>
                </c:pt>
                <c:pt idx="4">
                  <c:v>116676.20433016447</c:v>
                </c:pt>
                <c:pt idx="5">
                  <c:v>121981.83315966319</c:v>
                </c:pt>
                <c:pt idx="6">
                  <c:v>127568.66031712534</c:v>
                </c:pt>
                <c:pt idx="7">
                  <c:v>133451.58931393296</c:v>
                </c:pt>
                <c:pt idx="8">
                  <c:v>139646.31354757139</c:v>
                </c:pt>
                <c:pt idx="9">
                  <c:v>146169.35816559268</c:v>
                </c:pt>
                <c:pt idx="10">
                  <c:v>153038.12414836907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1DC-4D58-BAC1-F80779A0F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4612543"/>
        <c:axId val="2134611295"/>
      </c:barChart>
      <c:lineChart>
        <c:grouping val="standard"/>
        <c:varyColors val="0"/>
        <c:ser>
          <c:idx val="7"/>
          <c:order val="7"/>
          <c:tx>
            <c:strRef>
              <c:f>OBLIGACJE!$J$7</c:f>
              <c:strCache>
                <c:ptCount val="1"/>
                <c:pt idx="0">
                  <c:v>Lokata</c:v>
                </c:pt>
              </c:strCache>
            </c:strRef>
          </c:tx>
          <c:spPr>
            <a:ln w="57150" cap="rnd">
              <a:solidFill>
                <a:srgbClr val="003399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OBLIGACJE!$J$8:$J$18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103497.33896192575</c:v>
                </c:pt>
                <c:pt idx="2">
                  <c:v>107116.99172199753</c:v>
                </c:pt>
                <c:pt idx="3">
                  <c:v>110863.23600833373</c:v>
                </c:pt>
                <c:pt idx="4">
                  <c:v>114740.49915570488</c:v>
                </c:pt>
                <c:pt idx="5">
                  <c:v>118753.36333778543</c:v>
                </c:pt>
                <c:pt idx="6">
                  <c:v>122906.57098239505</c:v>
                </c:pt>
                <c:pt idx="7">
                  <c:v>127205.03037612927</c:v>
                </c:pt>
                <c:pt idx="8">
                  <c:v>131653.82146500313</c:v>
                </c:pt>
                <c:pt idx="9">
                  <c:v>136258.20185796285</c:v>
                </c:pt>
                <c:pt idx="10">
                  <c:v>141023.61304036083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42-4769-B53A-32DCD894B906}"/>
            </c:ext>
          </c:extLst>
        </c:ser>
        <c:ser>
          <c:idx val="8"/>
          <c:order val="8"/>
          <c:tx>
            <c:strRef>
              <c:f>OBLIGACJE!$K$7</c:f>
              <c:strCache>
                <c:ptCount val="1"/>
                <c:pt idx="0">
                  <c:v>Wpłata powiększona o INFLACJĘ</c:v>
                </c:pt>
              </c:strCache>
            </c:strRef>
          </c:tx>
          <c:spPr>
            <a:ln w="571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OBLIGACJE!$B$8:$B$18</c:f>
              <c:strCache>
                <c:ptCount val="11"/>
                <c:pt idx="0">
                  <c:v>wpłata</c:v>
                </c:pt>
                <c:pt idx="1">
                  <c:v>koniec 1 roku</c:v>
                </c:pt>
                <c:pt idx="2">
                  <c:v>koniec 2 roku</c:v>
                </c:pt>
                <c:pt idx="3">
                  <c:v>koniec 3 roku</c:v>
                </c:pt>
                <c:pt idx="4">
                  <c:v>koniec 4 roku</c:v>
                </c:pt>
                <c:pt idx="5">
                  <c:v>koniec 5 roku</c:v>
                </c:pt>
                <c:pt idx="6">
                  <c:v>koniec 6 roku</c:v>
                </c:pt>
                <c:pt idx="7">
                  <c:v>koniec 7 roku</c:v>
                </c:pt>
                <c:pt idx="8">
                  <c:v>koniec 8 roku</c:v>
                </c:pt>
                <c:pt idx="9">
                  <c:v>koniec 9 roku</c:v>
                </c:pt>
                <c:pt idx="10">
                  <c:v>koniec 10 roku</c:v>
                </c:pt>
              </c:strCache>
            </c:strRef>
          </c:cat>
          <c:val>
            <c:numRef>
              <c:f>OBLIGACJE!$K$8:$K$18</c:f>
              <c:numCache>
                <c:formatCode>#\ ##0\ "zł"</c:formatCode>
                <c:ptCount val="11"/>
                <c:pt idx="0">
                  <c:v>100000</c:v>
                </c:pt>
                <c:pt idx="1">
                  <c:v>102800</c:v>
                </c:pt>
                <c:pt idx="2">
                  <c:v>105678.39999999999</c:v>
                </c:pt>
                <c:pt idx="3">
                  <c:v>108637.3952</c:v>
                </c:pt>
                <c:pt idx="4">
                  <c:v>111679.2422656</c:v>
                </c:pt>
                <c:pt idx="5">
                  <c:v>114806.2610490368</c:v>
                </c:pt>
                <c:pt idx="6">
                  <c:v>118020.83635840983</c:v>
                </c:pt>
                <c:pt idx="7">
                  <c:v>121325.41977644531</c:v>
                </c:pt>
                <c:pt idx="8">
                  <c:v>124722.53153018578</c:v>
                </c:pt>
                <c:pt idx="9">
                  <c:v>128214.76241303099</c:v>
                </c:pt>
                <c:pt idx="10">
                  <c:v>131804.77576059586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C42-4769-B53A-32DCD894B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612543"/>
        <c:axId val="2134611295"/>
      </c:lineChart>
      <c:catAx>
        <c:axId val="213461254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1295"/>
        <c:crosses val="autoZero"/>
        <c:auto val="1"/>
        <c:lblAlgn val="ctr"/>
        <c:lblOffset val="100"/>
        <c:noMultiLvlLbl val="0"/>
      </c:catAx>
      <c:valAx>
        <c:axId val="2134611295"/>
        <c:scaling>
          <c:orientation val="minMax"/>
        </c:scaling>
        <c:delete val="0"/>
        <c:axPos val="l"/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134612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019782873338343E-3"/>
          <c:y val="0.76687929715591829"/>
          <c:w val="0.92169579851142946"/>
          <c:h val="0.23312070284408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Wartości nominalne obligacji "opakowanych" w IKE, na koniec roku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6.8468203130400099E-2"/>
          <c:y val="7.3502868811716374E-2"/>
          <c:w val="0.91737309822934177"/>
          <c:h val="0.657057447069185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'IKE OBLIGACJE'!$D$20</c:f>
              <c:strCache>
                <c:ptCount val="1"/>
                <c:pt idx="0">
                  <c:v>TOS, gdy spełniam warunki IKE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'IKE OBLIGACJE'!$D$22:$D$33</c:f>
              <c:numCache>
                <c:formatCode>#\ ##0.00\ "zł"</c:formatCode>
                <c:ptCount val="12"/>
                <c:pt idx="0">
                  <c:v>104650</c:v>
                </c:pt>
                <c:pt idx="1">
                  <c:v>109340.99904</c:v>
                </c:pt>
                <c:pt idx="2">
                  <c:v>113692.96026486125</c:v>
                </c:pt>
                <c:pt idx="3">
                  <c:v>118945.46767173173</c:v>
                </c:pt>
                <c:pt idx="4">
                  <c:v>124335.31563156898</c:v>
                </c:pt>
                <c:pt idx="5">
                  <c:v>129339.87500861984</c:v>
                </c:pt>
                <c:pt idx="6">
                  <c:v>135379.0276075025</c:v>
                </c:pt>
                <c:pt idx="7">
                  <c:v>141680.82667880945</c:v>
                </c:pt>
                <c:pt idx="8">
                  <c:v>147533.90107839101</c:v>
                </c:pt>
                <c:pt idx="9">
                  <c:v>154344.88655753754</c:v>
                </c:pt>
                <c:pt idx="10">
                  <c:v>161317.31704633404</c:v>
                </c:pt>
                <c:pt idx="11">
                  <c:v>167768.99383472811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8-41D6-9428-02084902B5DB}"/>
            </c:ext>
          </c:extLst>
        </c:ser>
        <c:ser>
          <c:idx val="1"/>
          <c:order val="1"/>
          <c:tx>
            <c:strRef>
              <c:f>'IKE OBLIGACJE'!$E$20</c:f>
              <c:strCache>
                <c:ptCount val="1"/>
                <c:pt idx="0">
                  <c:v>TOS,  gdy nie spełniam warunków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'IKE OBLIGACJE'!$E$22:$E$33</c:f>
              <c:numCache>
                <c:formatCode>#\ ##0.00\ "zł"</c:formatCode>
                <c:ptCount val="12"/>
                <c:pt idx="0">
                  <c:v>102956.5</c:v>
                </c:pt>
                <c:pt idx="1">
                  <c:v>106722.91628999999</c:v>
                </c:pt>
                <c:pt idx="2">
                  <c:v>111025.50369728624</c:v>
                </c:pt>
                <c:pt idx="3">
                  <c:v>114324.04860415673</c:v>
                </c:pt>
                <c:pt idx="4">
                  <c:v>118658.94764624399</c:v>
                </c:pt>
                <c:pt idx="5">
                  <c:v>123607.17149744177</c:v>
                </c:pt>
                <c:pt idx="6">
                  <c:v>127414.95559632443</c:v>
                </c:pt>
                <c:pt idx="7">
                  <c:v>132491.46972713136</c:v>
                </c:pt>
                <c:pt idx="8">
                  <c:v>138257.99651623028</c:v>
                </c:pt>
                <c:pt idx="9">
                  <c:v>142542.44759537681</c:v>
                </c:pt>
                <c:pt idx="10">
                  <c:v>148159.97341767332</c:v>
                </c:pt>
                <c:pt idx="11">
                  <c:v>154558.09071315094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6E-4F00-878D-1DC0D3467694}"/>
            </c:ext>
          </c:extLst>
        </c:ser>
        <c:ser>
          <c:idx val="2"/>
          <c:order val="2"/>
          <c:tx>
            <c:strRef>
              <c:f>'IKE OBLIGACJE'!$F$20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solidFill>
              <a:srgbClr val="136834"/>
            </a:solidFill>
            <a:ln>
              <a:noFill/>
            </a:ln>
            <a:effectLst/>
          </c:spPr>
          <c:invertIfNegative val="0"/>
          <c:val>
            <c:numRef>
              <c:f>'IKE OBLIGACJE'!$F$22:$F$33</c:f>
              <c:numCache>
                <c:formatCode>#\ ##0.00\ "zł"</c:formatCode>
                <c:ptCount val="12"/>
                <c:pt idx="0">
                  <c:v>105000</c:v>
                </c:pt>
                <c:pt idx="1">
                  <c:v>109374.71999999999</c:v>
                </c:pt>
                <c:pt idx="2">
                  <c:v>113943.28499999997</c:v>
                </c:pt>
                <c:pt idx="3">
                  <c:v>118719.85809999995</c:v>
                </c:pt>
                <c:pt idx="4">
                  <c:v>124527.09354999996</c:v>
                </c:pt>
                <c:pt idx="5">
                  <c:v>129835.19146999993</c:v>
                </c:pt>
                <c:pt idx="6">
                  <c:v>135374.79766999994</c:v>
                </c:pt>
                <c:pt idx="7">
                  <c:v>141170.90126999997</c:v>
                </c:pt>
                <c:pt idx="8">
                  <c:v>148032.79366999996</c:v>
                </c:pt>
                <c:pt idx="9">
                  <c:v>154432.33066999994</c:v>
                </c:pt>
                <c:pt idx="10">
                  <c:v>161093.74356999993</c:v>
                </c:pt>
                <c:pt idx="11">
                  <c:v>168046.53386999993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6E-4F00-878D-1DC0D3467694}"/>
            </c:ext>
          </c:extLst>
        </c:ser>
        <c:ser>
          <c:idx val="3"/>
          <c:order val="3"/>
          <c:tx>
            <c:strRef>
              <c:f>'IKE OBLIGACJE'!$G$20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solidFill>
              <a:srgbClr val="A5ABC1"/>
            </a:solidFill>
            <a:ln>
              <a:noFill/>
            </a:ln>
            <a:effectLst/>
          </c:spPr>
          <c:invertIfNegative val="0"/>
          <c:val>
            <c:numRef>
              <c:f>'IKE OBLIGACJE'!$G$22:$G$33</c:f>
              <c:numCache>
                <c:formatCode>#\ ##0.00\ "zł"</c:formatCode>
                <c:ptCount val="12"/>
                <c:pt idx="0">
                  <c:v>102430</c:v>
                </c:pt>
                <c:pt idx="1">
                  <c:v>105859.21999999999</c:v>
                </c:pt>
                <c:pt idx="2">
                  <c:v>109454.28499999997</c:v>
                </c:pt>
                <c:pt idx="3">
                  <c:v>114835.45309999996</c:v>
                </c:pt>
                <c:pt idx="4">
                  <c:v>117805.76854999996</c:v>
                </c:pt>
                <c:pt idx="5">
                  <c:v>121979.95546999994</c:v>
                </c:pt>
                <c:pt idx="6">
                  <c:v>126351.05766999995</c:v>
                </c:pt>
                <c:pt idx="7">
                  <c:v>132617.80526999998</c:v>
                </c:pt>
                <c:pt idx="8">
                  <c:v>136357.46966999996</c:v>
                </c:pt>
                <c:pt idx="9">
                  <c:v>141399.70066999996</c:v>
                </c:pt>
                <c:pt idx="10">
                  <c:v>146659.23456999994</c:v>
                </c:pt>
                <c:pt idx="11">
                  <c:v>153912.75086999993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6E-4F00-878D-1DC0D3467694}"/>
            </c:ext>
          </c:extLst>
        </c:ser>
        <c:ser>
          <c:idx val="4"/>
          <c:order val="4"/>
          <c:tx>
            <c:strRef>
              <c:f>'IKE OBLIGACJE'!$H$20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solidFill>
              <a:srgbClr val="860D71"/>
            </a:solidFill>
            <a:ln>
              <a:noFill/>
            </a:ln>
            <a:effectLst/>
          </c:spPr>
          <c:invertIfNegative val="0"/>
          <c:val>
            <c:numRef>
              <c:f>'IKE OBLIGACJE'!$H$22:$H$33</c:f>
              <c:numCache>
                <c:formatCode>#\ ##0.00\ "zł"</c:formatCode>
                <c:ptCount val="12"/>
                <c:pt idx="0">
                  <c:v>105600</c:v>
                </c:pt>
                <c:pt idx="1">
                  <c:v>110491.72992</c:v>
                </c:pt>
                <c:pt idx="2">
                  <c:v>115629.86096640001</c:v>
                </c:pt>
                <c:pt idx="3">
                  <c:v>121026.77710159874</c:v>
                </c:pt>
                <c:pt idx="4">
                  <c:v>126695.48344018996</c:v>
                </c:pt>
                <c:pt idx="5">
                  <c:v>132649.63734692385</c:v>
                </c:pt>
                <c:pt idx="6">
                  <c:v>138903.58108893796</c:v>
                </c:pt>
                <c:pt idx="7">
                  <c:v>145472.37611981816</c:v>
                </c:pt>
                <c:pt idx="8">
                  <c:v>152356.47331218058</c:v>
                </c:pt>
                <c:pt idx="9">
                  <c:v>159571.00716977642</c:v>
                </c:pt>
                <c:pt idx="10">
                  <c:v>168583.49125537105</c:v>
                </c:pt>
                <c:pt idx="11">
                  <c:v>176570.9463041657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26E-4F00-878D-1DC0D3467694}"/>
            </c:ext>
          </c:extLst>
        </c:ser>
        <c:ser>
          <c:idx val="5"/>
          <c:order val="5"/>
          <c:tx>
            <c:strRef>
              <c:f>'IKE OBLIGACJE'!$I$20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solidFill>
              <a:srgbClr val="CCCCFF"/>
            </a:solidFill>
            <a:ln>
              <a:noFill/>
            </a:ln>
            <a:effectLst/>
          </c:spPr>
          <c:invertIfNegative val="0"/>
          <c:val>
            <c:numRef>
              <c:f>'IKE OBLIGACJE'!$I$22:$I$33</c:f>
              <c:numCache>
                <c:formatCode>#\ ##0.00\ "zł"</c:formatCode>
                <c:ptCount val="12"/>
                <c:pt idx="0">
                  <c:v>102106</c:v>
                </c:pt>
                <c:pt idx="1">
                  <c:v>106034.65792</c:v>
                </c:pt>
                <c:pt idx="2">
                  <c:v>110163.4895104</c:v>
                </c:pt>
                <c:pt idx="3">
                  <c:v>114502.65981571074</c:v>
                </c:pt>
                <c:pt idx="4">
                  <c:v>119062.84852457933</c:v>
                </c:pt>
                <c:pt idx="5">
                  <c:v>123855.2759553639</c:v>
                </c:pt>
                <c:pt idx="6">
                  <c:v>128891.73035058315</c:v>
                </c:pt>
                <c:pt idx="7">
                  <c:v>134184.59654602231</c:v>
                </c:pt>
                <c:pt idx="8">
                  <c:v>139731.52031884252</c:v>
                </c:pt>
                <c:pt idx="9">
                  <c:v>147974.69643275815</c:v>
                </c:pt>
                <c:pt idx="10">
                  <c:v>151345.65725537104</c:v>
                </c:pt>
                <c:pt idx="11">
                  <c:v>157781.60331216571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7110735"/>
        <c:axId val="237111151"/>
      </c:barChart>
      <c:lineChart>
        <c:grouping val="standard"/>
        <c:varyColors val="0"/>
        <c:ser>
          <c:idx val="6"/>
          <c:order val="6"/>
          <c:tx>
            <c:strRef>
              <c:f>'IKE OBLIGACJE'!$J$20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28575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OBLIGACJE'!$J$22:$J$33</c:f>
              <c:numCache>
                <c:formatCode>#\ ##0.00\ "zł"</c:formatCode>
                <c:ptCount val="12"/>
                <c:pt idx="0">
                  <c:v>103497.33896192575</c:v>
                </c:pt>
                <c:pt idx="1">
                  <c:v>107116.99172199753</c:v>
                </c:pt>
                <c:pt idx="2">
                  <c:v>110863.23600833373</c:v>
                </c:pt>
                <c:pt idx="3">
                  <c:v>114740.49915570488</c:v>
                </c:pt>
                <c:pt idx="4">
                  <c:v>118753.36333778543</c:v>
                </c:pt>
                <c:pt idx="5">
                  <c:v>122906.57098239505</c:v>
                </c:pt>
                <c:pt idx="6">
                  <c:v>127205.03037612927</c:v>
                </c:pt>
                <c:pt idx="7">
                  <c:v>131653.82146500313</c:v>
                </c:pt>
                <c:pt idx="8">
                  <c:v>136258.20185796285</c:v>
                </c:pt>
                <c:pt idx="9">
                  <c:v>141023.61304036083</c:v>
                </c:pt>
                <c:pt idx="10">
                  <c:v>145955.68680473676</c:v>
                </c:pt>
                <c:pt idx="11">
                  <c:v>151060.25190650515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26E-4F00-878D-1DC0D3467694}"/>
            </c:ext>
          </c:extLst>
        </c:ser>
        <c:ser>
          <c:idx val="7"/>
          <c:order val="7"/>
          <c:tx>
            <c:strRef>
              <c:f>'IKE OBLIGACJE'!$K$20</c:f>
              <c:strCache>
                <c:ptCount val="1"/>
                <c:pt idx="0">
                  <c:v>Kwota wpłacona powiększona o INFLACJĘ</c:v>
                </c:pt>
              </c:strCache>
            </c:strRef>
          </c:tx>
          <c:spPr>
            <a:ln w="317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'IKE OBLIGACJE'!$K$22:$K$33</c:f>
              <c:numCache>
                <c:formatCode>#\ ##0.00\ "zł"</c:formatCode>
                <c:ptCount val="12"/>
                <c:pt idx="0">
                  <c:v>102800</c:v>
                </c:pt>
                <c:pt idx="1">
                  <c:v>105678.39999999999</c:v>
                </c:pt>
                <c:pt idx="2">
                  <c:v>108637.3952</c:v>
                </c:pt>
                <c:pt idx="3">
                  <c:v>111679.2422656</c:v>
                </c:pt>
                <c:pt idx="4">
                  <c:v>114806.2610490368</c:v>
                </c:pt>
                <c:pt idx="5">
                  <c:v>118020.83635840983</c:v>
                </c:pt>
                <c:pt idx="6">
                  <c:v>121325.41977644531</c:v>
                </c:pt>
                <c:pt idx="7">
                  <c:v>124722.53153018578</c:v>
                </c:pt>
                <c:pt idx="8">
                  <c:v>128214.76241303099</c:v>
                </c:pt>
                <c:pt idx="9">
                  <c:v>131804.77576059586</c:v>
                </c:pt>
                <c:pt idx="10">
                  <c:v>135495.30948189253</c:v>
                </c:pt>
                <c:pt idx="11">
                  <c:v>139289.17814738554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26E-4F00-878D-1DC0D3467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\ &quot;zł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9830549645050486"/>
          <c:w val="0.89034544020232453"/>
          <c:h val="0.201694528353815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pl-PL" sz="1600" b="1"/>
              <a:t>Nominalna skumulowana stopa zwrotu na koniec każdego roku</a:t>
            </a:r>
          </a:p>
          <a:p>
            <a:pPr>
              <a:defRPr sz="1600" b="1"/>
            </a:pPr>
            <a:r>
              <a:rPr lang="pl-PL" sz="1600" b="1"/>
              <a:t>(dla porównania wykres skumulowanej inflacji)</a:t>
            </a:r>
          </a:p>
        </c:rich>
      </c:tx>
      <c:layout>
        <c:manualLayout>
          <c:xMode val="edge"/>
          <c:yMode val="edge"/>
          <c:x val="0.21056815000162246"/>
          <c:y val="7.650274046972381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3962591184115553E-2"/>
          <c:y val="0.22635488876927584"/>
          <c:w val="0.92915889054125445"/>
          <c:h val="0.48191103115269346"/>
        </c:manualLayout>
      </c:layout>
      <c:lineChart>
        <c:grouping val="standard"/>
        <c:varyColors val="0"/>
        <c:ser>
          <c:idx val="0"/>
          <c:order val="0"/>
          <c:tx>
            <c:strRef>
              <c:f>'IKE OBLIGACJE'!$P$20</c:f>
              <c:strCache>
                <c:ptCount val="1"/>
                <c:pt idx="0">
                  <c:v>COI, gdy spełniam warunki IKE</c:v>
                </c:pt>
              </c:strCache>
            </c:strRef>
          </c:tx>
          <c:spPr>
            <a:ln w="38100" cap="rnd">
              <a:solidFill>
                <a:srgbClr val="008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OBLIGACJE'!$P$21:$P$33</c:f>
              <c:numCache>
                <c:formatCode>0.0%</c:formatCode>
                <c:ptCount val="13"/>
                <c:pt idx="0">
                  <c:v>0</c:v>
                </c:pt>
                <c:pt idx="1">
                  <c:v>5.0000000000000044E-2</c:v>
                </c:pt>
                <c:pt idx="2">
                  <c:v>9.3747199999999919E-2</c:v>
                </c:pt>
                <c:pt idx="3">
                  <c:v>0.13943284999999972</c:v>
                </c:pt>
                <c:pt idx="4">
                  <c:v>0.18719858099999964</c:v>
                </c:pt>
                <c:pt idx="5">
                  <c:v>0.24527093549999957</c:v>
                </c:pt>
                <c:pt idx="6">
                  <c:v>0.29835191469999933</c:v>
                </c:pt>
                <c:pt idx="7">
                  <c:v>0.35374797669999936</c:v>
                </c:pt>
                <c:pt idx="8">
                  <c:v>0.41170901269999982</c:v>
                </c:pt>
                <c:pt idx="9">
                  <c:v>0.48032793669999951</c:v>
                </c:pt>
                <c:pt idx="10">
                  <c:v>0.54432330669999929</c:v>
                </c:pt>
                <c:pt idx="11">
                  <c:v>0.61093743569999925</c:v>
                </c:pt>
                <c:pt idx="12">
                  <c:v>0.68046533869999926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43F-BCAA-CEA5797D2AC5}"/>
            </c:ext>
          </c:extLst>
        </c:ser>
        <c:ser>
          <c:idx val="1"/>
          <c:order val="1"/>
          <c:tx>
            <c:strRef>
              <c:f>'IKE OBLIGACJE'!$Q$20</c:f>
              <c:strCache>
                <c:ptCount val="1"/>
                <c:pt idx="0">
                  <c:v>COI,  gdy nie spełniam warunków</c:v>
                </c:pt>
              </c:strCache>
            </c:strRef>
          </c:tx>
          <c:spPr>
            <a:ln w="44450" cap="rnd">
              <a:solidFill>
                <a:srgbClr val="CCCC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FF"/>
              </a:solidFill>
              <a:ln w="9525">
                <a:solidFill>
                  <a:srgbClr val="CCCC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OBLIGACJE'!$Q$21:$Q$33</c:f>
              <c:numCache>
                <c:formatCode>0.0%</c:formatCode>
                <c:ptCount val="13"/>
                <c:pt idx="0">
                  <c:v>0</c:v>
                </c:pt>
                <c:pt idx="1">
                  <c:v>2.4299999999999988E-2</c:v>
                </c:pt>
                <c:pt idx="2">
                  <c:v>5.8592199999999872E-2</c:v>
                </c:pt>
                <c:pt idx="3">
                  <c:v>9.4542849999999845E-2</c:v>
                </c:pt>
                <c:pt idx="4">
                  <c:v>0.14835453099999962</c:v>
                </c:pt>
                <c:pt idx="5">
                  <c:v>0.17805768549999956</c:v>
                </c:pt>
                <c:pt idx="6">
                  <c:v>0.21979955469999934</c:v>
                </c:pt>
                <c:pt idx="7">
                  <c:v>0.26351057669999944</c:v>
                </c:pt>
                <c:pt idx="8">
                  <c:v>0.32617805269999978</c:v>
                </c:pt>
                <c:pt idx="9">
                  <c:v>0.36357469669999953</c:v>
                </c:pt>
                <c:pt idx="10">
                  <c:v>0.41399700669999961</c:v>
                </c:pt>
                <c:pt idx="11">
                  <c:v>0.46659234569999941</c:v>
                </c:pt>
                <c:pt idx="12">
                  <c:v>0.53912750869999937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F-443F-BCAA-CEA5797D2AC5}"/>
            </c:ext>
          </c:extLst>
        </c:ser>
        <c:ser>
          <c:idx val="2"/>
          <c:order val="2"/>
          <c:tx>
            <c:strRef>
              <c:f>'IKE OBLIGACJE'!$R$20</c:f>
              <c:strCache>
                <c:ptCount val="1"/>
                <c:pt idx="0">
                  <c:v>EDO, gdy spełniam warunki IKE</c:v>
                </c:pt>
              </c:strCache>
            </c:strRef>
          </c:tx>
          <c:spPr>
            <a:ln w="38100" cap="rnd">
              <a:solidFill>
                <a:srgbClr val="860D71">
                  <a:alpha val="98000"/>
                </a:srgb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860D71"/>
              </a:solidFill>
              <a:ln w="9525">
                <a:solidFill>
                  <a:srgbClr val="860D71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OBLIGACJE'!$R$21:$R$33</c:f>
              <c:numCache>
                <c:formatCode>0.0%</c:formatCode>
                <c:ptCount val="13"/>
                <c:pt idx="0">
                  <c:v>0</c:v>
                </c:pt>
                <c:pt idx="1">
                  <c:v>5.600000000000005E-2</c:v>
                </c:pt>
                <c:pt idx="2">
                  <c:v>0.10491729920000004</c:v>
                </c:pt>
                <c:pt idx="3">
                  <c:v>0.156298609664</c:v>
                </c:pt>
                <c:pt idx="4">
                  <c:v>0.21026777101598748</c:v>
                </c:pt>
                <c:pt idx="5">
                  <c:v>0.26695483440189949</c:v>
                </c:pt>
                <c:pt idx="6">
                  <c:v>0.32649637346923854</c:v>
                </c:pt>
                <c:pt idx="7">
                  <c:v>0.38903581088937966</c:v>
                </c:pt>
                <c:pt idx="8">
                  <c:v>0.45472376119818159</c:v>
                </c:pt>
                <c:pt idx="9">
                  <c:v>0.52356473312180585</c:v>
                </c:pt>
                <c:pt idx="10">
                  <c:v>0.59571007169776413</c:v>
                </c:pt>
                <c:pt idx="11">
                  <c:v>0.68583491255371043</c:v>
                </c:pt>
                <c:pt idx="12">
                  <c:v>0.76570946304165699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F-443F-BCAA-CEA5797D2AC5}"/>
            </c:ext>
          </c:extLst>
        </c:ser>
        <c:ser>
          <c:idx val="3"/>
          <c:order val="3"/>
          <c:tx>
            <c:strRef>
              <c:f>'IKE OBLIGACJE'!$S$20</c:f>
              <c:strCache>
                <c:ptCount val="1"/>
                <c:pt idx="0">
                  <c:v>EDO, gdy nie spełniam warunków</c:v>
                </c:pt>
              </c:strCache>
            </c:strRef>
          </c:tx>
          <c:spPr>
            <a:ln w="38100" cap="rnd">
              <a:solidFill>
                <a:srgbClr val="CC99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99FF"/>
              </a:solidFill>
              <a:ln w="9525">
                <a:solidFill>
                  <a:srgbClr val="CC99FF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OBLIGACJE'!$S$21:$S$33</c:f>
              <c:numCache>
                <c:formatCode>0.0%</c:formatCode>
                <c:ptCount val="13"/>
                <c:pt idx="0">
                  <c:v>0</c:v>
                </c:pt>
                <c:pt idx="1">
                  <c:v>2.1060000000000079E-2</c:v>
                </c:pt>
                <c:pt idx="2">
                  <c:v>6.0346579199999972E-2</c:v>
                </c:pt>
                <c:pt idx="3">
                  <c:v>0.10163489510400003</c:v>
                </c:pt>
                <c:pt idx="4">
                  <c:v>0.14502659815710728</c:v>
                </c:pt>
                <c:pt idx="5">
                  <c:v>0.19062848524579334</c:v>
                </c:pt>
                <c:pt idx="6">
                  <c:v>0.23855275955363897</c:v>
                </c:pt>
                <c:pt idx="7">
                  <c:v>0.28891730350583145</c:v>
                </c:pt>
                <c:pt idx="8">
                  <c:v>0.34184596546022306</c:v>
                </c:pt>
                <c:pt idx="9">
                  <c:v>0.39731520318842528</c:v>
                </c:pt>
                <c:pt idx="10">
                  <c:v>0.47974696432758157</c:v>
                </c:pt>
                <c:pt idx="11">
                  <c:v>0.51345657255371036</c:v>
                </c:pt>
                <c:pt idx="12">
                  <c:v>0.57781603312165708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F-443F-BCAA-CEA5797D2AC5}"/>
            </c:ext>
          </c:extLst>
        </c:ser>
        <c:ser>
          <c:idx val="4"/>
          <c:order val="4"/>
          <c:tx>
            <c:strRef>
              <c:f>'IKE OBLIGACJE'!$T$20</c:f>
              <c:strCache>
                <c:ptCount val="1"/>
                <c:pt idx="0">
                  <c:v>Konto
oszczędnościowe</c:v>
                </c:pt>
              </c:strCache>
            </c:strRef>
          </c:tx>
          <c:spPr>
            <a:ln w="38100" cap="rnd">
              <a:solidFill>
                <a:srgbClr val="CCCC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CC00"/>
              </a:solidFill>
              <a:ln w="9525">
                <a:noFill/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OBLIGACJE'!$T$21:$T$33</c:f>
              <c:numCache>
                <c:formatCode>0.0%</c:formatCode>
                <c:ptCount val="13"/>
                <c:pt idx="0">
                  <c:v>0</c:v>
                </c:pt>
                <c:pt idx="1">
                  <c:v>3.4973389619257444E-2</c:v>
                </c:pt>
                <c:pt idx="2">
                  <c:v>7.1169917219975343E-2</c:v>
                </c:pt>
                <c:pt idx="3">
                  <c:v>0.10863236008333721</c:v>
                </c:pt>
                <c:pt idx="4">
                  <c:v>0.14740499155704878</c:v>
                </c:pt>
                <c:pt idx="5">
                  <c:v>0.18753363337785434</c:v>
                </c:pt>
                <c:pt idx="6">
                  <c:v>0.22906570982395036</c:v>
                </c:pt>
                <c:pt idx="7">
                  <c:v>0.27205030376129269</c:v>
                </c:pt>
                <c:pt idx="8">
                  <c:v>0.31653821465003129</c:v>
                </c:pt>
                <c:pt idx="9">
                  <c:v>0.36258201857962846</c:v>
                </c:pt>
                <c:pt idx="10">
                  <c:v>0.41023613040360818</c:v>
                </c:pt>
                <c:pt idx="11">
                  <c:v>0.45955686804736762</c:v>
                </c:pt>
                <c:pt idx="12">
                  <c:v>0.51060251906505139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F-443F-BCAA-CEA5797D2AC5}"/>
            </c:ext>
          </c:extLst>
        </c:ser>
        <c:ser>
          <c:idx val="5"/>
          <c:order val="5"/>
          <c:tx>
            <c:strRef>
              <c:f>'IKE OBLIGACJE'!$U$20</c:f>
              <c:strCache>
                <c:ptCount val="1"/>
                <c:pt idx="0">
                  <c:v>Skumulowana INFLACJA</c:v>
                </c:pt>
              </c:strCache>
            </c:strRef>
          </c:tx>
          <c:spPr>
            <a:ln w="3492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numRef>
              <c:f>'IKE OBLIGACJE'!$M$21:$M$33</c:f>
              <c:numCache>
                <c:formatCode>"koniec "General" roku"</c:formatCode>
                <c:ptCount val="13"/>
                <c:pt idx="0" formatCode="General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'IKE OBLIGACJE'!$U$21:$U$33</c:f>
              <c:numCache>
                <c:formatCode>0.0%</c:formatCode>
                <c:ptCount val="13"/>
                <c:pt idx="0">
                  <c:v>0</c:v>
                </c:pt>
                <c:pt idx="1">
                  <c:v>2.8000000000000025E-2</c:v>
                </c:pt>
                <c:pt idx="2">
                  <c:v>5.6783999999999946E-2</c:v>
                </c:pt>
                <c:pt idx="3">
                  <c:v>8.6373951999999976E-2</c:v>
                </c:pt>
                <c:pt idx="4">
                  <c:v>0.11679242265599998</c:v>
                </c:pt>
                <c:pt idx="5">
                  <c:v>0.14806261049036795</c:v>
                </c:pt>
                <c:pt idx="6">
                  <c:v>0.18020836358409831</c:v>
                </c:pt>
                <c:pt idx="7">
                  <c:v>0.21325419776445309</c:v>
                </c:pt>
                <c:pt idx="8">
                  <c:v>0.24722531530185776</c:v>
                </c:pt>
                <c:pt idx="9">
                  <c:v>0.2821476241303098</c:v>
                </c:pt>
                <c:pt idx="10">
                  <c:v>0.3180477576059586</c:v>
                </c:pt>
                <c:pt idx="11">
                  <c:v>0.35495309481892523</c:v>
                </c:pt>
                <c:pt idx="12">
                  <c:v>0.39289178147385528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61F-443F-BCAA-CEA5797D2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110735"/>
        <c:axId val="237111151"/>
      </c:lineChart>
      <c:catAx>
        <c:axId val="23711073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1151"/>
        <c:crosses val="autoZero"/>
        <c:auto val="1"/>
        <c:lblAlgn val="ctr"/>
        <c:lblOffset val="100"/>
        <c:tickMarkSkip val="1"/>
        <c:noMultiLvlLbl val="0"/>
      </c:catAx>
      <c:valAx>
        <c:axId val="23711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371107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526043681945088E-3"/>
          <c:y val="0.79783550415942339"/>
          <c:w val="0.98844251008946937"/>
          <c:h val="0.176891293135125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bligacjeskarbowe.pl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marciniwuc.com/obligacje-indeksowane-inflacja-kalkulator/" TargetMode="External"/><Relationship Id="rId5" Type="http://schemas.openxmlformats.org/officeDocument/2006/relationships/image" Target="../media/image2.emf"/><Relationship Id="rId4" Type="http://schemas.openxmlformats.org/officeDocument/2006/relationships/hyperlink" Target="https://www.obligacjeskarbowe.pl/oferta-obligacji/obligacje-3-miesieczne-ots/ots0123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https://marciniwuc.com/obligacje-indeksowane-inflacja-kalkulator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</xdr:colOff>
      <xdr:row>0</xdr:row>
      <xdr:rowOff>0</xdr:rowOff>
    </xdr:from>
    <xdr:to>
      <xdr:col>0</xdr:col>
      <xdr:colOff>2979737</xdr:colOff>
      <xdr:row>3</xdr:row>
      <xdr:rowOff>107871</xdr:rowOff>
    </xdr:to>
    <xdr:pic>
      <xdr:nvPicPr>
        <xdr:cNvPr id="8" name="Obraz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-2317"/>
        <a:stretch/>
      </xdr:blipFill>
      <xdr:spPr>
        <a:xfrm>
          <a:off x="39687" y="0"/>
          <a:ext cx="2936875" cy="700009"/>
        </a:xfrm>
        <a:prstGeom prst="rect">
          <a:avLst/>
        </a:prstGeom>
      </xdr:spPr>
    </xdr:pic>
    <xdr:clientData/>
  </xdr:twoCellAnchor>
  <xdr:twoCellAnchor>
    <xdr:from>
      <xdr:col>5</xdr:col>
      <xdr:colOff>272143</xdr:colOff>
      <xdr:row>12</xdr:row>
      <xdr:rowOff>106829</xdr:rowOff>
    </xdr:from>
    <xdr:to>
      <xdr:col>5</xdr:col>
      <xdr:colOff>431239</xdr:colOff>
      <xdr:row>23</xdr:row>
      <xdr:rowOff>136072</xdr:rowOff>
    </xdr:to>
    <xdr:sp macro="" textlink="">
      <xdr:nvSpPr>
        <xdr:cNvPr id="6" name="Nawias klamrowy zamykający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313964" y="6447758"/>
          <a:ext cx="159096" cy="239688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35" name="AutoShape 11" descr="Obligacje Skarbowe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4171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12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311150</xdr:colOff>
      <xdr:row>12</xdr:row>
      <xdr:rowOff>0</xdr:rowOff>
    </xdr:from>
    <xdr:to>
      <xdr:col>0</xdr:col>
      <xdr:colOff>619125</xdr:colOff>
      <xdr:row>12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622300</xdr:colOff>
      <xdr:row>12</xdr:row>
      <xdr:rowOff>0</xdr:rowOff>
    </xdr:from>
    <xdr:to>
      <xdr:col>0</xdr:col>
      <xdr:colOff>923925</xdr:colOff>
      <xdr:row>12</xdr:row>
      <xdr:rowOff>304800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607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304800</xdr:colOff>
      <xdr:row>15</xdr:row>
      <xdr:rowOff>104775</xdr:rowOff>
    </xdr:to>
    <xdr:sp macro="" textlink="">
      <xdr:nvSpPr>
        <xdr:cNvPr id="1039" name="AutoShape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0" y="6159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sp macro="" textlink="">
      <xdr:nvSpPr>
        <xdr:cNvPr id="1042" name="Control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2" name="AutoShap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" name="AutoShape 1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4" name="AutoShape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5" name="AutoShap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9" name="AutoShape 1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10" name="AutoShape 1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11" name="AutoShape 1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12" name="AutoShape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13" name="AutoShap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14" name="Auto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15" name="Auto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16" name="AutoShape 1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17" name="AutoShape 1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19" name="AutoShape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22" name="AutoShape 1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23" name="AutoShape 1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25" name="AutoShape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26" name="AutoShape 1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27" name="AutoShape 1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28" name="AutoShape 1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29" name="AutoShape 1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30" name="AutoShape 1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31" name="AutoShape 1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32" name="AutoShape 1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33" name="AutoShape 1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34" name="AutoShape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35" name="AutoShape 13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36" name="AutoShape 1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13</xdr:row>
      <xdr:rowOff>0</xdr:rowOff>
    </xdr:from>
    <xdr:ext cx="304800" cy="304800"/>
    <xdr:sp macro="" textlink="">
      <xdr:nvSpPr>
        <xdr:cNvPr id="37" name="AutoShape 1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13</xdr:row>
      <xdr:rowOff>0</xdr:rowOff>
    </xdr:from>
    <xdr:ext cx="304800" cy="304800"/>
    <xdr:sp macro="" textlink="">
      <xdr:nvSpPr>
        <xdr:cNvPr id="38" name="AutoShape 1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13</xdr:row>
      <xdr:rowOff>0</xdr:rowOff>
    </xdr:from>
    <xdr:ext cx="304800" cy="304800"/>
    <xdr:sp macro="" textlink="">
      <xdr:nvSpPr>
        <xdr:cNvPr id="39" name="AutoShape 14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14</xdr:row>
      <xdr:rowOff>0</xdr:rowOff>
    </xdr:from>
    <xdr:ext cx="304800" cy="304800"/>
    <xdr:sp macro="" textlink="">
      <xdr:nvSpPr>
        <xdr:cNvPr id="40" name="AutoShape 1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14</xdr:row>
      <xdr:rowOff>0</xdr:rowOff>
    </xdr:from>
    <xdr:ext cx="304800" cy="304800"/>
    <xdr:sp macro="" textlink="">
      <xdr:nvSpPr>
        <xdr:cNvPr id="41" name="AutoShape 13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14</xdr:row>
      <xdr:rowOff>0</xdr:rowOff>
    </xdr:from>
    <xdr:ext cx="304800" cy="304800"/>
    <xdr:sp macro="" textlink="">
      <xdr:nvSpPr>
        <xdr:cNvPr id="42" name="AutoShape 1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15</xdr:row>
      <xdr:rowOff>0</xdr:rowOff>
    </xdr:from>
    <xdr:ext cx="304800" cy="304800"/>
    <xdr:sp macro="" textlink="">
      <xdr:nvSpPr>
        <xdr:cNvPr id="43" name="AutoShape 1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15</xdr:row>
      <xdr:rowOff>0</xdr:rowOff>
    </xdr:from>
    <xdr:ext cx="304800" cy="304800"/>
    <xdr:sp macro="" textlink="">
      <xdr:nvSpPr>
        <xdr:cNvPr id="44" name="AutoShape 1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15</xdr:row>
      <xdr:rowOff>0</xdr:rowOff>
    </xdr:from>
    <xdr:ext cx="304800" cy="304800"/>
    <xdr:sp macro="" textlink="">
      <xdr:nvSpPr>
        <xdr:cNvPr id="45" name="AutoShape 1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16</xdr:row>
      <xdr:rowOff>0</xdr:rowOff>
    </xdr:from>
    <xdr:ext cx="304800" cy="304800"/>
    <xdr:sp macro="" textlink="">
      <xdr:nvSpPr>
        <xdr:cNvPr id="46" name="AutoShape 1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16</xdr:row>
      <xdr:rowOff>0</xdr:rowOff>
    </xdr:from>
    <xdr:ext cx="304800" cy="304800"/>
    <xdr:sp macro="" textlink="">
      <xdr:nvSpPr>
        <xdr:cNvPr id="47" name="AutoShape 13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16</xdr:row>
      <xdr:rowOff>0</xdr:rowOff>
    </xdr:from>
    <xdr:ext cx="304800" cy="304800"/>
    <xdr:sp macro="" textlink="">
      <xdr:nvSpPr>
        <xdr:cNvPr id="48" name="AutoShape 1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17</xdr:row>
      <xdr:rowOff>0</xdr:rowOff>
    </xdr:from>
    <xdr:ext cx="304800" cy="304800"/>
    <xdr:sp macro="" textlink="">
      <xdr:nvSpPr>
        <xdr:cNvPr id="49" name="AutoShape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17</xdr:row>
      <xdr:rowOff>0</xdr:rowOff>
    </xdr:from>
    <xdr:ext cx="304800" cy="304800"/>
    <xdr:sp macro="" textlink="">
      <xdr:nvSpPr>
        <xdr:cNvPr id="50" name="AutoShape 1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17</xdr:row>
      <xdr:rowOff>0</xdr:rowOff>
    </xdr:from>
    <xdr:ext cx="304800" cy="304800"/>
    <xdr:sp macro="" textlink="">
      <xdr:nvSpPr>
        <xdr:cNvPr id="51" name="AutoShape 1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18</xdr:row>
      <xdr:rowOff>0</xdr:rowOff>
    </xdr:from>
    <xdr:ext cx="304800" cy="304800"/>
    <xdr:sp macro="" textlink="">
      <xdr:nvSpPr>
        <xdr:cNvPr id="52" name="AutoShape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18</xdr:row>
      <xdr:rowOff>0</xdr:rowOff>
    </xdr:from>
    <xdr:ext cx="304800" cy="304800"/>
    <xdr:sp macro="" textlink="">
      <xdr:nvSpPr>
        <xdr:cNvPr id="53" name="AutoShape 1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18</xdr:row>
      <xdr:rowOff>0</xdr:rowOff>
    </xdr:from>
    <xdr:ext cx="304800" cy="304800"/>
    <xdr:sp macro="" textlink="">
      <xdr:nvSpPr>
        <xdr:cNvPr id="54" name="AutoShape 1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19</xdr:row>
      <xdr:rowOff>0</xdr:rowOff>
    </xdr:from>
    <xdr:ext cx="304800" cy="304800"/>
    <xdr:sp macro="" textlink="">
      <xdr:nvSpPr>
        <xdr:cNvPr id="55" name="AutoShape 1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19</xdr:row>
      <xdr:rowOff>0</xdr:rowOff>
    </xdr:from>
    <xdr:ext cx="304800" cy="304800"/>
    <xdr:sp macro="" textlink="">
      <xdr:nvSpPr>
        <xdr:cNvPr id="56" name="AutoShape 1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19</xdr:row>
      <xdr:rowOff>0</xdr:rowOff>
    </xdr:from>
    <xdr:ext cx="304800" cy="304800"/>
    <xdr:sp macro="" textlink="">
      <xdr:nvSpPr>
        <xdr:cNvPr id="57" name="AutoShape 1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20</xdr:row>
      <xdr:rowOff>0</xdr:rowOff>
    </xdr:from>
    <xdr:ext cx="304800" cy="304800"/>
    <xdr:sp macro="" textlink="">
      <xdr:nvSpPr>
        <xdr:cNvPr id="58" name="AutoShape 1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20</xdr:row>
      <xdr:rowOff>0</xdr:rowOff>
    </xdr:from>
    <xdr:ext cx="304800" cy="304800"/>
    <xdr:sp macro="" textlink="">
      <xdr:nvSpPr>
        <xdr:cNvPr id="59" name="AutoShape 13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20</xdr:row>
      <xdr:rowOff>0</xdr:rowOff>
    </xdr:from>
    <xdr:ext cx="304800" cy="304800"/>
    <xdr:sp macro="" textlink="">
      <xdr:nvSpPr>
        <xdr:cNvPr id="60" name="AutoShape 14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21</xdr:row>
      <xdr:rowOff>0</xdr:rowOff>
    </xdr:from>
    <xdr:ext cx="304800" cy="304800"/>
    <xdr:sp macro="" textlink="">
      <xdr:nvSpPr>
        <xdr:cNvPr id="61" name="AutoShape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21</xdr:row>
      <xdr:rowOff>0</xdr:rowOff>
    </xdr:from>
    <xdr:ext cx="304800" cy="304800"/>
    <xdr:sp macro="" textlink="">
      <xdr:nvSpPr>
        <xdr:cNvPr id="62" name="AutoShape 1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21</xdr:row>
      <xdr:rowOff>0</xdr:rowOff>
    </xdr:from>
    <xdr:ext cx="304800" cy="304800"/>
    <xdr:sp macro="" textlink="">
      <xdr:nvSpPr>
        <xdr:cNvPr id="63" name="AutoShape 1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22</xdr:row>
      <xdr:rowOff>0</xdr:rowOff>
    </xdr:from>
    <xdr:ext cx="304800" cy="304800"/>
    <xdr:sp macro="" textlink="">
      <xdr:nvSpPr>
        <xdr:cNvPr id="1024" name="AutoShape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22</xdr:row>
      <xdr:rowOff>0</xdr:rowOff>
    </xdr:from>
    <xdr:ext cx="304800" cy="304800"/>
    <xdr:sp macro="" textlink="">
      <xdr:nvSpPr>
        <xdr:cNvPr id="1025" name="AutoShape 13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22</xdr:row>
      <xdr:rowOff>0</xdr:rowOff>
    </xdr:from>
    <xdr:ext cx="304800" cy="304800"/>
    <xdr:sp macro="" textlink="">
      <xdr:nvSpPr>
        <xdr:cNvPr id="1026" name="AutoShape 14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23</xdr:row>
      <xdr:rowOff>0</xdr:rowOff>
    </xdr:from>
    <xdr:ext cx="304800" cy="304800"/>
    <xdr:sp macro="" textlink="">
      <xdr:nvSpPr>
        <xdr:cNvPr id="1027" name="AutoShape 1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311150</xdr:colOff>
      <xdr:row>23</xdr:row>
      <xdr:rowOff>0</xdr:rowOff>
    </xdr:from>
    <xdr:ext cx="304800" cy="304800"/>
    <xdr:sp macro="" textlink="">
      <xdr:nvSpPr>
        <xdr:cNvPr id="1028" name="AutoShape 1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31115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622300</xdr:colOff>
      <xdr:row>23</xdr:row>
      <xdr:rowOff>0</xdr:rowOff>
    </xdr:from>
    <xdr:ext cx="304800" cy="304800"/>
    <xdr:sp macro="" textlink="">
      <xdr:nvSpPr>
        <xdr:cNvPr id="1029" name="AutoShape 14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22300" y="5588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0</xdr:colOff>
      <xdr:row>19</xdr:row>
      <xdr:rowOff>101600</xdr:rowOff>
    </xdr:from>
    <xdr:to>
      <xdr:col>0</xdr:col>
      <xdr:colOff>152400</xdr:colOff>
      <xdr:row>20</xdr:row>
      <xdr:rowOff>63500</xdr:rowOff>
    </xdr:to>
    <xdr:pic>
      <xdr:nvPicPr>
        <xdr:cNvPr id="7" name="Control 18">
          <a:extLst>
            <a:ext uri="{FF2B5EF4-FFF2-40B4-BE49-F238E27FC236}">
              <a16:creationId xmlns:a16="http://schemas.microsoft.com/office/drawing/2014/main" id="{E1447DA4-6A96-15BB-3A28-49EFD5AE5FB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1700"/>
          <a:ext cx="152400" cy="1651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20</xdr:row>
      <xdr:rowOff>382361</xdr:rowOff>
    </xdr:from>
    <xdr:to>
      <xdr:col>18</xdr:col>
      <xdr:colOff>190500</xdr:colOff>
      <xdr:row>36</xdr:row>
      <xdr:rowOff>16329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171450</xdr:rowOff>
    </xdr:from>
    <xdr:to>
      <xdr:col>18</xdr:col>
      <xdr:colOff>214312</xdr:colOff>
      <xdr:row>20</xdr:row>
      <xdr:rowOff>38100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0.09688</cdr:x>
      <cdr:y>0.19378</cdr:y>
    </cdr:from>
    <cdr:to>
      <cdr:x>0.49438</cdr:x>
      <cdr:y>0.36224</cdr:y>
    </cdr:to>
    <cdr:pic>
      <cdr:nvPicPr>
        <cdr:cNvPr id="2" name="Obraz 1">
          <a:extLst xmlns:a="http://schemas.openxmlformats.org/drawingml/2006/main">
            <a:ext uri="{FF2B5EF4-FFF2-40B4-BE49-F238E27FC236}">
              <a16:creationId xmlns:a16="http://schemas.microsoft.com/office/drawing/2014/main" id="{60581FD1-B914-ED3F-BC4B-2A78A7B2AF2E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703943" y="799193"/>
          <a:ext cx="2888343" cy="694785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0.09316</cdr:x>
      <cdr:y>0.16719</cdr:y>
    </cdr:from>
    <cdr:to>
      <cdr:x>0.49381</cdr:x>
      <cdr:y>0.30114</cdr:y>
    </cdr:to>
    <cdr:pic>
      <cdr:nvPicPr>
        <cdr:cNvPr id="3" name="Obraz 2">
          <a:extLst xmlns:a="http://schemas.openxmlformats.org/drawingml/2006/main">
            <a:ext uri="{FF2B5EF4-FFF2-40B4-BE49-F238E27FC236}">
              <a16:creationId xmlns:a16="http://schemas.microsoft.com/office/drawing/2014/main" id="{5747F160-BA22-403F-BFEE-F92301E9338D}"/>
            </a:ext>
          </a:extLst>
        </cdr:cNvPr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-2317"/>
        <a:stretch xmlns:a="http://schemas.openxmlformats.org/drawingml/2006/main"/>
      </cdr:blipFill>
      <cdr:spPr>
        <a:xfrm xmlns:a="http://schemas.openxmlformats.org/drawingml/2006/main">
          <a:off x="672376" y="903343"/>
          <a:ext cx="2891751" cy="723720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27215</xdr:colOff>
      <xdr:row>0</xdr:row>
      <xdr:rowOff>10432</xdr:rowOff>
    </xdr:from>
    <xdr:to>
      <xdr:col>10</xdr:col>
      <xdr:colOff>1374323</xdr:colOff>
      <xdr:row>14</xdr:row>
      <xdr:rowOff>394607</xdr:rowOff>
    </xdr:to>
    <xdr:graphicFrame macro="">
      <xdr:nvGraphicFramePr>
        <xdr:cNvPr id="14" name="Wykres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47171</xdr:colOff>
      <xdr:row>0</xdr:row>
      <xdr:rowOff>40821</xdr:rowOff>
    </xdr:from>
    <xdr:to>
      <xdr:col>21</xdr:col>
      <xdr:colOff>0</xdr:colOff>
      <xdr:row>15</xdr:row>
      <xdr:rowOff>530677</xdr:rowOff>
    </xdr:to>
    <xdr:graphicFrame macro="">
      <xdr:nvGraphicFramePr>
        <xdr:cNvPr id="15" name="Wykres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23</xdr:col>
      <xdr:colOff>812799</xdr:colOff>
      <xdr:row>7</xdr:row>
      <xdr:rowOff>50800</xdr:rowOff>
    </xdr:from>
    <xdr:to>
      <xdr:col>30</xdr:col>
      <xdr:colOff>227948</xdr:colOff>
      <xdr:row>12</xdr:row>
      <xdr:rowOff>101600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1361B54-F597-5AE5-C6D1-5480FB78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969199" y="1549400"/>
          <a:ext cx="5968349" cy="2006600"/>
        </a:xfrm>
        <a:prstGeom prst="rect">
          <a:avLst/>
        </a:prstGeom>
      </xdr:spPr>
    </xdr:pic>
    <xdr:clientData/>
  </xdr:twoCellAnchor>
  <xdr:twoCellAnchor editAs="oneCell">
    <xdr:from>
      <xdr:col>60</xdr:col>
      <xdr:colOff>101600</xdr:colOff>
      <xdr:row>8</xdr:row>
      <xdr:rowOff>25400</xdr:rowOff>
    </xdr:from>
    <xdr:to>
      <xdr:col>66</xdr:col>
      <xdr:colOff>471188</xdr:colOff>
      <xdr:row>11</xdr:row>
      <xdr:rowOff>508000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0D366F3-4A0A-5357-ABCB-8271B5B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53600" y="1651000"/>
          <a:ext cx="5957588" cy="1727200"/>
        </a:xfrm>
        <a:prstGeom prst="rect">
          <a:avLst/>
        </a:prstGeom>
      </xdr:spPr>
    </xdr:pic>
    <xdr:clientData/>
  </xdr:twoCellAnchor>
  <xdr:twoCellAnchor editAs="oneCell">
    <xdr:from>
      <xdr:col>96</xdr:col>
      <xdr:colOff>152400</xdr:colOff>
      <xdr:row>7</xdr:row>
      <xdr:rowOff>25400</xdr:rowOff>
    </xdr:from>
    <xdr:to>
      <xdr:col>103</xdr:col>
      <xdr:colOff>131741</xdr:colOff>
      <xdr:row>12</xdr:row>
      <xdr:rowOff>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E7408C7-4EBA-3719-CAB3-5077A04AA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3309400" y="1524000"/>
          <a:ext cx="6151541" cy="1930400"/>
        </a:xfrm>
        <a:prstGeom prst="rect">
          <a:avLst/>
        </a:prstGeom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0.08629</cdr:x>
      <cdr:y>0.07923</cdr:y>
    </cdr:from>
    <cdr:to>
      <cdr:x>0.24582</cdr:x>
      <cdr:y>0.19071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D63FADE9-A7FC-4ECA-A71C-B585E5D15D8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1220960" y="396694"/>
          <a:ext cx="2257025" cy="558173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0.02508</cdr:x>
      <cdr:y>0.03369</cdr:y>
    </cdr:from>
    <cdr:to>
      <cdr:x>0.19546</cdr:x>
      <cdr:y>0.12538</cdr:y>
    </cdr:to>
    <cdr:pic>
      <cdr:nvPicPr>
        <cdr:cNvPr id="2" name="chart">
          <a:hlinkClick xmlns:a="http://schemas.openxmlformats.org/drawingml/2006/main" xmlns:r="http://schemas.openxmlformats.org/officeDocument/2006/relationships" r:id="rId1"/>
          <a:extLst xmlns:a="http://schemas.openxmlformats.org/drawingml/2006/main">
            <a:ext uri="{FF2B5EF4-FFF2-40B4-BE49-F238E27FC236}">
              <a16:creationId xmlns:a16="http://schemas.microsoft.com/office/drawing/2014/main" id="{65CC5221-49E8-46F7-BD34-09927451ADF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321355" y="149910"/>
          <a:ext cx="2182837" cy="407982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bp.pl/polityka-pieniezna/decyzje-rpp/podstawowe-stopy-procentowe-nbp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stat.gov.pl/wykres/1.html" TargetMode="External"/><Relationship Id="rId1" Type="http://schemas.openxmlformats.org/officeDocument/2006/relationships/hyperlink" Target="https://www.obligacjeskarbowe.pl/ike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marciniwuc.com/ranking-lokat-sprawdz-najlepsze-lokaty-bankowe/" TargetMode="External"/><Relationship Id="rId4" Type="http://schemas.openxmlformats.org/officeDocument/2006/relationships/hyperlink" Target="https://www.bankier.pl/mieszkaniowe/stopy-procentowe/wibo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E54FE-0667-491F-8A49-4717D0E36133}">
  <sheetPr codeName="Arkusz1"/>
  <dimension ref="A4:T54"/>
  <sheetViews>
    <sheetView tabSelected="1" topLeftCell="A6" zoomScaleNormal="100" workbookViewId="0">
      <selection activeCell="B11" sqref="B11"/>
    </sheetView>
  </sheetViews>
  <sheetFormatPr baseColWidth="10" defaultColWidth="8.6640625" defaultRowHeight="16"/>
  <cols>
    <col min="1" max="1" width="52" style="78" customWidth="1"/>
    <col min="2" max="2" width="15.5" style="78" customWidth="1"/>
    <col min="3" max="3" width="16.83203125" style="78" customWidth="1"/>
    <col min="4" max="4" width="14.1640625" style="78" customWidth="1"/>
    <col min="5" max="5" width="16.5" style="78" customWidth="1"/>
    <col min="6" max="6" width="10.1640625" style="78" customWidth="1"/>
    <col min="7" max="7" width="16.33203125" style="78" customWidth="1"/>
    <col min="8" max="8" width="12.83203125" style="78" customWidth="1"/>
    <col min="9" max="9" width="12.5" style="78" customWidth="1"/>
    <col min="10" max="10" width="20.5" style="78" customWidth="1"/>
    <col min="11" max="11" width="16.6640625" style="78" customWidth="1"/>
    <col min="12" max="12" width="17.1640625" style="78" customWidth="1"/>
    <col min="13" max="13" width="18.5" style="78" customWidth="1"/>
    <col min="14" max="14" width="24.83203125" style="78" customWidth="1"/>
    <col min="15" max="15" width="16.5" style="78" customWidth="1"/>
    <col min="16" max="16" width="15" style="78" customWidth="1"/>
    <col min="17" max="17" width="16.5" style="78" customWidth="1"/>
    <col min="18" max="18" width="13.33203125" style="78" customWidth="1"/>
    <col min="19" max="19" width="18.5" style="78" customWidth="1"/>
    <col min="20" max="20" width="19.5" style="78" customWidth="1"/>
    <col min="21" max="23" width="8.6640625" style="78"/>
    <col min="24" max="24" width="11.33203125" style="78" customWidth="1"/>
    <col min="25" max="25" width="11.5" style="78" customWidth="1"/>
    <col min="26" max="26" width="8.6640625" style="78" customWidth="1"/>
    <col min="27" max="16384" width="8.6640625" style="78"/>
  </cols>
  <sheetData>
    <row r="4" spans="1:20" ht="21" customHeight="1">
      <c r="R4" s="79"/>
    </row>
    <row r="5" spans="1:20" ht="41.5" customHeight="1">
      <c r="A5" s="121" t="s">
        <v>122</v>
      </c>
      <c r="B5" s="120"/>
      <c r="C5" s="120"/>
      <c r="D5" s="120"/>
      <c r="E5" s="120"/>
      <c r="F5" s="120"/>
    </row>
    <row r="6" spans="1:20" ht="57.75" customHeight="1">
      <c r="A6" s="89" t="s">
        <v>121</v>
      </c>
      <c r="B6" s="119">
        <v>1000</v>
      </c>
      <c r="C6" s="208"/>
      <c r="D6" s="209"/>
      <c r="E6" s="209"/>
    </row>
    <row r="7" spans="1:20" ht="44.25" customHeight="1">
      <c r="A7" s="89" t="s">
        <v>123</v>
      </c>
      <c r="B7" s="88">
        <f>B6*100</f>
        <v>100000</v>
      </c>
      <c r="C7" s="207" t="s">
        <v>53</v>
      </c>
      <c r="D7" s="207"/>
      <c r="E7" s="207"/>
    </row>
    <row r="8" spans="1:20" ht="41.5" customHeight="1">
      <c r="A8" s="91" t="s">
        <v>124</v>
      </c>
      <c r="B8" s="90">
        <v>0.19</v>
      </c>
      <c r="C8" s="206" t="s">
        <v>73</v>
      </c>
      <c r="D8" s="207"/>
      <c r="E8" s="207"/>
      <c r="S8" s="205"/>
      <c r="T8" s="205"/>
    </row>
    <row r="9" spans="1:20" ht="45.75" customHeight="1" thickBot="1">
      <c r="A9" s="117" t="s">
        <v>125</v>
      </c>
      <c r="S9" s="205"/>
      <c r="T9" s="205"/>
    </row>
    <row r="10" spans="1:20" ht="31" customHeight="1" thickBot="1">
      <c r="A10" s="118" t="s">
        <v>84</v>
      </c>
      <c r="C10" s="80"/>
      <c r="D10" s="80"/>
      <c r="H10" s="81"/>
      <c r="S10" s="205"/>
      <c r="T10" s="205"/>
    </row>
    <row r="11" spans="1:20" ht="71.25" customHeight="1" thickBot="1">
      <c r="A11" s="194" t="s">
        <v>129</v>
      </c>
      <c r="B11" s="201" t="s">
        <v>94</v>
      </c>
      <c r="C11" s="202" t="s">
        <v>93</v>
      </c>
      <c r="D11" s="202" t="s">
        <v>92</v>
      </c>
      <c r="E11" s="202" t="s">
        <v>116</v>
      </c>
      <c r="F11" s="210" t="s">
        <v>120</v>
      </c>
      <c r="G11" s="210"/>
      <c r="H11" s="210"/>
      <c r="I11" s="210"/>
      <c r="J11" s="210"/>
      <c r="K11" s="210"/>
      <c r="S11" s="205"/>
      <c r="T11" s="205"/>
    </row>
    <row r="12" spans="1:20" ht="42" customHeight="1">
      <c r="A12" s="193"/>
      <c r="B12" s="203">
        <v>2.8000000000000001E-2</v>
      </c>
      <c r="C12" s="106">
        <v>4.2500000000000003E-2</v>
      </c>
      <c r="D12" s="106">
        <v>4.1300000000000003E-2</v>
      </c>
      <c r="E12" s="204">
        <v>4.2500000000000003E-2</v>
      </c>
      <c r="F12" s="211" t="s">
        <v>126</v>
      </c>
      <c r="G12" s="211"/>
      <c r="H12" s="211"/>
      <c r="I12" s="211"/>
      <c r="J12" s="211"/>
      <c r="K12" s="211"/>
      <c r="S12" s="205"/>
      <c r="T12" s="205"/>
    </row>
    <row r="13" spans="1:20" ht="29.25" customHeight="1">
      <c r="A13" s="187">
        <v>1</v>
      </c>
      <c r="B13" s="185">
        <v>0.1</v>
      </c>
      <c r="C13" s="106">
        <v>6.7500000000000004E-2</v>
      </c>
      <c r="D13" s="200">
        <v>7.3999999999999996E-2</v>
      </c>
      <c r="E13" s="106">
        <v>7.4999999999999997E-2</v>
      </c>
      <c r="S13" s="205"/>
      <c r="T13" s="205"/>
    </row>
    <row r="14" spans="1:20" ht="14.5" customHeight="1">
      <c r="A14" s="187">
        <v>2</v>
      </c>
      <c r="B14" s="185">
        <v>0.17699999999999999</v>
      </c>
      <c r="C14" s="106">
        <v>6.7500000000000004E-2</v>
      </c>
      <c r="D14" s="106">
        <v>7.3999999999999996E-2</v>
      </c>
      <c r="E14" s="106">
        <v>7.4999999999999997E-2</v>
      </c>
      <c r="S14" s="205"/>
      <c r="T14" s="205"/>
    </row>
    <row r="15" spans="1:20" ht="15.75" customHeight="1">
      <c r="A15" s="187">
        <v>3</v>
      </c>
      <c r="B15" s="185">
        <v>0.17699999999999999</v>
      </c>
      <c r="C15" s="106">
        <v>6.7500000000000004E-2</v>
      </c>
      <c r="D15" s="106">
        <v>7.3999999999999996E-2</v>
      </c>
      <c r="E15" s="106">
        <v>7.4999999999999997E-2</v>
      </c>
      <c r="G15" s="210" t="s">
        <v>91</v>
      </c>
      <c r="H15" s="210"/>
      <c r="I15" s="210"/>
      <c r="J15" s="210"/>
      <c r="K15" s="210"/>
      <c r="S15" s="205"/>
      <c r="T15" s="205"/>
    </row>
    <row r="16" spans="1:20">
      <c r="A16" s="187">
        <v>4</v>
      </c>
      <c r="B16" s="185">
        <v>0.17699999999999999</v>
      </c>
      <c r="C16" s="106">
        <v>6.7500000000000004E-2</v>
      </c>
      <c r="D16" s="106">
        <v>7.3999999999999996E-2</v>
      </c>
      <c r="E16" s="106">
        <v>7.4999999999999997E-2</v>
      </c>
      <c r="G16" s="210"/>
      <c r="H16" s="210"/>
      <c r="I16" s="210"/>
      <c r="J16" s="210"/>
      <c r="K16" s="210"/>
      <c r="S16" s="205"/>
      <c r="T16" s="205"/>
    </row>
    <row r="17" spans="1:20">
      <c r="A17" s="187">
        <v>5</v>
      </c>
      <c r="B17" s="185">
        <v>0.17699999999999999</v>
      </c>
      <c r="C17" s="106">
        <v>6.7500000000000004E-2</v>
      </c>
      <c r="D17" s="106">
        <v>7.3999999999999996E-2</v>
      </c>
      <c r="E17" s="106">
        <v>7.4999999999999997E-2</v>
      </c>
      <c r="G17" s="210"/>
      <c r="H17" s="210"/>
      <c r="I17" s="210"/>
      <c r="J17" s="210"/>
      <c r="K17" s="210"/>
      <c r="S17" s="205"/>
      <c r="T17" s="205"/>
    </row>
    <row r="18" spans="1:20" ht="14.5" customHeight="1">
      <c r="A18" s="187">
        <v>6</v>
      </c>
      <c r="B18" s="185">
        <v>0.17699999999999999</v>
      </c>
      <c r="C18" s="106">
        <v>6.7500000000000004E-2</v>
      </c>
      <c r="D18" s="106">
        <v>7.3999999999999996E-2</v>
      </c>
      <c r="E18" s="106">
        <v>7.4999999999999997E-2</v>
      </c>
      <c r="G18" s="210"/>
      <c r="H18" s="210"/>
      <c r="I18" s="210"/>
      <c r="J18" s="210"/>
      <c r="K18" s="210"/>
      <c r="S18" s="205"/>
      <c r="T18" s="205"/>
    </row>
    <row r="19" spans="1:20" ht="18" customHeight="1">
      <c r="A19" s="187">
        <v>7</v>
      </c>
      <c r="B19" s="185">
        <v>0.17699999999999999</v>
      </c>
      <c r="C19" s="106">
        <v>6.7500000000000004E-2</v>
      </c>
      <c r="D19" s="106">
        <v>7.3999999999999996E-2</v>
      </c>
      <c r="E19" s="106">
        <v>7.4999999999999997E-2</v>
      </c>
      <c r="G19" s="210"/>
      <c r="H19" s="210"/>
      <c r="I19" s="210"/>
      <c r="J19" s="210"/>
      <c r="K19" s="210"/>
      <c r="S19" s="205"/>
      <c r="T19" s="205"/>
    </row>
    <row r="20" spans="1:20">
      <c r="A20" s="187">
        <v>8</v>
      </c>
      <c r="B20" s="185">
        <v>0.17699999999999999</v>
      </c>
      <c r="C20" s="106">
        <v>6.7500000000000004E-2</v>
      </c>
      <c r="D20" s="106">
        <v>7.3999999999999996E-2</v>
      </c>
      <c r="E20" s="106">
        <v>7.4999999999999997E-2</v>
      </c>
      <c r="G20" s="210"/>
      <c r="H20" s="210"/>
      <c r="I20" s="210"/>
      <c r="J20" s="210"/>
      <c r="K20" s="210"/>
    </row>
    <row r="21" spans="1:20">
      <c r="A21" s="187">
        <v>9</v>
      </c>
      <c r="B21" s="185">
        <v>0.17699999999999999</v>
      </c>
      <c r="C21" s="106">
        <v>6.7500000000000004E-2</v>
      </c>
      <c r="D21" s="106">
        <v>7.3999999999999996E-2</v>
      </c>
      <c r="E21" s="106">
        <v>7.4999999999999997E-2</v>
      </c>
      <c r="G21" s="210"/>
      <c r="H21" s="210"/>
      <c r="I21" s="210"/>
      <c r="J21" s="210"/>
      <c r="K21" s="210"/>
    </row>
    <row r="22" spans="1:20" ht="15" customHeight="1">
      <c r="A22" s="187">
        <v>10</v>
      </c>
      <c r="B22" s="185">
        <v>0.17699999999999999</v>
      </c>
      <c r="C22" s="106">
        <v>6.7500000000000004E-2</v>
      </c>
      <c r="D22" s="106">
        <v>7.3999999999999996E-2</v>
      </c>
      <c r="E22" s="106">
        <v>7.4999999999999997E-2</v>
      </c>
      <c r="G22" s="210"/>
      <c r="H22" s="210"/>
      <c r="I22" s="210"/>
      <c r="J22" s="210"/>
      <c r="K22" s="210"/>
    </row>
    <row r="23" spans="1:20">
      <c r="A23" s="187">
        <v>11</v>
      </c>
      <c r="B23" s="185">
        <v>0.17699999999999999</v>
      </c>
      <c r="C23" s="106">
        <v>6.7500000000000004E-2</v>
      </c>
      <c r="D23" s="106">
        <v>7.3999999999999996E-2</v>
      </c>
      <c r="E23" s="106">
        <v>7.4999999999999997E-2</v>
      </c>
    </row>
    <row r="24" spans="1:20" ht="17" thickBot="1">
      <c r="A24" s="187">
        <v>12</v>
      </c>
      <c r="B24" s="186">
        <v>0.17699999999999999</v>
      </c>
      <c r="C24" s="107">
        <v>6.7500000000000004E-2</v>
      </c>
      <c r="D24" s="107">
        <v>7.3999999999999996E-2</v>
      </c>
      <c r="E24" s="107">
        <v>7.4999999999999997E-2</v>
      </c>
    </row>
    <row r="28" spans="1:20">
      <c r="A28" s="117" t="s">
        <v>128</v>
      </c>
      <c r="B28" s="87"/>
      <c r="C28" s="87"/>
      <c r="D28" s="87"/>
      <c r="E28" s="87"/>
      <c r="F28" s="87"/>
    </row>
    <row r="29" spans="1:20" ht="102">
      <c r="A29" s="92" t="s">
        <v>95</v>
      </c>
      <c r="B29" s="92" t="s">
        <v>69</v>
      </c>
      <c r="C29" s="92" t="s">
        <v>99</v>
      </c>
      <c r="D29" s="92" t="s">
        <v>83</v>
      </c>
      <c r="E29" s="92" t="s">
        <v>85</v>
      </c>
      <c r="F29" s="93" t="s">
        <v>87</v>
      </c>
      <c r="G29" s="92" t="s">
        <v>70</v>
      </c>
      <c r="H29" s="92" t="s">
        <v>71</v>
      </c>
      <c r="I29" s="92" t="s">
        <v>4</v>
      </c>
      <c r="J29" s="92" t="s">
        <v>72</v>
      </c>
      <c r="K29" s="92" t="s">
        <v>100</v>
      </c>
    </row>
    <row r="30" spans="1:20" ht="34">
      <c r="A30" s="108" t="s">
        <v>89</v>
      </c>
      <c r="B30" s="95">
        <v>12</v>
      </c>
      <c r="C30" s="96">
        <v>4.2500000000000003E-2</v>
      </c>
      <c r="D30" s="95">
        <v>1</v>
      </c>
      <c r="E30" s="97" t="s">
        <v>86</v>
      </c>
      <c r="F30" s="96">
        <v>0</v>
      </c>
      <c r="G30" s="95">
        <v>1</v>
      </c>
      <c r="H30" s="95" t="s">
        <v>5</v>
      </c>
      <c r="I30" s="98">
        <v>99.9</v>
      </c>
      <c r="J30" s="98">
        <v>0.5</v>
      </c>
      <c r="K30" s="95">
        <v>1</v>
      </c>
      <c r="L30" s="82"/>
    </row>
    <row r="31" spans="1:20" ht="34">
      <c r="A31" s="109" t="s">
        <v>96</v>
      </c>
      <c r="B31" s="95">
        <v>24</v>
      </c>
      <c r="C31" s="96">
        <v>4.3999999999999997E-2</v>
      </c>
      <c r="D31" s="95">
        <v>1</v>
      </c>
      <c r="E31" s="97" t="s">
        <v>86</v>
      </c>
      <c r="F31" s="96">
        <v>1.5E-3</v>
      </c>
      <c r="G31" s="95">
        <v>1</v>
      </c>
      <c r="H31" s="95" t="s">
        <v>5</v>
      </c>
      <c r="I31" s="98">
        <v>99.9</v>
      </c>
      <c r="J31" s="98">
        <v>0.7</v>
      </c>
      <c r="K31" s="95">
        <v>1</v>
      </c>
      <c r="L31" s="82"/>
    </row>
    <row r="32" spans="1:20" ht="17">
      <c r="A32" s="110" t="s">
        <v>103</v>
      </c>
      <c r="B32" s="95">
        <v>36</v>
      </c>
      <c r="C32" s="96">
        <v>4.65E-2</v>
      </c>
      <c r="D32" s="95">
        <v>36</v>
      </c>
      <c r="E32" s="97" t="s">
        <v>82</v>
      </c>
      <c r="F32" s="96">
        <v>0</v>
      </c>
      <c r="G32" s="95" t="s">
        <v>5</v>
      </c>
      <c r="H32" s="95">
        <v>12</v>
      </c>
      <c r="I32" s="98">
        <v>99.9</v>
      </c>
      <c r="J32" s="98">
        <v>1</v>
      </c>
      <c r="K32" s="95" t="s">
        <v>101</v>
      </c>
      <c r="L32" s="82"/>
    </row>
    <row r="33" spans="1:12" ht="17">
      <c r="A33" s="111" t="s">
        <v>54</v>
      </c>
      <c r="B33" s="95">
        <v>48</v>
      </c>
      <c r="C33" s="96">
        <v>0.05</v>
      </c>
      <c r="D33" s="95">
        <v>12</v>
      </c>
      <c r="E33" s="97" t="s">
        <v>6</v>
      </c>
      <c r="F33" s="96">
        <v>1.4999999999999999E-2</v>
      </c>
      <c r="G33" s="95">
        <v>12</v>
      </c>
      <c r="H33" s="95" t="s">
        <v>5</v>
      </c>
      <c r="I33" s="98">
        <v>99.9</v>
      </c>
      <c r="J33" s="98">
        <v>2</v>
      </c>
      <c r="K33" s="95">
        <v>12</v>
      </c>
      <c r="L33" s="82"/>
    </row>
    <row r="34" spans="1:12" ht="17">
      <c r="A34" s="112" t="s">
        <v>55</v>
      </c>
      <c r="B34" s="95">
        <v>120</v>
      </c>
      <c r="C34" s="96">
        <v>5.6000000000000001E-2</v>
      </c>
      <c r="D34" s="95">
        <v>12</v>
      </c>
      <c r="E34" s="97" t="s">
        <v>6</v>
      </c>
      <c r="F34" s="96">
        <v>0.02</v>
      </c>
      <c r="G34" s="103" t="s">
        <v>5</v>
      </c>
      <c r="H34" s="95">
        <v>12</v>
      </c>
      <c r="I34" s="98">
        <v>99.9</v>
      </c>
      <c r="J34" s="98">
        <v>3</v>
      </c>
      <c r="K34" s="95" t="s">
        <v>101</v>
      </c>
      <c r="L34" s="82"/>
    </row>
    <row r="35" spans="1:12" ht="17">
      <c r="A35" s="113" t="s">
        <v>56</v>
      </c>
      <c r="B35" s="95">
        <v>72</v>
      </c>
      <c r="C35" s="96">
        <v>5.1999999999999998E-2</v>
      </c>
      <c r="D35" s="95">
        <v>12</v>
      </c>
      <c r="E35" s="97" t="s">
        <v>6</v>
      </c>
      <c r="F35" s="96">
        <v>0.02</v>
      </c>
      <c r="G35" s="103" t="s">
        <v>5</v>
      </c>
      <c r="H35" s="95">
        <v>12</v>
      </c>
      <c r="I35" s="98">
        <v>99.9</v>
      </c>
      <c r="J35" s="98">
        <v>2</v>
      </c>
      <c r="K35" s="95" t="s">
        <v>101</v>
      </c>
      <c r="L35" s="82"/>
    </row>
    <row r="36" spans="1:12" ht="17">
      <c r="A36" s="114" t="s">
        <v>57</v>
      </c>
      <c r="B36" s="95">
        <v>144</v>
      </c>
      <c r="C36" s="96">
        <v>5.8500000000000003E-2</v>
      </c>
      <c r="D36" s="95">
        <v>12</v>
      </c>
      <c r="E36" s="97" t="s">
        <v>6</v>
      </c>
      <c r="F36" s="96">
        <v>2.5000000000000001E-2</v>
      </c>
      <c r="G36" s="103" t="s">
        <v>5</v>
      </c>
      <c r="H36" s="95">
        <v>12</v>
      </c>
      <c r="I36" s="95" t="s">
        <v>5</v>
      </c>
      <c r="J36" s="98">
        <v>3</v>
      </c>
      <c r="K36" s="95" t="s">
        <v>101</v>
      </c>
      <c r="L36" s="82"/>
    </row>
    <row r="40" spans="1:12">
      <c r="A40" s="117" t="s">
        <v>127</v>
      </c>
    </row>
    <row r="41" spans="1:12" ht="17" thickBot="1"/>
    <row r="42" spans="1:12" ht="51">
      <c r="A42" s="83" t="s">
        <v>26</v>
      </c>
      <c r="B42" s="84" t="s">
        <v>27</v>
      </c>
      <c r="C42" s="82" t="s">
        <v>90</v>
      </c>
    </row>
    <row r="43" spans="1:12">
      <c r="A43" s="115">
        <v>1</v>
      </c>
      <c r="B43" s="85">
        <v>0</v>
      </c>
    </row>
    <row r="44" spans="1:12">
      <c r="A44" s="115">
        <v>2</v>
      </c>
      <c r="B44" s="85">
        <v>1.6000000000000001E-3</v>
      </c>
    </row>
    <row r="45" spans="1:12">
      <c r="A45" s="115">
        <v>3</v>
      </c>
      <c r="B45" s="85">
        <v>1.5E-3</v>
      </c>
    </row>
    <row r="46" spans="1:12">
      <c r="A46" s="115">
        <v>4</v>
      </c>
      <c r="B46" s="85">
        <v>1.4E-3</v>
      </c>
    </row>
    <row r="47" spans="1:12">
      <c r="A47" s="115">
        <v>5</v>
      </c>
      <c r="B47" s="85">
        <v>1.2999999999999999E-3</v>
      </c>
    </row>
    <row r="48" spans="1:12">
      <c r="A48" s="115">
        <v>6</v>
      </c>
      <c r="B48" s="85">
        <v>1.1999999999999999E-3</v>
      </c>
    </row>
    <row r="49" spans="1:2">
      <c r="A49" s="115">
        <v>7</v>
      </c>
      <c r="B49" s="85">
        <v>1.1000000000000001E-3</v>
      </c>
    </row>
    <row r="50" spans="1:2">
      <c r="A50" s="115">
        <v>8</v>
      </c>
      <c r="B50" s="85">
        <v>1E-3</v>
      </c>
    </row>
    <row r="51" spans="1:2">
      <c r="A51" s="115">
        <v>9</v>
      </c>
      <c r="B51" s="85">
        <v>1E-3</v>
      </c>
    </row>
    <row r="52" spans="1:2">
      <c r="A52" s="115">
        <v>10</v>
      </c>
      <c r="B52" s="85">
        <v>1E-3</v>
      </c>
    </row>
    <row r="53" spans="1:2">
      <c r="A53" s="115">
        <v>11</v>
      </c>
      <c r="B53" s="85">
        <v>1E-3</v>
      </c>
    </row>
    <row r="54" spans="1:2" ht="17" thickBot="1">
      <c r="A54" s="116">
        <v>12</v>
      </c>
      <c r="B54" s="86">
        <v>1E-3</v>
      </c>
    </row>
  </sheetData>
  <mergeCells count="8">
    <mergeCell ref="S8:T14"/>
    <mergeCell ref="S15:T19"/>
    <mergeCell ref="C8:E8"/>
    <mergeCell ref="C6:E6"/>
    <mergeCell ref="C7:E7"/>
    <mergeCell ref="F11:K11"/>
    <mergeCell ref="F12:K12"/>
    <mergeCell ref="G15:K22"/>
  </mergeCells>
  <conditionalFormatting sqref="B12:E12">
    <cfRule type="expression" dxfId="3" priority="2">
      <formula>trigger_inflacja="chcę taki sam w kazdym roku"</formula>
    </cfRule>
    <cfRule type="expression" dxfId="2" priority="10">
      <formula>trigger_inflacja&lt;&gt;"chcę taki sam w kazdym roku"</formula>
    </cfRule>
  </conditionalFormatting>
  <conditionalFormatting sqref="B13:E24">
    <cfRule type="expression" dxfId="1" priority="1">
      <formula>trigger_inflacja="chcę taki sam w kazdym roku"</formula>
    </cfRule>
    <cfRule type="expression" dxfId="0" priority="3">
      <formula>trigger_inflacja&lt;&gt;"chcę taki sam w kazdym roku"</formula>
    </cfRule>
  </conditionalFormatting>
  <dataValidations count="2">
    <dataValidation type="custom" showInputMessage="1" showErrorMessage="1" sqref="B7" xr:uid="{7DC0B0B7-4F43-453F-A95F-34DFC08C1678}">
      <formula1>B6*100</formula1>
    </dataValidation>
    <dataValidation type="list" allowBlank="1" showInputMessage="1" showErrorMessage="1" sqref="A11" xr:uid="{3E5BF3D7-A784-40E9-AA08-FE76BE348A4B}">
      <formula1>"chcę taki sam w kazdym roku,chcę sam ustawić każdy rok"</formula1>
    </dataValidation>
  </dataValidations>
  <hyperlinks>
    <hyperlink ref="C42" r:id="rId1" xr:uid="{11ECAA2E-BD04-44B5-ADBB-3D3ADDD76D17}"/>
    <hyperlink ref="B11" r:id="rId2" xr:uid="{98BB9E4F-67E0-874E-A5B7-210A4F9156BE}"/>
    <hyperlink ref="C11" r:id="rId3" xr:uid="{C7B2D472-96BD-7440-80E8-3EBAF813BE67}"/>
    <hyperlink ref="D11" r:id="rId4" xr:uid="{0138A047-6187-464A-83E9-1FF5697023C4}"/>
    <hyperlink ref="E11" r:id="rId5" xr:uid="{2BAC6DB1-008B-1E4C-802B-6D4AFF2F9CA3}"/>
  </hyperlinks>
  <pageMargins left="0.7" right="0.7" top="0.75" bottom="0.75" header="0.3" footer="0.3"/>
  <pageSetup paperSize="9" orientation="portrait" verticalDpi="30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4244B-5AE9-4853-B561-1FE5AE6EF191}">
  <dimension ref="A1:EJ188"/>
  <sheetViews>
    <sheetView zoomScale="130" zoomScaleNormal="130" workbookViewId="0">
      <selection activeCell="J5" sqref="J5"/>
    </sheetView>
  </sheetViews>
  <sheetFormatPr baseColWidth="10" defaultColWidth="8.6640625" defaultRowHeight="15"/>
  <cols>
    <col min="1" max="1" width="2.5" style="19" customWidth="1"/>
    <col min="2" max="2" width="28.83203125" style="19" customWidth="1"/>
    <col min="3" max="11" width="15.1640625" style="19" customWidth="1"/>
    <col min="12" max="12" width="3" style="19" customWidth="1"/>
    <col min="13" max="13" width="4.33203125" style="19" hidden="1" customWidth="1"/>
    <col min="14" max="25" width="20.33203125" style="19" customWidth="1"/>
    <col min="26" max="26" width="8.6640625" style="19"/>
    <col min="27" max="27" width="8.33203125" style="19" bestFit="1" customWidth="1"/>
    <col min="28" max="28" width="14.5" style="19" bestFit="1" customWidth="1"/>
    <col min="29" max="29" width="22.5" style="19" customWidth="1"/>
    <col min="30" max="30" width="15.33203125" style="19" bestFit="1" customWidth="1"/>
    <col min="31" max="31" width="10.1640625" style="19" bestFit="1" customWidth="1"/>
    <col min="32" max="33" width="13.5" style="19" bestFit="1" customWidth="1"/>
    <col min="34" max="34" width="13.83203125" style="19" bestFit="1" customWidth="1"/>
    <col min="35" max="36" width="13.5" style="19" bestFit="1" customWidth="1"/>
    <col min="37" max="37" width="14.33203125" style="19" bestFit="1" customWidth="1"/>
    <col min="38" max="38" width="12.1640625" style="19" bestFit="1" customWidth="1"/>
    <col min="39" max="39" width="13.5" style="19" bestFit="1" customWidth="1"/>
    <col min="40" max="40" width="11.5" style="19" bestFit="1" customWidth="1"/>
    <col min="41" max="41" width="17.6640625" style="19" bestFit="1" customWidth="1"/>
    <col min="42" max="43" width="13.5" style="19" bestFit="1" customWidth="1"/>
    <col min="44" max="44" width="3.83203125" style="19" customWidth="1"/>
    <col min="45" max="45" width="16.1640625" style="19" customWidth="1"/>
    <col min="46" max="46" width="15.33203125" style="19" bestFit="1" customWidth="1"/>
    <col min="47" max="47" width="10.1640625" style="19" bestFit="1" customWidth="1"/>
    <col min="48" max="49" width="13.5" style="19" bestFit="1" customWidth="1"/>
    <col min="50" max="50" width="13.83203125" style="19" bestFit="1" customWidth="1"/>
    <col min="51" max="52" width="13.5" style="19" bestFit="1" customWidth="1"/>
    <col min="53" max="53" width="14.33203125" style="19" bestFit="1" customWidth="1"/>
    <col min="54" max="54" width="12.1640625" style="19" bestFit="1" customWidth="1"/>
    <col min="55" max="55" width="13.5" style="19" bestFit="1" customWidth="1"/>
    <col min="56" max="56" width="11.5" style="19" bestFit="1" customWidth="1"/>
    <col min="57" max="57" width="17.6640625" style="19" bestFit="1" customWidth="1"/>
    <col min="58" max="58" width="12.1640625" style="19" bestFit="1" customWidth="1"/>
    <col min="59" max="59" width="13.5" style="19" bestFit="1" customWidth="1"/>
    <col min="60" max="60" width="3.83203125" style="19" customWidth="1"/>
    <col min="61" max="61" width="22.5" style="19" customWidth="1"/>
    <col min="62" max="62" width="15.33203125" style="19" bestFit="1" customWidth="1"/>
    <col min="63" max="63" width="10.1640625" style="19" bestFit="1" customWidth="1"/>
    <col min="64" max="65" width="13.5" style="19" bestFit="1" customWidth="1"/>
    <col min="66" max="66" width="13.83203125" style="19" bestFit="1" customWidth="1"/>
    <col min="67" max="68" width="13.5" style="19" bestFit="1" customWidth="1"/>
    <col min="69" max="69" width="14.33203125" style="19" bestFit="1" customWidth="1"/>
    <col min="70" max="70" width="12.1640625" style="19" bestFit="1" customWidth="1"/>
    <col min="71" max="71" width="13.5" style="19" bestFit="1" customWidth="1"/>
    <col min="72" max="72" width="11.5" style="19" bestFit="1" customWidth="1"/>
    <col min="73" max="73" width="17.6640625" style="19" bestFit="1" customWidth="1"/>
    <col min="74" max="74" width="12.1640625" style="19" bestFit="1" customWidth="1"/>
    <col min="75" max="75" width="13.5" style="19" bestFit="1" customWidth="1"/>
    <col min="76" max="76" width="3.83203125" style="19" customWidth="1"/>
    <col min="77" max="77" width="15.5" style="19" bestFit="1" customWidth="1"/>
    <col min="78" max="78" width="8.83203125" style="19" bestFit="1" customWidth="1"/>
    <col min="79" max="83" width="13.5" style="19" bestFit="1" customWidth="1"/>
    <col min="84" max="84" width="12.6640625" style="19" bestFit="1" customWidth="1"/>
    <col min="85" max="85" width="12.83203125" style="19" bestFit="1" customWidth="1"/>
    <col min="86" max="86" width="13.5" style="19" bestFit="1" customWidth="1"/>
    <col min="87" max="88" width="18" style="19" customWidth="1"/>
    <col min="89" max="89" width="13.5" style="19" bestFit="1" customWidth="1"/>
    <col min="90" max="90" width="14.83203125" style="19" bestFit="1" customWidth="1"/>
    <col min="91" max="91" width="3.83203125" style="19" customWidth="1"/>
    <col min="92" max="92" width="21.5" style="19" customWidth="1"/>
    <col min="93" max="95" width="13.5" style="19" bestFit="1" customWidth="1"/>
    <col min="96" max="96" width="10.1640625" style="19" bestFit="1" customWidth="1"/>
    <col min="97" max="97" width="13.5" style="19" bestFit="1" customWidth="1"/>
    <col min="98" max="98" width="14.33203125" style="19" bestFit="1" customWidth="1"/>
    <col min="99" max="99" width="12.1640625" style="19" bestFit="1" customWidth="1"/>
    <col min="100" max="100" width="13.5" style="19" bestFit="1" customWidth="1"/>
    <col min="101" max="101" width="9.33203125" style="19" bestFit="1" customWidth="1"/>
    <col min="102" max="102" width="9.5" style="19" customWidth="1"/>
    <col min="103" max="103" width="9.5" style="19" bestFit="1" customWidth="1"/>
    <col min="104" max="104" width="14.83203125" style="19" bestFit="1" customWidth="1"/>
    <col min="105" max="105" width="3.1640625" style="19" customWidth="1"/>
    <col min="106" max="106" width="9.1640625" style="19" bestFit="1" customWidth="1"/>
    <col min="107" max="109" width="12.5" style="19" bestFit="1" customWidth="1"/>
    <col min="110" max="110" width="10.83203125" style="19" bestFit="1" customWidth="1"/>
    <col min="111" max="111" width="12.5" style="19" bestFit="1" customWidth="1"/>
    <col min="112" max="112" width="12.6640625" style="19" bestFit="1" customWidth="1"/>
    <col min="113" max="113" width="12.83203125" style="19" bestFit="1" customWidth="1"/>
    <col min="114" max="114" width="12.5" style="19" bestFit="1" customWidth="1"/>
    <col min="115" max="115" width="9.5" style="19" bestFit="1" customWidth="1"/>
    <col min="116" max="116" width="9.5" style="19" customWidth="1"/>
    <col min="117" max="117" width="9.5" style="19" bestFit="1" customWidth="1"/>
    <col min="118" max="118" width="14.83203125" style="19" bestFit="1" customWidth="1"/>
    <col min="119" max="119" width="3.5" style="19" customWidth="1"/>
    <col min="120" max="120" width="9.1640625" style="19" bestFit="1" customWidth="1"/>
    <col min="121" max="123" width="12.5" style="19" bestFit="1" customWidth="1"/>
    <col min="124" max="124" width="12.33203125" style="19" bestFit="1" customWidth="1"/>
    <col min="125" max="125" width="12.83203125" style="19" bestFit="1" customWidth="1"/>
    <col min="126" max="126" width="12.6640625" style="19" bestFit="1" customWidth="1"/>
    <col min="127" max="127" width="12.33203125" style="19" bestFit="1" customWidth="1"/>
    <col min="128" max="128" width="12.6640625" style="19" customWidth="1"/>
    <col min="129" max="129" width="9.5" style="19" bestFit="1" customWidth="1"/>
    <col min="130" max="130" width="9.5" style="19" customWidth="1"/>
    <col min="131" max="131" width="14.83203125" style="19" bestFit="1" customWidth="1"/>
    <col min="132" max="132" width="13.1640625" style="19" customWidth="1"/>
    <col min="133" max="133" width="9.83203125" style="19" bestFit="1" customWidth="1"/>
    <col min="134" max="134" width="11.1640625" style="19" bestFit="1" customWidth="1"/>
    <col min="135" max="140" width="15.1640625" style="19" customWidth="1"/>
    <col min="141" max="16384" width="8.6640625" style="19"/>
  </cols>
  <sheetData>
    <row r="1" spans="1:11" ht="14.25" customHeight="1" thickBot="1">
      <c r="A1" s="154"/>
    </row>
    <row r="2" spans="1:11" ht="30" customHeight="1" thickBot="1">
      <c r="A2" s="154"/>
      <c r="B2" s="218" t="s">
        <v>113</v>
      </c>
      <c r="C2" s="219"/>
      <c r="D2" s="219"/>
      <c r="E2" s="219"/>
      <c r="F2" s="219"/>
      <c r="G2" s="219"/>
      <c r="H2" s="219"/>
      <c r="I2" s="219"/>
      <c r="J2" s="219"/>
      <c r="K2" s="220"/>
    </row>
    <row r="3" spans="1:11" ht="64.5" customHeight="1">
      <c r="B3" s="198" t="s">
        <v>130</v>
      </c>
      <c r="C3" s="157" t="s">
        <v>89</v>
      </c>
      <c r="D3" s="158" t="s">
        <v>96</v>
      </c>
      <c r="E3" s="159" t="s">
        <v>103</v>
      </c>
      <c r="F3" s="160" t="s">
        <v>54</v>
      </c>
      <c r="G3" s="161" t="s">
        <v>55</v>
      </c>
      <c r="H3" s="162" t="s">
        <v>56</v>
      </c>
      <c r="I3" s="163" t="s">
        <v>57</v>
      </c>
      <c r="J3" s="164" t="s">
        <v>116</v>
      </c>
      <c r="K3" s="189" t="s">
        <v>111</v>
      </c>
    </row>
    <row r="4" spans="1:11" ht="31.5" customHeight="1" thickBot="1">
      <c r="B4" s="190">
        <v>50</v>
      </c>
      <c r="C4" s="191">
        <f>INDEX(wyniki_ROR_obl,MATCH(zakup_domyslny_mc,wyniki_mc,0))</f>
        <v>116961.71617872981</v>
      </c>
      <c r="D4" s="191">
        <f>INDEX(wyniki_DOR_obl,MATCH(zakup_domyslny_mc,wyniki_mc,0))</f>
        <v>116249.65278828863</v>
      </c>
      <c r="E4" s="191">
        <f>INDEX(wyniki_TOS_obl,MATCH(zakup_domyslny_mc,wyniki_mc,0))</f>
        <v>115990.25085504305</v>
      </c>
      <c r="F4" s="191">
        <f>INDEX(wyniki_COI_obl,MATCH(zakup_domyslny_mc,wyniki_mc,0))</f>
        <v>115412.22805376704</v>
      </c>
      <c r="G4" s="191">
        <f>INDEX(wyniki_EDO_obl,MATCH(zakup_domyslny_mc,wyniki_mc,0))</f>
        <v>115811.49937674652</v>
      </c>
      <c r="H4" s="191">
        <f>INDEX(wyniki_ROS_obl,MATCH(zakup_domyslny_mc,wyniki_mc,0))</f>
        <v>116245.58460638004</v>
      </c>
      <c r="I4" s="191">
        <f>INDEX(wyniki_ROD_obl,MATCH(zakup_domyslny_mc,wyniki_mc,0))</f>
        <v>117560.47580174758</v>
      </c>
      <c r="J4" s="191">
        <f>INDEX(J44:J188,MATCH(zakup_domyslny_mc,B44:B188,0))</f>
        <v>115399.76705254448</v>
      </c>
      <c r="K4" s="192">
        <f>INDEX(wyniki_skumulowana_inflacja,MATCH(zakup_domyslny_mc,wyniki_mc,0))</f>
        <v>112200.41206283946</v>
      </c>
    </row>
    <row r="5" spans="1:11" ht="31.5" customHeight="1" thickBot="1"/>
    <row r="6" spans="1:11" ht="26.25" customHeight="1">
      <c r="B6" s="215" t="s">
        <v>110</v>
      </c>
      <c r="C6" s="216"/>
      <c r="D6" s="216"/>
      <c r="E6" s="216"/>
      <c r="F6" s="216"/>
      <c r="G6" s="216"/>
      <c r="H6" s="216"/>
      <c r="I6" s="216"/>
      <c r="J6" s="216"/>
      <c r="K6" s="217"/>
    </row>
    <row r="7" spans="1:11" ht="51">
      <c r="B7" s="165" t="s">
        <v>109</v>
      </c>
      <c r="C7" s="94" t="s">
        <v>89</v>
      </c>
      <c r="D7" s="99" t="s">
        <v>96</v>
      </c>
      <c r="E7" s="100" t="s">
        <v>103</v>
      </c>
      <c r="F7" s="101" t="s">
        <v>54</v>
      </c>
      <c r="G7" s="102" t="s">
        <v>55</v>
      </c>
      <c r="H7" s="104" t="s">
        <v>56</v>
      </c>
      <c r="I7" s="105" t="s">
        <v>57</v>
      </c>
      <c r="J7" s="148" t="s">
        <v>116</v>
      </c>
      <c r="K7" s="166" t="s">
        <v>111</v>
      </c>
    </row>
    <row r="8" spans="1:11">
      <c r="B8" s="167" t="s">
        <v>112</v>
      </c>
      <c r="C8" s="152">
        <f t="shared" ref="C8:E8" si="0">zakup_domyslny_wartosc</f>
        <v>100000</v>
      </c>
      <c r="D8" s="152">
        <f t="shared" si="0"/>
        <v>100000</v>
      </c>
      <c r="E8" s="152">
        <f t="shared" si="0"/>
        <v>100000</v>
      </c>
      <c r="F8" s="152">
        <f t="shared" ref="F8:K8" si="1">zakup_domyslny_wartosc</f>
        <v>100000</v>
      </c>
      <c r="G8" s="152">
        <f t="shared" si="1"/>
        <v>100000</v>
      </c>
      <c r="H8" s="152">
        <f t="shared" si="1"/>
        <v>100000</v>
      </c>
      <c r="I8" s="152">
        <f t="shared" si="1"/>
        <v>100000</v>
      </c>
      <c r="J8" s="152">
        <f t="shared" si="1"/>
        <v>100000</v>
      </c>
      <c r="K8" s="168">
        <f t="shared" si="1"/>
        <v>100000</v>
      </c>
    </row>
    <row r="9" spans="1:11">
      <c r="B9" s="169">
        <v>1</v>
      </c>
      <c r="C9" s="152">
        <f t="shared" ref="C9:C20" si="2">INDEX(wyniki_ROR_obl,MATCH(B9*12,wyniki_mc,0))</f>
        <v>103497.33896192585</v>
      </c>
      <c r="D9" s="152">
        <f t="shared" ref="D9:D20" si="3">INDEX(wyniki_DOR_obl,MATCH(B9*12,wyniki_mc,0))</f>
        <v>103053.7744546997</v>
      </c>
      <c r="E9" s="152">
        <f t="shared" ref="E9:E20" si="4">INDEX(wyniki_TOS_obl,MATCH(B9*12,wyniki_mc,0))</f>
        <v>102956.5</v>
      </c>
      <c r="F9" s="152">
        <f t="shared" ref="F9:F20" si="5">INDEX(wyniki_COI_obl,MATCH(B9*12,wyniki_mc,0))</f>
        <v>102430</v>
      </c>
      <c r="G9" s="152">
        <f t="shared" ref="G9:G20" si="6">INDEX(wyniki_EDO_obl,MATCH(B9*12,wyniki_mc,0))</f>
        <v>102106</v>
      </c>
      <c r="H9" s="152">
        <f t="shared" ref="H9:H20" si="7">INDEX(wyniki_ROS_obl,MATCH(B9*12,wyniki_mc,0))</f>
        <v>102592</v>
      </c>
      <c r="I9" s="152">
        <f t="shared" ref="I9:I20" si="8">INDEX(wyniki_ROD_obl,MATCH(B9*12,wyniki_mc,0))</f>
        <v>102308.5</v>
      </c>
      <c r="J9" s="152">
        <f t="shared" ref="J9:J20" si="9">FV(INDEX(scenariusz_I_konto,MATCH(B9,scenariusz_I_rok,0))/12*(1-podatek_Belki),12,0,-J8,1)</f>
        <v>103497.33896192575</v>
      </c>
      <c r="K9" s="168">
        <f t="shared" ref="K9:K20" si="10">INDEX(wyniki_skumulowana_inflacja,MATCH(B9*12,wyniki_mc,0))</f>
        <v>102800</v>
      </c>
    </row>
    <row r="10" spans="1:11">
      <c r="B10" s="169">
        <v>2</v>
      </c>
      <c r="C10" s="152">
        <f t="shared" si="2"/>
        <v>107531.39506720137</v>
      </c>
      <c r="D10" s="152">
        <f t="shared" si="3"/>
        <v>107368.17966512706</v>
      </c>
      <c r="E10" s="152">
        <f t="shared" si="4"/>
        <v>106898.14224999999</v>
      </c>
      <c r="F10" s="152">
        <f t="shared" si="5"/>
        <v>106054.64222795799</v>
      </c>
      <c r="G10" s="152">
        <f t="shared" si="6"/>
        <v>106211.728</v>
      </c>
      <c r="H10" s="152">
        <f t="shared" si="7"/>
        <v>106682.17600000001</v>
      </c>
      <c r="I10" s="152">
        <f t="shared" si="8"/>
        <v>106852.64049999999</v>
      </c>
      <c r="J10" s="152">
        <f t="shared" si="9"/>
        <v>107116.99172199753</v>
      </c>
      <c r="K10" s="168">
        <f t="shared" si="10"/>
        <v>105678.39999999999</v>
      </c>
    </row>
    <row r="11" spans="1:11">
      <c r="B11" s="169">
        <v>3</v>
      </c>
      <c r="C11" s="152">
        <f t="shared" si="2"/>
        <v>111813.96602623514</v>
      </c>
      <c r="D11" s="152">
        <f t="shared" si="3"/>
        <v>111059.89321618712</v>
      </c>
      <c r="E11" s="152">
        <f t="shared" si="4"/>
        <v>111833.070864625</v>
      </c>
      <c r="F11" s="152">
        <f t="shared" si="5"/>
        <v>109806.05048078475</v>
      </c>
      <c r="G11" s="152">
        <f t="shared" si="6"/>
        <v>110514.530944</v>
      </c>
      <c r="H11" s="152">
        <f t="shared" si="7"/>
        <v>110968.68044800001</v>
      </c>
      <c r="I11" s="152">
        <f t="shared" si="8"/>
        <v>111637.62044649998</v>
      </c>
      <c r="J11" s="152">
        <f t="shared" si="9"/>
        <v>110863.23600833373</v>
      </c>
      <c r="K11" s="168">
        <f t="shared" si="10"/>
        <v>108637.3952</v>
      </c>
    </row>
    <row r="12" spans="1:11">
      <c r="B12" s="169">
        <v>4</v>
      </c>
      <c r="C12" s="152">
        <f t="shared" si="2"/>
        <v>116250.65989622776</v>
      </c>
      <c r="D12" s="152">
        <f t="shared" si="3"/>
        <v>115708.98997355904</v>
      </c>
      <c r="E12" s="152">
        <f t="shared" si="4"/>
        <v>115254.86714819503</v>
      </c>
      <c r="F12" s="152">
        <f t="shared" si="5"/>
        <v>115308.65819605853</v>
      </c>
      <c r="G12" s="152">
        <f t="shared" si="6"/>
        <v>115023.86842931202</v>
      </c>
      <c r="H12" s="152">
        <f t="shared" si="7"/>
        <v>115460.93710950401</v>
      </c>
      <c r="I12" s="152">
        <f t="shared" si="8"/>
        <v>116676.20433016447</v>
      </c>
      <c r="J12" s="152">
        <f t="shared" si="9"/>
        <v>114740.49915570488</v>
      </c>
      <c r="K12" s="168">
        <f t="shared" si="10"/>
        <v>111679.2422656</v>
      </c>
    </row>
    <row r="13" spans="1:11">
      <c r="B13" s="169">
        <v>5</v>
      </c>
      <c r="C13" s="152">
        <f t="shared" si="2"/>
        <v>120847.07387247129</v>
      </c>
      <c r="D13" s="152">
        <f t="shared" si="3"/>
        <v>119766.27708156286</v>
      </c>
      <c r="E13" s="152">
        <f t="shared" si="4"/>
        <v>119667.19261508765</v>
      </c>
      <c r="F13" s="152">
        <f t="shared" si="5"/>
        <v>118216.80340938635</v>
      </c>
      <c r="G13" s="152">
        <f t="shared" si="6"/>
        <v>119749.65411391899</v>
      </c>
      <c r="H13" s="152">
        <f t="shared" si="7"/>
        <v>120168.82209076021</v>
      </c>
      <c r="I13" s="152">
        <f t="shared" si="8"/>
        <v>121981.83315966319</v>
      </c>
      <c r="J13" s="152">
        <f t="shared" si="9"/>
        <v>118753.36333778543</v>
      </c>
      <c r="K13" s="168">
        <f t="shared" si="10"/>
        <v>114806.2610490368</v>
      </c>
    </row>
    <row r="14" spans="1:11">
      <c r="B14" s="169">
        <v>6</v>
      </c>
      <c r="C14" s="152">
        <f t="shared" si="2"/>
        <v>125608.79390847172</v>
      </c>
      <c r="D14" s="152">
        <f t="shared" si="3"/>
        <v>124780.23815343178</v>
      </c>
      <c r="E14" s="152">
        <f t="shared" si="4"/>
        <v>125191.06245329956</v>
      </c>
      <c r="F14" s="152">
        <f t="shared" si="5"/>
        <v>122400.08062492909</v>
      </c>
      <c r="G14" s="152">
        <f t="shared" si="6"/>
        <v>124702.2775113871</v>
      </c>
      <c r="H14" s="152">
        <f t="shared" si="7"/>
        <v>126722.68555111669</v>
      </c>
      <c r="I14" s="152">
        <f t="shared" si="8"/>
        <v>127568.66031712534</v>
      </c>
      <c r="J14" s="152">
        <f t="shared" si="9"/>
        <v>122906.57098239505</v>
      </c>
      <c r="K14" s="168">
        <f t="shared" si="10"/>
        <v>118020.83635840983</v>
      </c>
    </row>
    <row r="15" spans="1:11">
      <c r="B15" s="169">
        <v>7</v>
      </c>
      <c r="C15" s="152">
        <f t="shared" si="2"/>
        <v>130541.80831214131</v>
      </c>
      <c r="D15" s="152">
        <f t="shared" si="3"/>
        <v>129123.65402652467</v>
      </c>
      <c r="E15" s="152">
        <f t="shared" si="4"/>
        <v>129021.86654537689</v>
      </c>
      <c r="F15" s="152">
        <f t="shared" si="5"/>
        <v>126729.66122441636</v>
      </c>
      <c r="G15" s="152">
        <f t="shared" si="6"/>
        <v>129892.62683193368</v>
      </c>
      <c r="H15" s="152">
        <f t="shared" si="7"/>
        <v>130007.54294173463</v>
      </c>
      <c r="I15" s="152">
        <f t="shared" si="8"/>
        <v>133451.58931393296</v>
      </c>
      <c r="J15" s="152">
        <f t="shared" si="9"/>
        <v>127205.03037612927</v>
      </c>
      <c r="K15" s="168">
        <f t="shared" si="10"/>
        <v>121325.41977644531</v>
      </c>
    </row>
    <row r="16" spans="1:11">
      <c r="B16" s="169">
        <v>8</v>
      </c>
      <c r="C16" s="152">
        <f t="shared" si="2"/>
        <v>135652.31482281789</v>
      </c>
      <c r="D16" s="152">
        <f t="shared" si="3"/>
        <v>134528.7981745259</v>
      </c>
      <c r="E16" s="152">
        <f t="shared" si="4"/>
        <v>133961.01093947669</v>
      </c>
      <c r="F16" s="152">
        <f t="shared" si="5"/>
        <v>133080.14193309747</v>
      </c>
      <c r="G16" s="152">
        <f t="shared" si="6"/>
        <v>135332.11291986649</v>
      </c>
      <c r="H16" s="152">
        <f t="shared" si="7"/>
        <v>135190.61707191178</v>
      </c>
      <c r="I16" s="152">
        <f t="shared" si="8"/>
        <v>139646.31354757139</v>
      </c>
      <c r="J16" s="152">
        <f t="shared" si="9"/>
        <v>131653.82146500313</v>
      </c>
      <c r="K16" s="168">
        <f t="shared" si="10"/>
        <v>124722.53153018578</v>
      </c>
    </row>
    <row r="17" spans="1:140">
      <c r="B17" s="169">
        <v>9</v>
      </c>
      <c r="C17" s="152">
        <f t="shared" si="2"/>
        <v>141050.12177741542</v>
      </c>
      <c r="D17" s="152">
        <f t="shared" si="3"/>
        <v>139178.99967426166</v>
      </c>
      <c r="E17" s="152">
        <f t="shared" si="4"/>
        <v>140143.89704050106</v>
      </c>
      <c r="F17" s="152">
        <f t="shared" si="5"/>
        <v>136437.45674924611</v>
      </c>
      <c r="G17" s="152">
        <f t="shared" si="6"/>
        <v>141032.69434002007</v>
      </c>
      <c r="H17" s="152">
        <f t="shared" si="7"/>
        <v>140622.46806369032</v>
      </c>
      <c r="I17" s="152">
        <f t="shared" si="8"/>
        <v>146169.35816559268</v>
      </c>
      <c r="J17" s="152">
        <f t="shared" si="9"/>
        <v>136258.20185796285</v>
      </c>
      <c r="K17" s="168">
        <f t="shared" si="10"/>
        <v>128214.76241303099</v>
      </c>
    </row>
    <row r="18" spans="1:140">
      <c r="B18" s="170">
        <v>10</v>
      </c>
      <c r="C18" s="153">
        <f t="shared" si="2"/>
        <v>146642.19369669058</v>
      </c>
      <c r="D18" s="153">
        <f t="shared" si="3"/>
        <v>145005.41935301697</v>
      </c>
      <c r="E18" s="153">
        <f t="shared" si="4"/>
        <v>144432.48854068731</v>
      </c>
      <c r="F18" s="153">
        <f t="shared" si="5"/>
        <v>141265.46224663974</v>
      </c>
      <c r="G18" s="153">
        <f t="shared" si="6"/>
        <v>149436.90366834105</v>
      </c>
      <c r="H18" s="153">
        <f t="shared" si="7"/>
        <v>146315.03683232909</v>
      </c>
      <c r="I18" s="153">
        <f t="shared" si="8"/>
        <v>153038.12414836907</v>
      </c>
      <c r="J18" s="153">
        <f t="shared" si="9"/>
        <v>141023.61304036083</v>
      </c>
      <c r="K18" s="171">
        <f t="shared" si="10"/>
        <v>131804.77576059586</v>
      </c>
    </row>
    <row r="19" spans="1:140" ht="21">
      <c r="A19" s="155"/>
      <c r="B19" s="169">
        <v>11</v>
      </c>
      <c r="C19" s="152">
        <f t="shared" si="2"/>
        <v>152435.4281822812</v>
      </c>
      <c r="D19" s="152">
        <f t="shared" si="3"/>
        <v>150088.74954487465</v>
      </c>
      <c r="E19" s="152">
        <f t="shared" si="4"/>
        <v>149961.38938689226</v>
      </c>
      <c r="F19" s="152">
        <f t="shared" si="5"/>
        <v>146262.31946137763</v>
      </c>
      <c r="G19" s="152">
        <f t="shared" si="6"/>
        <v>152737.89549749848</v>
      </c>
      <c r="H19" s="152">
        <f t="shared" si="7"/>
        <v>152280.83744393598</v>
      </c>
      <c r="I19" s="152">
        <f t="shared" si="8"/>
        <v>160270.93472823262</v>
      </c>
      <c r="J19" s="152">
        <f t="shared" si="9"/>
        <v>145955.68680473676</v>
      </c>
      <c r="K19" s="172">
        <f t="shared" si="10"/>
        <v>135495.30948189253</v>
      </c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140" ht="16" thickBot="1">
      <c r="A20" s="155"/>
      <c r="B20" s="173">
        <v>12</v>
      </c>
      <c r="C20" s="174">
        <f t="shared" si="2"/>
        <v>158437.06756567417</v>
      </c>
      <c r="D20" s="174">
        <f t="shared" si="3"/>
        <v>156372.00828940052</v>
      </c>
      <c r="E20" s="174">
        <f t="shared" si="4"/>
        <v>156882.11735459868</v>
      </c>
      <c r="F20" s="174">
        <f t="shared" si="5"/>
        <v>153590.15371035837</v>
      </c>
      <c r="G20" s="174">
        <f t="shared" si="6"/>
        <v>158879.08637026438</v>
      </c>
      <c r="H20" s="174">
        <f t="shared" si="7"/>
        <v>160585.52462625084</v>
      </c>
      <c r="I20" s="174">
        <f t="shared" si="8"/>
        <v>170317.08426882894</v>
      </c>
      <c r="J20" s="174">
        <f t="shared" si="9"/>
        <v>151060.25190650515</v>
      </c>
      <c r="K20" s="175">
        <f t="shared" si="10"/>
        <v>139289.17814738554</v>
      </c>
    </row>
    <row r="21" spans="1:140" ht="31.5" customHeight="1" thickBot="1"/>
    <row r="22" spans="1:140" ht="31.5" customHeight="1">
      <c r="B22" s="221" t="s">
        <v>114</v>
      </c>
      <c r="C22" s="222"/>
      <c r="D22" s="222"/>
      <c r="E22" s="222"/>
      <c r="F22" s="222"/>
      <c r="G22" s="222"/>
      <c r="H22" s="222"/>
      <c r="I22" s="222"/>
      <c r="J22" s="222"/>
      <c r="K22" s="223"/>
    </row>
    <row r="23" spans="1:140" ht="31.5" customHeight="1">
      <c r="B23" s="165" t="s">
        <v>109</v>
      </c>
      <c r="C23" s="94" t="s">
        <v>89</v>
      </c>
      <c r="D23" s="99" t="s">
        <v>96</v>
      </c>
      <c r="E23" s="100" t="s">
        <v>103</v>
      </c>
      <c r="F23" s="101" t="s">
        <v>54</v>
      </c>
      <c r="G23" s="102" t="s">
        <v>55</v>
      </c>
      <c r="H23" s="104" t="s">
        <v>56</v>
      </c>
      <c r="I23" s="105" t="s">
        <v>57</v>
      </c>
      <c r="J23" s="148" t="s">
        <v>116</v>
      </c>
      <c r="K23" s="176" t="s">
        <v>115</v>
      </c>
      <c r="O23" s="50"/>
      <c r="P23" s="50"/>
      <c r="Q23" s="50"/>
      <c r="R23" s="50"/>
      <c r="S23" s="50"/>
      <c r="T23" s="50"/>
      <c r="U23" s="50"/>
      <c r="V23" s="50"/>
      <c r="W23" s="50"/>
      <c r="X23" s="50"/>
    </row>
    <row r="24" spans="1:140" ht="21">
      <c r="B24" s="177">
        <v>0</v>
      </c>
      <c r="C24" s="149">
        <f t="shared" ref="C24:K24" si="11">C8/zakup_domyslny_wartosc-1</f>
        <v>0</v>
      </c>
      <c r="D24" s="149">
        <f t="shared" si="11"/>
        <v>0</v>
      </c>
      <c r="E24" s="149">
        <f t="shared" si="11"/>
        <v>0</v>
      </c>
      <c r="F24" s="149">
        <f t="shared" si="11"/>
        <v>0</v>
      </c>
      <c r="G24" s="149">
        <f t="shared" si="11"/>
        <v>0</v>
      </c>
      <c r="H24" s="149">
        <f t="shared" si="11"/>
        <v>0</v>
      </c>
      <c r="I24" s="149">
        <f t="shared" si="11"/>
        <v>0</v>
      </c>
      <c r="J24" s="149">
        <f t="shared" si="11"/>
        <v>0</v>
      </c>
      <c r="K24" s="178">
        <f t="shared" si="11"/>
        <v>0</v>
      </c>
      <c r="O24" s="50"/>
      <c r="P24" s="50"/>
      <c r="Q24" s="50"/>
      <c r="R24" s="50"/>
      <c r="S24" s="50"/>
      <c r="T24" s="50"/>
      <c r="U24" s="50"/>
      <c r="V24" s="50"/>
      <c r="W24" s="50"/>
      <c r="X24" s="50"/>
    </row>
    <row r="25" spans="1:140">
      <c r="B25" s="179">
        <v>1</v>
      </c>
      <c r="C25" s="149">
        <f t="shared" ref="C25:K25" si="12">C9/zakup_domyslny_wartosc-1</f>
        <v>3.4973389619258555E-2</v>
      </c>
      <c r="D25" s="149">
        <f t="shared" si="12"/>
        <v>3.0537744546996981E-2</v>
      </c>
      <c r="E25" s="149">
        <f t="shared" si="12"/>
        <v>2.9565000000000063E-2</v>
      </c>
      <c r="F25" s="149">
        <f t="shared" si="12"/>
        <v>2.4299999999999988E-2</v>
      </c>
      <c r="G25" s="149">
        <f t="shared" si="12"/>
        <v>2.1060000000000079E-2</v>
      </c>
      <c r="H25" s="149">
        <f t="shared" si="12"/>
        <v>2.5919999999999943E-2</v>
      </c>
      <c r="I25" s="149">
        <f t="shared" si="12"/>
        <v>2.3085000000000022E-2</v>
      </c>
      <c r="J25" s="149">
        <f t="shared" si="12"/>
        <v>3.4973389619257444E-2</v>
      </c>
      <c r="K25" s="178">
        <f t="shared" si="12"/>
        <v>2.8000000000000025E-2</v>
      </c>
    </row>
    <row r="26" spans="1:140" ht="19">
      <c r="B26" s="179">
        <v>2</v>
      </c>
      <c r="C26" s="149">
        <f t="shared" ref="C26:K26" si="13">C10/zakup_domyslny_wartosc-1</f>
        <v>7.5313950672013741E-2</v>
      </c>
      <c r="D26" s="149">
        <f t="shared" si="13"/>
        <v>7.3681796651270615E-2</v>
      </c>
      <c r="E26" s="149">
        <f t="shared" si="13"/>
        <v>6.8981422499999834E-2</v>
      </c>
      <c r="F26" s="149">
        <f t="shared" si="13"/>
        <v>6.0546422279579959E-2</v>
      </c>
      <c r="G26" s="149">
        <f t="shared" si="13"/>
        <v>6.2117280000000052E-2</v>
      </c>
      <c r="H26" s="149">
        <f t="shared" si="13"/>
        <v>6.6821760000000063E-2</v>
      </c>
      <c r="I26" s="149">
        <f t="shared" si="13"/>
        <v>6.8526404999999846E-2</v>
      </c>
      <c r="J26" s="149">
        <f t="shared" si="13"/>
        <v>7.1169917219975343E-2</v>
      </c>
      <c r="K26" s="178">
        <f t="shared" si="13"/>
        <v>5.6783999999999946E-2</v>
      </c>
      <c r="M26" s="34"/>
      <c r="T26" s="75"/>
    </row>
    <row r="27" spans="1:140" ht="51">
      <c r="B27" s="179">
        <v>3</v>
      </c>
      <c r="C27" s="149">
        <f t="shared" ref="C27:K27" si="14">C11/zakup_domyslny_wartosc-1</f>
        <v>0.11813966026235145</v>
      </c>
      <c r="D27" s="149">
        <f t="shared" si="14"/>
        <v>0.11059893216187122</v>
      </c>
      <c r="E27" s="149">
        <f t="shared" si="14"/>
        <v>0.11833070864624995</v>
      </c>
      <c r="F27" s="149">
        <f t="shared" si="14"/>
        <v>9.8060504807847559E-2</v>
      </c>
      <c r="G27" s="149">
        <f t="shared" si="14"/>
        <v>0.10514530943999989</v>
      </c>
      <c r="H27" s="149">
        <f t="shared" si="14"/>
        <v>0.10968680448000012</v>
      </c>
      <c r="I27" s="149">
        <f t="shared" si="14"/>
        <v>0.11637620446499986</v>
      </c>
      <c r="J27" s="149">
        <f t="shared" si="14"/>
        <v>0.10863236008333721</v>
      </c>
      <c r="K27" s="178">
        <f t="shared" si="14"/>
        <v>8.6373951999999976E-2</v>
      </c>
      <c r="M27" s="35"/>
      <c r="T27" s="77"/>
      <c r="EE27" s="95" t="s">
        <v>7</v>
      </c>
      <c r="EF27" s="95" t="s">
        <v>6</v>
      </c>
      <c r="EG27" s="147" t="s">
        <v>52</v>
      </c>
      <c r="EH27" s="95" t="s">
        <v>81</v>
      </c>
      <c r="EI27" s="95" t="s">
        <v>82</v>
      </c>
      <c r="EJ27" s="147" t="s">
        <v>102</v>
      </c>
    </row>
    <row r="28" spans="1:140" ht="16">
      <c r="B28" s="179">
        <v>4</v>
      </c>
      <c r="C28" s="149">
        <f t="shared" ref="C28:K28" si="15">C12/zakup_domyslny_wartosc-1</f>
        <v>0.16250659896227759</v>
      </c>
      <c r="D28" s="149">
        <f t="shared" si="15"/>
        <v>0.15708989973559051</v>
      </c>
      <c r="E28" s="149">
        <f t="shared" si="15"/>
        <v>0.15254867148195039</v>
      </c>
      <c r="F28" s="149">
        <f t="shared" si="15"/>
        <v>0.15308658196058533</v>
      </c>
      <c r="G28" s="149">
        <f t="shared" si="15"/>
        <v>0.15023868429312026</v>
      </c>
      <c r="H28" s="149">
        <f t="shared" si="15"/>
        <v>0.15460937109504003</v>
      </c>
      <c r="I28" s="149">
        <f t="shared" si="15"/>
        <v>0.16676204330164479</v>
      </c>
      <c r="J28" s="149">
        <f t="shared" si="15"/>
        <v>0.14740499155704878</v>
      </c>
      <c r="K28" s="178">
        <f t="shared" si="15"/>
        <v>0.11679242265599998</v>
      </c>
      <c r="M28" s="35"/>
      <c r="T28" s="77"/>
      <c r="U28" s="75"/>
      <c r="V28" s="76"/>
      <c r="EE28" s="95">
        <v>1</v>
      </c>
      <c r="EF28" s="103">
        <f>IF(trigger_inflacja="chcę taki sam w kazdym roku",'WPISZ ZAŁOŻENIA'!$B$12,'WPISZ ZAŁOŻENIA'!B13)</f>
        <v>2.8000000000000001E-2</v>
      </c>
      <c r="EG28" s="103">
        <f>EF28</f>
        <v>2.8000000000000001E-2</v>
      </c>
      <c r="EH28" s="103">
        <f>IF(trigger_inflacja="chcę taki sam w kazdym roku",'WPISZ ZAŁOŻENIA'!$C$12,'WPISZ ZAŁOŻENIA'!C13)</f>
        <v>4.2500000000000003E-2</v>
      </c>
      <c r="EI28" s="103">
        <f>IF(trigger_inflacja="chcę taki sam w kazdym roku",'WPISZ ZAŁOŻENIA'!$D$12,'WPISZ ZAŁOŻENIA'!D13)</f>
        <v>4.1300000000000003E-2</v>
      </c>
      <c r="EJ28" s="103">
        <f>IF(trigger_inflacja="chcę taki sam w kazdym roku",'WPISZ ZAŁOŻENIA'!$E$12,'WPISZ ZAŁOŻENIA'!E13)</f>
        <v>4.2500000000000003E-2</v>
      </c>
    </row>
    <row r="29" spans="1:140" ht="16">
      <c r="B29" s="179">
        <v>5</v>
      </c>
      <c r="C29" s="149">
        <f t="shared" ref="C29:K29" si="16">C13/zakup_domyslny_wartosc-1</f>
        <v>0.20847073872471289</v>
      </c>
      <c r="D29" s="149">
        <f t="shared" si="16"/>
        <v>0.19766277081562866</v>
      </c>
      <c r="E29" s="149">
        <f t="shared" si="16"/>
        <v>0.19667192615087647</v>
      </c>
      <c r="F29" s="149">
        <f t="shared" si="16"/>
        <v>0.18216803409386362</v>
      </c>
      <c r="G29" s="149">
        <f t="shared" si="16"/>
        <v>0.19749654113919002</v>
      </c>
      <c r="H29" s="149">
        <f t="shared" si="16"/>
        <v>0.20168822090760208</v>
      </c>
      <c r="I29" s="149">
        <f t="shared" si="16"/>
        <v>0.219818331596632</v>
      </c>
      <c r="J29" s="149">
        <f t="shared" si="16"/>
        <v>0.18753363337785434</v>
      </c>
      <c r="K29" s="178">
        <f t="shared" si="16"/>
        <v>0.14806261049036795</v>
      </c>
      <c r="M29" s="36"/>
      <c r="T29" s="77"/>
      <c r="U29" s="75"/>
      <c r="V29" s="76"/>
      <c r="EE29" s="95">
        <v>2</v>
      </c>
      <c r="EF29" s="103">
        <f>IF(trigger_inflacja="chcę taki sam w kazdym roku",'WPISZ ZAŁOŻENIA'!$B$12,'WPISZ ZAŁOŻENIA'!B14)</f>
        <v>2.8000000000000001E-2</v>
      </c>
      <c r="EG29" s="103">
        <f t="shared" ref="EG29:EG39" si="17">(1+EG28)*(1+EF29)-1</f>
        <v>5.6783999999999946E-2</v>
      </c>
      <c r="EH29" s="103">
        <f>IF(trigger_inflacja="chcę taki sam w kazdym roku",'WPISZ ZAŁOŻENIA'!$C$12,'WPISZ ZAŁOŻENIA'!C14)</f>
        <v>4.2500000000000003E-2</v>
      </c>
      <c r="EI29" s="103">
        <f>IF(trigger_inflacja="chcę taki sam w kazdym roku",'WPISZ ZAŁOŻENIA'!$D$12,'WPISZ ZAŁOŻENIA'!D14)</f>
        <v>4.1300000000000003E-2</v>
      </c>
      <c r="EJ29" s="103">
        <f>IF(trigger_inflacja="chcę taki sam w kazdym roku",'WPISZ ZAŁOŻENIA'!$E$12,'WPISZ ZAŁOŻENIA'!E14)</f>
        <v>4.2500000000000003E-2</v>
      </c>
    </row>
    <row r="30" spans="1:140" ht="16">
      <c r="B30" s="179">
        <v>6</v>
      </c>
      <c r="C30" s="149">
        <f t="shared" ref="C30:K30" si="18">C14/zakup_domyslny_wartosc-1</f>
        <v>0.25608793908471728</v>
      </c>
      <c r="D30" s="149">
        <f t="shared" si="18"/>
        <v>0.24780238153431777</v>
      </c>
      <c r="E30" s="149">
        <f t="shared" si="18"/>
        <v>0.25191062453299562</v>
      </c>
      <c r="F30" s="149">
        <f t="shared" si="18"/>
        <v>0.22400080624929086</v>
      </c>
      <c r="G30" s="149">
        <f t="shared" si="18"/>
        <v>0.24702277511387094</v>
      </c>
      <c r="H30" s="149">
        <f t="shared" si="18"/>
        <v>0.26722685551116698</v>
      </c>
      <c r="I30" s="149">
        <f t="shared" si="18"/>
        <v>0.27568660317125326</v>
      </c>
      <c r="J30" s="149">
        <f t="shared" si="18"/>
        <v>0.22906570982395036</v>
      </c>
      <c r="K30" s="178">
        <f t="shared" si="18"/>
        <v>0.18020836358409831</v>
      </c>
      <c r="M30" s="36"/>
      <c r="T30" s="77"/>
      <c r="U30" s="75"/>
      <c r="V30" s="76"/>
      <c r="EE30" s="95">
        <v>3</v>
      </c>
      <c r="EF30" s="103">
        <f>IF(trigger_inflacja="chcę taki sam w kazdym roku",'WPISZ ZAŁOŻENIA'!$B$12,'WPISZ ZAŁOŻENIA'!B15)</f>
        <v>2.8000000000000001E-2</v>
      </c>
      <c r="EG30" s="103">
        <f t="shared" si="17"/>
        <v>8.6373951999999976E-2</v>
      </c>
      <c r="EH30" s="103">
        <f>IF(trigger_inflacja="chcę taki sam w kazdym roku",'WPISZ ZAŁOŻENIA'!$C$12,'WPISZ ZAŁOŻENIA'!C15)</f>
        <v>4.2500000000000003E-2</v>
      </c>
      <c r="EI30" s="103">
        <f>IF(trigger_inflacja="chcę taki sam w kazdym roku",'WPISZ ZAŁOŻENIA'!$D$12,'WPISZ ZAŁOŻENIA'!D15)</f>
        <v>4.1300000000000003E-2</v>
      </c>
      <c r="EJ30" s="103">
        <f>IF(trigger_inflacja="chcę taki sam w kazdym roku",'WPISZ ZAŁOŻENIA'!$E$12,'WPISZ ZAŁOŻENIA'!E15)</f>
        <v>4.2500000000000003E-2</v>
      </c>
    </row>
    <row r="31" spans="1:140" ht="16">
      <c r="B31" s="179">
        <v>7</v>
      </c>
      <c r="C31" s="149">
        <f t="shared" ref="C31:K31" si="19">C15/zakup_domyslny_wartosc-1</f>
        <v>0.30541808312141305</v>
      </c>
      <c r="D31" s="149">
        <f t="shared" si="19"/>
        <v>0.29123654026524681</v>
      </c>
      <c r="E31" s="149">
        <f t="shared" si="19"/>
        <v>0.29021866545376884</v>
      </c>
      <c r="F31" s="149">
        <f t="shared" si="19"/>
        <v>0.26729661224416357</v>
      </c>
      <c r="G31" s="149">
        <f t="shared" si="19"/>
        <v>0.29892626831933677</v>
      </c>
      <c r="H31" s="149">
        <f t="shared" si="19"/>
        <v>0.30007542941734622</v>
      </c>
      <c r="I31" s="149">
        <f t="shared" si="19"/>
        <v>0.3345158931393295</v>
      </c>
      <c r="J31" s="149">
        <f t="shared" si="19"/>
        <v>0.27205030376129269</v>
      </c>
      <c r="K31" s="178">
        <f t="shared" si="19"/>
        <v>0.21325419776445309</v>
      </c>
      <c r="M31" s="36"/>
      <c r="T31" s="77"/>
      <c r="U31" s="75"/>
      <c r="V31" s="76"/>
      <c r="EE31" s="95">
        <v>4</v>
      </c>
      <c r="EF31" s="103">
        <f>IF(trigger_inflacja="chcę taki sam w kazdym roku",'WPISZ ZAŁOŻENIA'!$B$12,'WPISZ ZAŁOŻENIA'!B16)</f>
        <v>2.8000000000000001E-2</v>
      </c>
      <c r="EG31" s="103">
        <f t="shared" si="17"/>
        <v>0.11679242265599998</v>
      </c>
      <c r="EH31" s="103">
        <f>IF(trigger_inflacja="chcę taki sam w kazdym roku",'WPISZ ZAŁOŻENIA'!$C$12,'WPISZ ZAŁOŻENIA'!C16)</f>
        <v>4.2500000000000003E-2</v>
      </c>
      <c r="EI31" s="103">
        <f>IF(trigger_inflacja="chcę taki sam w kazdym roku",'WPISZ ZAŁOŻENIA'!$D$12,'WPISZ ZAŁOŻENIA'!D16)</f>
        <v>4.1300000000000003E-2</v>
      </c>
      <c r="EJ31" s="103">
        <f>IF(trigger_inflacja="chcę taki sam w kazdym roku",'WPISZ ZAŁOŻENIA'!$E$12,'WPISZ ZAŁOŻENIA'!E16)</f>
        <v>4.2500000000000003E-2</v>
      </c>
    </row>
    <row r="32" spans="1:140" ht="16">
      <c r="B32" s="179">
        <v>8</v>
      </c>
      <c r="C32" s="149">
        <f t="shared" ref="C32:K32" si="20">C16/zakup_domyslny_wartosc-1</f>
        <v>0.35652314822817899</v>
      </c>
      <c r="D32" s="149">
        <f t="shared" si="20"/>
        <v>0.34528798174525899</v>
      </c>
      <c r="E32" s="149">
        <f t="shared" si="20"/>
        <v>0.33961010939476699</v>
      </c>
      <c r="F32" s="149">
        <f t="shared" si="20"/>
        <v>0.33080141933097473</v>
      </c>
      <c r="G32" s="149">
        <f t="shared" si="20"/>
        <v>0.35332112919866487</v>
      </c>
      <c r="H32" s="149">
        <f t="shared" si="20"/>
        <v>0.35190617071911778</v>
      </c>
      <c r="I32" s="149">
        <f t="shared" si="20"/>
        <v>0.39646313547571399</v>
      </c>
      <c r="J32" s="149">
        <f t="shared" si="20"/>
        <v>0.31653821465003129</v>
      </c>
      <c r="K32" s="178">
        <f t="shared" si="20"/>
        <v>0.24722531530185776</v>
      </c>
      <c r="M32" s="36"/>
      <c r="T32" s="77"/>
      <c r="U32" s="75"/>
      <c r="V32" s="76"/>
      <c r="EE32" s="95">
        <v>5</v>
      </c>
      <c r="EF32" s="103">
        <f>IF(trigger_inflacja="chcę taki sam w kazdym roku",'WPISZ ZAŁOŻENIA'!$B$12,'WPISZ ZAŁOŻENIA'!B17)</f>
        <v>2.8000000000000001E-2</v>
      </c>
      <c r="EG32" s="103">
        <f t="shared" si="17"/>
        <v>0.14806261049036795</v>
      </c>
      <c r="EH32" s="103">
        <f>IF(trigger_inflacja="chcę taki sam w kazdym roku",'WPISZ ZAŁOŻENIA'!$C$12,'WPISZ ZAŁOŻENIA'!C17)</f>
        <v>4.2500000000000003E-2</v>
      </c>
      <c r="EI32" s="103">
        <f>IF(trigger_inflacja="chcę taki sam w kazdym roku",'WPISZ ZAŁOŻENIA'!$D$12,'WPISZ ZAŁOŻENIA'!D17)</f>
        <v>4.1300000000000003E-2</v>
      </c>
      <c r="EJ32" s="103">
        <f>IF(trigger_inflacja="chcę taki sam w kazdym roku",'WPISZ ZAŁOŻENIA'!$E$12,'WPISZ ZAŁOŻENIA'!E17)</f>
        <v>4.2500000000000003E-2</v>
      </c>
    </row>
    <row r="33" spans="1:140" ht="16">
      <c r="B33" s="179">
        <v>9</v>
      </c>
      <c r="C33" s="149">
        <f t="shared" ref="C33:K33" si="21">C17/zakup_domyslny_wartosc-1</f>
        <v>0.41050121777415427</v>
      </c>
      <c r="D33" s="149">
        <f t="shared" si="21"/>
        <v>0.39178999674261661</v>
      </c>
      <c r="E33" s="149">
        <f t="shared" si="21"/>
        <v>0.40143897040501053</v>
      </c>
      <c r="F33" s="149">
        <f t="shared" si="21"/>
        <v>0.364374567492461</v>
      </c>
      <c r="G33" s="149">
        <f t="shared" si="21"/>
        <v>0.41032694340020059</v>
      </c>
      <c r="H33" s="149">
        <f t="shared" si="21"/>
        <v>0.4062246806369032</v>
      </c>
      <c r="I33" s="149">
        <f t="shared" si="21"/>
        <v>0.46169358165592689</v>
      </c>
      <c r="J33" s="149">
        <f t="shared" si="21"/>
        <v>0.36258201857962846</v>
      </c>
      <c r="K33" s="178">
        <f t="shared" si="21"/>
        <v>0.2821476241303098</v>
      </c>
      <c r="M33" s="36"/>
      <c r="T33" s="77"/>
      <c r="U33" s="75"/>
      <c r="V33" s="76"/>
      <c r="EE33" s="95">
        <v>6</v>
      </c>
      <c r="EF33" s="103">
        <f>IF(trigger_inflacja="chcę taki sam w kazdym roku",'WPISZ ZAŁOŻENIA'!$B$12,'WPISZ ZAŁOŻENIA'!B18)</f>
        <v>2.8000000000000001E-2</v>
      </c>
      <c r="EG33" s="103">
        <f t="shared" si="17"/>
        <v>0.18020836358409831</v>
      </c>
      <c r="EH33" s="103">
        <f>IF(trigger_inflacja="chcę taki sam w kazdym roku",'WPISZ ZAŁOŻENIA'!$C$12,'WPISZ ZAŁOŻENIA'!C18)</f>
        <v>4.2500000000000003E-2</v>
      </c>
      <c r="EI33" s="103">
        <f>IF(trigger_inflacja="chcę taki sam w kazdym roku",'WPISZ ZAŁOŻENIA'!$D$12,'WPISZ ZAŁOŻENIA'!D18)</f>
        <v>4.1300000000000003E-2</v>
      </c>
      <c r="EJ33" s="103">
        <f>IF(trigger_inflacja="chcę taki sam w kazdym roku",'WPISZ ZAŁOŻENIA'!$E$12,'WPISZ ZAŁOŻENIA'!E18)</f>
        <v>4.2500000000000003E-2</v>
      </c>
    </row>
    <row r="34" spans="1:140" ht="16">
      <c r="B34" s="180">
        <v>10</v>
      </c>
      <c r="C34" s="150">
        <f t="shared" ref="C34:K34" si="22">C18/zakup_domyslny_wartosc-1</f>
        <v>0.46642193696690581</v>
      </c>
      <c r="D34" s="150">
        <f t="shared" si="22"/>
        <v>0.45005419353016962</v>
      </c>
      <c r="E34" s="150">
        <f t="shared" si="22"/>
        <v>0.44432488540687309</v>
      </c>
      <c r="F34" s="150">
        <f t="shared" si="22"/>
        <v>0.41265462246639739</v>
      </c>
      <c r="G34" s="150">
        <f t="shared" si="22"/>
        <v>0.49436903668341059</v>
      </c>
      <c r="H34" s="150">
        <f t="shared" si="22"/>
        <v>0.46315036832329093</v>
      </c>
      <c r="I34" s="150">
        <f t="shared" si="22"/>
        <v>0.53038124148369059</v>
      </c>
      <c r="J34" s="150">
        <f t="shared" si="22"/>
        <v>0.41023613040360818</v>
      </c>
      <c r="K34" s="181">
        <f t="shared" si="22"/>
        <v>0.3180477576059586</v>
      </c>
      <c r="M34" s="36"/>
      <c r="T34" s="77"/>
      <c r="U34" s="75"/>
      <c r="V34" s="76"/>
      <c r="EE34" s="95">
        <v>7</v>
      </c>
      <c r="EF34" s="103">
        <f>IF(trigger_inflacja="chcę taki sam w kazdym roku",'WPISZ ZAŁOŻENIA'!$B$12,'WPISZ ZAŁOŻENIA'!B19)</f>
        <v>2.8000000000000001E-2</v>
      </c>
      <c r="EG34" s="103">
        <f t="shared" si="17"/>
        <v>0.21325419776445309</v>
      </c>
      <c r="EH34" s="103">
        <f>IF(trigger_inflacja="chcę taki sam w kazdym roku",'WPISZ ZAŁOŻENIA'!$C$12,'WPISZ ZAŁOŻENIA'!C19)</f>
        <v>4.2500000000000003E-2</v>
      </c>
      <c r="EI34" s="103">
        <f>IF(trigger_inflacja="chcę taki sam w kazdym roku",'WPISZ ZAŁOŻENIA'!$D$12,'WPISZ ZAŁOŻENIA'!D19)</f>
        <v>4.1300000000000003E-2</v>
      </c>
      <c r="EJ34" s="103">
        <f>IF(trigger_inflacja="chcę taki sam w kazdym roku",'WPISZ ZAŁOŻENIA'!$E$12,'WPISZ ZAŁOŻENIA'!E19)</f>
        <v>4.2500000000000003E-2</v>
      </c>
    </row>
    <row r="35" spans="1:140" ht="16">
      <c r="B35" s="179">
        <v>11</v>
      </c>
      <c r="C35" s="149">
        <f t="shared" ref="C35:K35" si="23">C19/zakup_domyslny_wartosc-1</f>
        <v>0.52435428182281196</v>
      </c>
      <c r="D35" s="149">
        <f t="shared" si="23"/>
        <v>0.50088749544874656</v>
      </c>
      <c r="E35" s="149">
        <f t="shared" si="23"/>
        <v>0.49961389386892252</v>
      </c>
      <c r="F35" s="149">
        <f t="shared" si="23"/>
        <v>0.46262319461377621</v>
      </c>
      <c r="G35" s="149">
        <f t="shared" si="23"/>
        <v>0.52737895497498477</v>
      </c>
      <c r="H35" s="149">
        <f t="shared" si="23"/>
        <v>0.52280837443935968</v>
      </c>
      <c r="I35" s="149">
        <f t="shared" si="23"/>
        <v>0.60270934728232617</v>
      </c>
      <c r="J35" s="149">
        <f t="shared" si="23"/>
        <v>0.45955686804736762</v>
      </c>
      <c r="K35" s="178">
        <f t="shared" si="23"/>
        <v>0.35495309481892523</v>
      </c>
      <c r="M35" s="36"/>
      <c r="T35" s="77"/>
      <c r="U35" s="75"/>
      <c r="V35" s="76"/>
      <c r="EE35" s="95">
        <v>8</v>
      </c>
      <c r="EF35" s="103">
        <f>IF(trigger_inflacja="chcę taki sam w kazdym roku",'WPISZ ZAŁOŻENIA'!$B$12,'WPISZ ZAŁOŻENIA'!B20)</f>
        <v>2.8000000000000001E-2</v>
      </c>
      <c r="EG35" s="103">
        <f t="shared" si="17"/>
        <v>0.24722531530185776</v>
      </c>
      <c r="EH35" s="103">
        <f>IF(trigger_inflacja="chcę taki sam w kazdym roku",'WPISZ ZAŁOŻENIA'!$C$12,'WPISZ ZAŁOŻENIA'!C20)</f>
        <v>4.2500000000000003E-2</v>
      </c>
      <c r="EI35" s="103">
        <f>IF(trigger_inflacja="chcę taki sam w kazdym roku",'WPISZ ZAŁOŻENIA'!$D$12,'WPISZ ZAŁOŻENIA'!D20)</f>
        <v>4.1300000000000003E-2</v>
      </c>
      <c r="EJ35" s="103">
        <f>IF(trigger_inflacja="chcę taki sam w kazdym roku",'WPISZ ZAŁOŻENIA'!$E$12,'WPISZ ZAŁOŻENIA'!E20)</f>
        <v>4.2500000000000003E-2</v>
      </c>
    </row>
    <row r="36" spans="1:140" ht="17" thickBot="1">
      <c r="B36" s="182">
        <v>12</v>
      </c>
      <c r="C36" s="183">
        <f t="shared" ref="C36:K36" si="24">C20/zakup_domyslny_wartosc-1</f>
        <v>0.58437067565674172</v>
      </c>
      <c r="D36" s="183">
        <f t="shared" si="24"/>
        <v>0.56372008289400521</v>
      </c>
      <c r="E36" s="183">
        <f t="shared" si="24"/>
        <v>0.56882117354598671</v>
      </c>
      <c r="F36" s="183">
        <f t="shared" si="24"/>
        <v>0.53590153710358379</v>
      </c>
      <c r="G36" s="183">
        <f t="shared" si="24"/>
        <v>0.58879086370264377</v>
      </c>
      <c r="H36" s="183">
        <f t="shared" si="24"/>
        <v>0.60585524626250842</v>
      </c>
      <c r="I36" s="183">
        <f t="shared" si="24"/>
        <v>0.70317084268828944</v>
      </c>
      <c r="J36" s="183">
        <f t="shared" si="24"/>
        <v>0.51060251906505139</v>
      </c>
      <c r="K36" s="184">
        <f t="shared" si="24"/>
        <v>0.39289178147385528</v>
      </c>
      <c r="M36" s="36"/>
      <c r="T36" s="77"/>
      <c r="U36" s="75"/>
      <c r="V36" s="76"/>
      <c r="EE36" s="95">
        <v>9</v>
      </c>
      <c r="EF36" s="103">
        <f>IF(trigger_inflacja="chcę taki sam w kazdym roku",'WPISZ ZAŁOŻENIA'!$B$12,'WPISZ ZAŁOŻENIA'!B21)</f>
        <v>2.8000000000000001E-2</v>
      </c>
      <c r="EG36" s="103">
        <f t="shared" si="17"/>
        <v>0.2821476241303098</v>
      </c>
      <c r="EH36" s="103">
        <f>IF(trigger_inflacja="chcę taki sam w kazdym roku",'WPISZ ZAŁOŻENIA'!$C$12,'WPISZ ZAŁOŻENIA'!C21)</f>
        <v>4.2500000000000003E-2</v>
      </c>
      <c r="EI36" s="103">
        <f>IF(trigger_inflacja="chcę taki sam w kazdym roku",'WPISZ ZAŁOŻENIA'!$D$12,'WPISZ ZAŁOŻENIA'!D21)</f>
        <v>4.1300000000000003E-2</v>
      </c>
      <c r="EJ36" s="103">
        <f>IF(trigger_inflacja="chcę taki sam w kazdym roku",'WPISZ ZAŁOŻENIA'!$E$12,'WPISZ ZAŁOŻENIA'!E21)</f>
        <v>4.2500000000000003E-2</v>
      </c>
    </row>
    <row r="37" spans="1:140" ht="21" customHeight="1">
      <c r="M37" s="36"/>
      <c r="EE37" s="95">
        <v>10</v>
      </c>
      <c r="EF37" s="103">
        <f>IF(trigger_inflacja="chcę taki sam w kazdym roku",'WPISZ ZAŁOŻENIA'!$B$12,'WPISZ ZAŁOŻENIA'!B22)</f>
        <v>2.8000000000000001E-2</v>
      </c>
      <c r="EG37" s="103">
        <f t="shared" si="17"/>
        <v>0.3180477576059586</v>
      </c>
      <c r="EH37" s="103">
        <f>IF(trigger_inflacja="chcę taki sam w kazdym roku",'WPISZ ZAŁOŻENIA'!$C$12,'WPISZ ZAŁOŻENIA'!C22)</f>
        <v>4.2500000000000003E-2</v>
      </c>
      <c r="EI37" s="103">
        <f>IF(trigger_inflacja="chcę taki sam w kazdym roku",'WPISZ ZAŁOŻENIA'!$D$12,'WPISZ ZAŁOŻENIA'!D22)</f>
        <v>4.1300000000000003E-2</v>
      </c>
      <c r="EJ37" s="103">
        <f>IF(trigger_inflacja="chcę taki sam w kazdym roku",'WPISZ ZAŁOŻENIA'!$E$12,'WPISZ ZAŁOŻENIA'!E22)</f>
        <v>4.2500000000000003E-2</v>
      </c>
    </row>
    <row r="38" spans="1:140" ht="21" customHeight="1">
      <c r="M38" s="36"/>
      <c r="Y38" s="50"/>
      <c r="AI38" s="68"/>
      <c r="AY38" s="68"/>
      <c r="BO38" s="68"/>
      <c r="CD38" s="68"/>
      <c r="EE38" s="95">
        <v>11</v>
      </c>
      <c r="EF38" s="103">
        <f>IF(trigger_inflacja="chcę taki sam w kazdym roku",'WPISZ ZAŁOŻENIA'!$B$12,'WPISZ ZAŁOŻENIA'!B23)</f>
        <v>2.8000000000000001E-2</v>
      </c>
      <c r="EG38" s="103">
        <f t="shared" si="17"/>
        <v>0.35495309481892545</v>
      </c>
      <c r="EH38" s="103">
        <f>IF(trigger_inflacja="chcę taki sam w kazdym roku",'WPISZ ZAŁOŻENIA'!$C$12,'WPISZ ZAŁOŻENIA'!C23)</f>
        <v>4.2500000000000003E-2</v>
      </c>
      <c r="EI38" s="103">
        <f>IF(trigger_inflacja="chcę taki sam w kazdym roku",'WPISZ ZAŁOŻENIA'!$D$12,'WPISZ ZAŁOŻENIA'!D23)</f>
        <v>4.1300000000000003E-2</v>
      </c>
      <c r="EJ38" s="103">
        <f>IF(trigger_inflacja="chcę taki sam w kazdym roku",'WPISZ ZAŁOŻENIA'!$E$12,'WPISZ ZAŁOŻENIA'!E23)</f>
        <v>4.2500000000000003E-2</v>
      </c>
    </row>
    <row r="39" spans="1:140" ht="21" customHeight="1">
      <c r="M39" s="36"/>
      <c r="Y39" s="50"/>
      <c r="AY39" s="68"/>
      <c r="BO39" s="68"/>
      <c r="CD39" s="68"/>
      <c r="EE39" s="95">
        <v>12</v>
      </c>
      <c r="EF39" s="103">
        <f>IF(trigger_inflacja="chcę taki sam w kazdym roku",'WPISZ ZAŁOŻENIA'!$B$12,'WPISZ ZAŁOŻENIA'!B24)</f>
        <v>2.8000000000000001E-2</v>
      </c>
      <c r="EG39" s="103">
        <f t="shared" si="17"/>
        <v>0.39289178147385551</v>
      </c>
      <c r="EH39" s="103">
        <f>IF(trigger_inflacja="chcę taki sam w kazdym roku",'WPISZ ZAŁOŻENIA'!$C$12,'WPISZ ZAŁOŻENIA'!C24)</f>
        <v>4.2500000000000003E-2</v>
      </c>
      <c r="EI39" s="103">
        <f>IF(trigger_inflacja="chcę taki sam w kazdym roku",'WPISZ ZAŁOŻENIA'!$D$12,'WPISZ ZAŁOŻENIA'!D24)</f>
        <v>4.1300000000000003E-2</v>
      </c>
      <c r="EJ39" s="103">
        <f>IF(trigger_inflacja="chcę taki sam w kazdym roku",'WPISZ ZAŁOŻENIA'!$E$12,'WPISZ ZAŁOŻENIA'!E24)</f>
        <v>4.2500000000000003E-2</v>
      </c>
    </row>
    <row r="40" spans="1:140" ht="21" customHeight="1">
      <c r="M40" s="36"/>
    </row>
    <row r="41" spans="1:140" ht="30" customHeight="1" thickBot="1">
      <c r="B41" s="226" t="s">
        <v>117</v>
      </c>
      <c r="C41" s="226"/>
      <c r="D41" s="226"/>
      <c r="E41" s="226"/>
      <c r="F41" s="226"/>
      <c r="G41" s="226"/>
      <c r="H41" s="226"/>
      <c r="I41" s="226"/>
      <c r="J41" s="226"/>
      <c r="K41" s="226"/>
      <c r="M41" s="36"/>
      <c r="AB41" s="72" t="s">
        <v>88</v>
      </c>
      <c r="AS41" s="72" t="s">
        <v>97</v>
      </c>
      <c r="BI41" s="72" t="s">
        <v>108</v>
      </c>
      <c r="BY41" s="72" t="s">
        <v>58</v>
      </c>
      <c r="CN41" s="72" t="s">
        <v>59</v>
      </c>
      <c r="DB41" s="72" t="s">
        <v>60</v>
      </c>
      <c r="DP41" s="72" t="s">
        <v>61</v>
      </c>
    </row>
    <row r="42" spans="1:140" ht="86.5" customHeight="1" thickBot="1">
      <c r="A42" s="156"/>
      <c r="B42" s="226" t="s">
        <v>118</v>
      </c>
      <c r="C42" s="226"/>
      <c r="D42" s="226"/>
      <c r="E42" s="226"/>
      <c r="F42" s="226"/>
      <c r="G42" s="226"/>
      <c r="H42" s="226"/>
      <c r="I42" s="226"/>
      <c r="J42" s="226"/>
      <c r="K42" s="226"/>
      <c r="N42" s="212" t="s">
        <v>119</v>
      </c>
      <c r="O42" s="213"/>
      <c r="P42" s="213"/>
      <c r="Q42" s="213"/>
      <c r="R42" s="213"/>
      <c r="S42" s="213"/>
      <c r="T42" s="213"/>
      <c r="U42" s="213"/>
      <c r="V42" s="213"/>
      <c r="W42" s="214"/>
      <c r="X42" s="73"/>
      <c r="AA42" s="122" t="s">
        <v>13</v>
      </c>
      <c r="AB42" s="123" t="s">
        <v>21</v>
      </c>
      <c r="AC42" s="122" t="s">
        <v>13</v>
      </c>
      <c r="AD42" s="122" t="s">
        <v>82</v>
      </c>
      <c r="AE42" s="122" t="s">
        <v>25</v>
      </c>
      <c r="AF42" s="122" t="s">
        <v>23</v>
      </c>
      <c r="AG42" s="122" t="s">
        <v>14</v>
      </c>
      <c r="AH42" s="122" t="s">
        <v>15</v>
      </c>
      <c r="AI42" s="122" t="s">
        <v>17</v>
      </c>
      <c r="AJ42" s="122" t="s">
        <v>18</v>
      </c>
      <c r="AK42" s="122" t="s">
        <v>8</v>
      </c>
      <c r="AL42" s="122" t="s">
        <v>16</v>
      </c>
      <c r="AM42" s="122" t="s">
        <v>19</v>
      </c>
      <c r="AN42" s="122" t="s">
        <v>22</v>
      </c>
      <c r="AO42" s="122" t="s">
        <v>63</v>
      </c>
      <c r="AP42" s="122" t="s">
        <v>10</v>
      </c>
      <c r="AQ42" s="122" t="s">
        <v>20</v>
      </c>
      <c r="AS42" s="134" t="s">
        <v>13</v>
      </c>
      <c r="AT42" s="135" t="s">
        <v>82</v>
      </c>
      <c r="AU42" s="135" t="s">
        <v>25</v>
      </c>
      <c r="AV42" s="135" t="s">
        <v>23</v>
      </c>
      <c r="AW42" s="135" t="s">
        <v>14</v>
      </c>
      <c r="AX42" s="135" t="s">
        <v>15</v>
      </c>
      <c r="AY42" s="135" t="s">
        <v>17</v>
      </c>
      <c r="AZ42" s="135" t="s">
        <v>18</v>
      </c>
      <c r="BA42" s="134" t="s">
        <v>8</v>
      </c>
      <c r="BB42" s="135" t="s">
        <v>16</v>
      </c>
      <c r="BC42" s="135" t="s">
        <v>19</v>
      </c>
      <c r="BD42" s="135" t="s">
        <v>22</v>
      </c>
      <c r="BE42" s="135" t="s">
        <v>63</v>
      </c>
      <c r="BF42" s="135" t="s">
        <v>10</v>
      </c>
      <c r="BG42" s="135" t="s">
        <v>20</v>
      </c>
      <c r="BI42" s="136" t="s">
        <v>13</v>
      </c>
      <c r="BJ42" s="137" t="s">
        <v>82</v>
      </c>
      <c r="BK42" s="137" t="s">
        <v>25</v>
      </c>
      <c r="BL42" s="137" t="s">
        <v>23</v>
      </c>
      <c r="BM42" s="137" t="s">
        <v>14</v>
      </c>
      <c r="BN42" s="137" t="s">
        <v>15</v>
      </c>
      <c r="BO42" s="137" t="s">
        <v>17</v>
      </c>
      <c r="BP42" s="137" t="s">
        <v>18</v>
      </c>
      <c r="BQ42" s="136" t="s">
        <v>8</v>
      </c>
      <c r="BR42" s="137" t="s">
        <v>16</v>
      </c>
      <c r="BS42" s="137" t="s">
        <v>19</v>
      </c>
      <c r="BT42" s="137" t="s">
        <v>22</v>
      </c>
      <c r="BU42" s="137" t="s">
        <v>63</v>
      </c>
      <c r="BV42" s="137" t="s">
        <v>10</v>
      </c>
      <c r="BW42" s="137" t="s">
        <v>20</v>
      </c>
      <c r="BY42" s="138" t="s">
        <v>12</v>
      </c>
      <c r="BZ42" s="138" t="s">
        <v>25</v>
      </c>
      <c r="CA42" s="138" t="s">
        <v>23</v>
      </c>
      <c r="CB42" s="138" t="s">
        <v>14</v>
      </c>
      <c r="CC42" s="138" t="s">
        <v>15</v>
      </c>
      <c r="CD42" s="138" t="s">
        <v>17</v>
      </c>
      <c r="CE42" s="138" t="s">
        <v>18</v>
      </c>
      <c r="CF42" s="139" t="s">
        <v>8</v>
      </c>
      <c r="CG42" s="138" t="s">
        <v>16</v>
      </c>
      <c r="CH42" s="138" t="s">
        <v>19</v>
      </c>
      <c r="CI42" s="138" t="s">
        <v>22</v>
      </c>
      <c r="CJ42" s="138" t="s">
        <v>63</v>
      </c>
      <c r="CK42" s="138" t="s">
        <v>10</v>
      </c>
      <c r="CL42" s="138" t="s">
        <v>20</v>
      </c>
      <c r="CN42" s="140" t="s">
        <v>25</v>
      </c>
      <c r="CO42" s="140" t="s">
        <v>23</v>
      </c>
      <c r="CP42" s="140" t="s">
        <v>14</v>
      </c>
      <c r="CQ42" s="140" t="s">
        <v>15</v>
      </c>
      <c r="CR42" s="140" t="s">
        <v>17</v>
      </c>
      <c r="CS42" s="140" t="s">
        <v>18</v>
      </c>
      <c r="CT42" s="141" t="s">
        <v>8</v>
      </c>
      <c r="CU42" s="140" t="s">
        <v>16</v>
      </c>
      <c r="CV42" s="140" t="s">
        <v>19</v>
      </c>
      <c r="CW42" s="140" t="s">
        <v>9</v>
      </c>
      <c r="CX42" s="140" t="s">
        <v>63</v>
      </c>
      <c r="CY42" s="140" t="s">
        <v>10</v>
      </c>
      <c r="CZ42" s="140" t="s">
        <v>20</v>
      </c>
      <c r="DA42" s="20"/>
      <c r="DB42" s="143" t="s">
        <v>25</v>
      </c>
      <c r="DC42" s="143" t="s">
        <v>23</v>
      </c>
      <c r="DD42" s="143" t="s">
        <v>14</v>
      </c>
      <c r="DE42" s="143" t="s">
        <v>15</v>
      </c>
      <c r="DF42" s="143" t="s">
        <v>17</v>
      </c>
      <c r="DG42" s="143" t="s">
        <v>18</v>
      </c>
      <c r="DH42" s="144" t="s">
        <v>8</v>
      </c>
      <c r="DI42" s="143" t="s">
        <v>16</v>
      </c>
      <c r="DJ42" s="143" t="s">
        <v>19</v>
      </c>
      <c r="DK42" s="143" t="s">
        <v>9</v>
      </c>
      <c r="DL42" s="143" t="s">
        <v>63</v>
      </c>
      <c r="DM42" s="143" t="s">
        <v>10</v>
      </c>
      <c r="DN42" s="143" t="s">
        <v>20</v>
      </c>
      <c r="DP42" s="145" t="s">
        <v>25</v>
      </c>
      <c r="DQ42" s="145" t="s">
        <v>23</v>
      </c>
      <c r="DR42" s="145" t="s">
        <v>14</v>
      </c>
      <c r="DS42" s="145" t="s">
        <v>15</v>
      </c>
      <c r="DT42" s="145" t="s">
        <v>17</v>
      </c>
      <c r="DU42" s="145" t="s">
        <v>18</v>
      </c>
      <c r="DV42" s="146" t="s">
        <v>8</v>
      </c>
      <c r="DW42" s="145" t="s">
        <v>16</v>
      </c>
      <c r="DX42" s="145" t="s">
        <v>19</v>
      </c>
      <c r="DY42" s="145" t="s">
        <v>9</v>
      </c>
      <c r="DZ42" s="145" t="s">
        <v>63</v>
      </c>
      <c r="EA42" s="145" t="s">
        <v>10</v>
      </c>
      <c r="EB42" s="145" t="s">
        <v>20</v>
      </c>
    </row>
    <row r="43" spans="1:140" ht="48" customHeight="1">
      <c r="A43" s="225"/>
      <c r="B43" s="124" t="s">
        <v>13</v>
      </c>
      <c r="C43" s="94" t="s">
        <v>89</v>
      </c>
      <c r="D43" s="99" t="s">
        <v>96</v>
      </c>
      <c r="E43" s="100" t="s">
        <v>103</v>
      </c>
      <c r="F43" s="101" t="s">
        <v>54</v>
      </c>
      <c r="G43" s="102" t="s">
        <v>55</v>
      </c>
      <c r="H43" s="104" t="s">
        <v>56</v>
      </c>
      <c r="I43" s="105" t="s">
        <v>57</v>
      </c>
      <c r="J43" s="148" t="s">
        <v>116</v>
      </c>
      <c r="K43" s="151" t="s">
        <v>111</v>
      </c>
      <c r="N43" s="22" t="s">
        <v>13</v>
      </c>
      <c r="O43" s="22" t="s">
        <v>79</v>
      </c>
      <c r="P43" s="22" t="s">
        <v>80</v>
      </c>
      <c r="Q43" s="22" t="s">
        <v>107</v>
      </c>
      <c r="R43" s="22" t="s">
        <v>0</v>
      </c>
      <c r="S43" s="22" t="s">
        <v>1</v>
      </c>
      <c r="T43" s="22" t="s">
        <v>2</v>
      </c>
      <c r="U43" s="22" t="s">
        <v>3</v>
      </c>
      <c r="V43" s="55" t="s">
        <v>65</v>
      </c>
      <c r="W43" s="33" t="s">
        <v>52</v>
      </c>
      <c r="X43" s="74"/>
      <c r="AA43" s="124"/>
      <c r="AB43" s="125"/>
      <c r="AC43" s="124"/>
      <c r="AD43" s="126"/>
      <c r="AE43" s="127"/>
      <c r="AF43" s="127"/>
      <c r="AG43" s="128"/>
      <c r="AH43" s="128"/>
      <c r="AI43" s="128"/>
      <c r="AJ43" s="128"/>
      <c r="AK43" s="124"/>
      <c r="AL43" s="124"/>
      <c r="AM43" s="124"/>
      <c r="AN43" s="128"/>
      <c r="AO43" s="128"/>
      <c r="AP43" s="128"/>
      <c r="AQ43" s="128"/>
      <c r="AS43" s="124"/>
      <c r="AT43" s="126"/>
      <c r="AU43" s="127"/>
      <c r="AV43" s="127"/>
      <c r="AW43" s="128"/>
      <c r="AX43" s="128"/>
      <c r="AY43" s="128"/>
      <c r="AZ43" s="128"/>
      <c r="BA43" s="124"/>
      <c r="BB43" s="124"/>
      <c r="BC43" s="124"/>
      <c r="BD43" s="128"/>
      <c r="BE43" s="128"/>
      <c r="BF43" s="128"/>
      <c r="BG43" s="128"/>
      <c r="BI43" s="124"/>
      <c r="BJ43" s="126"/>
      <c r="BK43" s="127"/>
      <c r="BL43" s="127"/>
      <c r="BM43" s="128"/>
      <c r="BN43" s="128"/>
      <c r="BO43" s="128"/>
      <c r="BP43" s="128"/>
      <c r="BQ43" s="124"/>
      <c r="BR43" s="124"/>
      <c r="BS43" s="124"/>
      <c r="BT43" s="128"/>
      <c r="BU43" s="128"/>
      <c r="BV43" s="128"/>
      <c r="BW43" s="128"/>
      <c r="BY43" s="126"/>
      <c r="BZ43" s="127"/>
      <c r="CA43" s="127"/>
      <c r="CB43" s="128"/>
      <c r="CC43" s="128"/>
      <c r="CD43" s="128"/>
      <c r="CE43" s="128"/>
      <c r="CF43" s="124"/>
      <c r="CG43" s="124"/>
      <c r="CH43" s="124"/>
      <c r="CI43" s="128"/>
      <c r="CJ43" s="128"/>
      <c r="CK43" s="128"/>
      <c r="CL43" s="128"/>
      <c r="CN43" s="127"/>
      <c r="CO43" s="127"/>
      <c r="CP43" s="128"/>
      <c r="CQ43" s="128"/>
      <c r="CR43" s="128"/>
      <c r="CS43" s="128"/>
      <c r="CT43" s="124"/>
      <c r="CU43" s="124"/>
      <c r="CV43" s="124"/>
      <c r="CW43" s="128"/>
      <c r="CX43" s="128"/>
      <c r="CY43" s="128"/>
      <c r="CZ43" s="128"/>
      <c r="DA43" s="20"/>
      <c r="DB43" s="127"/>
      <c r="DC43" s="127"/>
      <c r="DD43" s="128"/>
      <c r="DE43" s="128"/>
      <c r="DF43" s="128"/>
      <c r="DG43" s="128"/>
      <c r="DH43" s="124"/>
      <c r="DI43" s="124"/>
      <c r="DJ43" s="124"/>
      <c r="DK43" s="128"/>
      <c r="DL43" s="128"/>
      <c r="DM43" s="128"/>
      <c r="DN43" s="128"/>
      <c r="DP43" s="127"/>
      <c r="DQ43" s="127"/>
      <c r="DR43" s="128"/>
      <c r="DS43" s="128"/>
      <c r="DT43" s="128"/>
      <c r="DU43" s="128"/>
      <c r="DV43" s="124"/>
      <c r="DW43" s="124"/>
      <c r="DX43" s="124"/>
      <c r="DY43" s="128"/>
      <c r="DZ43" s="128"/>
      <c r="EA43" s="128"/>
      <c r="EB43" s="128"/>
    </row>
    <row r="44" spans="1:140">
      <c r="A44" s="225"/>
      <c r="B44" s="124" t="s">
        <v>64</v>
      </c>
      <c r="C44" s="128">
        <f t="shared" ref="C44" si="25">zakup_domyslny_wartosc</f>
        <v>100000</v>
      </c>
      <c r="D44" s="128">
        <f t="shared" ref="D44:K44" si="26">zakup_domyslny_wartosc</f>
        <v>100000</v>
      </c>
      <c r="E44" s="128">
        <f t="shared" si="26"/>
        <v>100000</v>
      </c>
      <c r="F44" s="128">
        <f t="shared" si="26"/>
        <v>100000</v>
      </c>
      <c r="G44" s="128">
        <f t="shared" si="26"/>
        <v>100000</v>
      </c>
      <c r="H44" s="128">
        <f t="shared" si="26"/>
        <v>100000</v>
      </c>
      <c r="I44" s="128">
        <f t="shared" si="26"/>
        <v>100000</v>
      </c>
      <c r="J44" s="128">
        <f t="shared" si="26"/>
        <v>100000</v>
      </c>
      <c r="K44" s="128">
        <f t="shared" si="26"/>
        <v>100000</v>
      </c>
      <c r="N44" s="22" t="s">
        <v>64</v>
      </c>
      <c r="O44" s="25">
        <f t="shared" ref="O44" si="27">C44/zakup_domyslny_wartosc-1</f>
        <v>0</v>
      </c>
      <c r="P44" s="25">
        <f t="shared" ref="P44" si="28">D44/zakup_domyslny_wartosc-1</f>
        <v>0</v>
      </c>
      <c r="Q44" s="25">
        <f t="shared" ref="Q44" si="29">E44/zakup_domyslny_wartosc-1</f>
        <v>0</v>
      </c>
      <c r="R44" s="25">
        <f t="shared" ref="R44:R75" si="30">F44/zakup_domyslny_wartosc-1</f>
        <v>0</v>
      </c>
      <c r="S44" s="25">
        <f t="shared" ref="S44:S75" si="31">G44/zakup_domyslny_wartosc-1</f>
        <v>0</v>
      </c>
      <c r="T44" s="25">
        <f t="shared" ref="T44:T75" si="32">H44/zakup_domyslny_wartosc-1</f>
        <v>0</v>
      </c>
      <c r="U44" s="25">
        <f t="shared" ref="U44:U75" si="33">I44/zakup_domyslny_wartosc-1</f>
        <v>0</v>
      </c>
      <c r="V44" s="25">
        <f t="shared" ref="V44:V75" si="34">J44/zakup_domyslny_wartosc-1</f>
        <v>0</v>
      </c>
      <c r="W44" s="25">
        <f>K44/zakup_domyslny_wartosc-1</f>
        <v>0</v>
      </c>
      <c r="X44" s="36"/>
      <c r="AA44" s="124">
        <v>1</v>
      </c>
      <c r="AB44" s="128">
        <f t="shared" ref="AB44:AB75" si="35">zakup_domyslny_wartosc*IFERROR((INDEX(scenariusz_I_inflacja_skumulowana,MATCH(ROUNDDOWN(AA44/12,0),scenariusz_I_rok,0))+1),1)
*(1+MOD(AA44,12)*INDEX(scenariusz_I_inflacja,MATCH(ROUNDUP(AA44/12,0),scenariusz_I_rok,0))/12)</f>
        <v>100233.33333333333</v>
      </c>
      <c r="AC44" s="124">
        <v>1</v>
      </c>
      <c r="AD44" s="129"/>
      <c r="AE44" s="127">
        <f>zakup_domyslny_ilosc</f>
        <v>1000</v>
      </c>
      <c r="AF44" s="128">
        <f>zakup_domyslny_wartosc</f>
        <v>100000</v>
      </c>
      <c r="AG44" s="128">
        <f>zakup_domyslny_wartosc</f>
        <v>100000</v>
      </c>
      <c r="AH44" s="128">
        <f>AG44</f>
        <v>100000</v>
      </c>
      <c r="AI44" s="130">
        <f t="shared" ref="AI44:AI75" si="36">IF(AND(MOD($AA44,zapadalnosc_ROR)&lt;=zmiana_oprocentowania_co_ile_mc_ROR,MOD($AA44,zapadalnosc_ROR)&lt;&gt;0),proc_I_okres_ROR,(marza_ROR+AD44))</f>
        <v>4.2500000000000003E-2</v>
      </c>
      <c r="AJ44" s="128">
        <f t="shared" ref="AJ44:AJ75" si="37">AH44*(1+AI44*IF(MOD($AA44,wyplata_odsetek_ROR)&lt;&gt;0,MOD($AA44,wyplata_odsetek_ROR),wyplata_odsetek_ROR)/12)</f>
        <v>100354.16666666667</v>
      </c>
      <c r="AK44" s="128" t="str">
        <f t="shared" ref="AK44:AK75" si="38">IF(MOD($AA44,zapadalnosc_ROR)=0,"tak","nie")</f>
        <v>nie</v>
      </c>
      <c r="AL44" s="128">
        <f t="shared" ref="AL44:AL75" si="39">IF(MOD($AA44,zapadalnosc_ROR)=0,0,
IF(AND(MOD($AA44,zapadalnosc_ROR)&lt;zapadalnosc_ROR,MOD($AA44,zapadalnosc_ROR)&lt;=koszt_wczesniejszy_wykup_ochrona_ROR),
MIN(AJ44-AG44,AE44*koszt_wczesniejszy_wykup_ROR),AE44*koszt_wczesniejszy_wykup_ROR))</f>
        <v>354.16666666667152</v>
      </c>
      <c r="AM44" s="128">
        <f t="shared" ref="AM44:AM55" si="40">AJ44-AL44
-(AJ44-AG44-AL44)*podatek_Belki</f>
        <v>100000</v>
      </c>
      <c r="AN44" s="128">
        <f t="shared" ref="AN44:AN75" si="41">IF(MOD($AA44,wyplata_odsetek_ROR)=0, (AJ44-AG44)*(1-podatek_Belki),0)
+IF(AK44="tak",ROUNDDOWN(AJ44/zamiana_ROR,0)*(100-zamiana_ROR),0)</f>
        <v>286.87500000000392</v>
      </c>
      <c r="AO44" s="130">
        <f t="shared" ref="AO44:AO75" si="42">INDEX(scenariusz_I_konto,MATCH(ROUNDUP($AA44/12,0),scenariusz_I_rok,0))</f>
        <v>4.2500000000000003E-2</v>
      </c>
      <c r="AP44" s="128">
        <f t="shared" ref="AP44:AP75" si="43">(AP43-IF(AK43="tak",ROUNDDOWN(AP43/100,0)*100,0))*
(1+AO44/12*(1-podatek_Belki))+AN44</f>
        <v>286.87500000000392</v>
      </c>
      <c r="AQ44" s="128">
        <f t="shared" ref="AQ44:AQ55" si="44">AP43*(1+AO44/12*(1-podatek_Belki))+AM44</f>
        <v>100000</v>
      </c>
      <c r="AS44" s="124">
        <v>1</v>
      </c>
      <c r="AT44" s="129"/>
      <c r="AU44" s="127">
        <f>zakup_domyslny_ilosc</f>
        <v>1000</v>
      </c>
      <c r="AV44" s="128">
        <f>zakup_domyslny_wartosc</f>
        <v>100000</v>
      </c>
      <c r="AW44" s="128">
        <f>zakup_domyslny_wartosc</f>
        <v>100000</v>
      </c>
      <c r="AX44" s="128">
        <f>AW44</f>
        <v>100000</v>
      </c>
      <c r="AY44" s="130">
        <f t="shared" ref="AY44:AY75" si="45">IF(AND(MOD($AA44,zapadalnosc_DOR)&lt;=zmiana_oprocentowania_co_ile_mc_DOR,MOD($AA44,zapadalnosc_DOR)&lt;&gt;0),proc_I_okres_DOR,(marza_DOR+AT44))</f>
        <v>4.3999999999999997E-2</v>
      </c>
      <c r="AZ44" s="128">
        <f t="shared" ref="AZ44:AZ75" si="46">AX44*(1+AY44*IF(MOD($AA44,wyplata_odsetek_DOR)&lt;&gt;0,MOD($AA44,wyplata_odsetek_DOR),wyplata_odsetek_DOR)/12)</f>
        <v>100366.66666666667</v>
      </c>
      <c r="BA44" s="128" t="str">
        <f t="shared" ref="BA44:BA75" si="47">IF(MOD($AA44,zapadalnosc_DOR)=0,"tak","nie")</f>
        <v>nie</v>
      </c>
      <c r="BB44" s="128">
        <f t="shared" ref="BB44:BB75" si="48">IF(MOD($AA44,zapadalnosc_DOR)=0,0,
IF(AND(MOD($AA44,zapadalnosc_DOR)&lt;zapadalnosc_DOR,MOD($AA44,zapadalnosc_DOR)&lt;=koszt_wczesniejszy_wykup_ochrona_DOR),
MIN(AZ44-AW44,AU44*koszt_wczesniejszy_wykup_DOR),AU44*koszt_wczesniejszy_wykup_DOR))</f>
        <v>366.66666666667152</v>
      </c>
      <c r="BC44" s="128">
        <f t="shared" ref="BC44:BC55" si="49">AZ44-BB44
-(AZ44-AW44-BB44)*podatek_Belki</f>
        <v>100000</v>
      </c>
      <c r="BD44" s="128">
        <f t="shared" ref="BD44:BD75" si="50">IF(MOD($AA44,wyplata_odsetek_DOR)=0, (AZ44-AW44)*(1-podatek_Belki),0)
+IF(BA44="tak",ROUNDDOWN(AZ44/zamiana_DOR,0)*(100-zamiana_DOR),0)</f>
        <v>297.00000000000392</v>
      </c>
      <c r="BE44" s="130">
        <f t="shared" ref="BE44:BE107" si="51">INDEX(scenariusz_I_konto,MATCH(ROUNDUP($AA44/12,0),scenariusz_I_rok,0))</f>
        <v>4.2500000000000003E-2</v>
      </c>
      <c r="BF44" s="128">
        <f t="shared" ref="BF44:BF75" si="52">(BF43-IF(BA43="tak",ROUNDDOWN(BF43/100,0)*100,0))*
(1+BE44/12*(1-podatek_Belki))+BD44</f>
        <v>297.00000000000392</v>
      </c>
      <c r="BG44" s="128">
        <f t="shared" ref="BG44:BG55" si="53">BF43*(1+BE44/12*(1-podatek_Belki))+BC44</f>
        <v>100000</v>
      </c>
      <c r="BI44" s="124">
        <v>1</v>
      </c>
      <c r="BJ44" s="129"/>
      <c r="BK44" s="127">
        <f>zakup_domyslny_ilosc</f>
        <v>1000</v>
      </c>
      <c r="BL44" s="128">
        <f>zakup_domyslny_wartosc</f>
        <v>100000</v>
      </c>
      <c r="BM44" s="128">
        <f>zakup_domyslny_wartosc</f>
        <v>100000</v>
      </c>
      <c r="BN44" s="128">
        <f>BM44</f>
        <v>100000</v>
      </c>
      <c r="BO44" s="130">
        <f t="shared" ref="BO44:BO75" si="54">IF(AND(MOD($AA44,zapadalnosc_TOS)&lt;=12,MOD($AA44,zapadalnosc_TOS)&lt;&gt;0),proc_I_okres_TOS,(marza_TOS+proc_I_okres_TOS))</f>
        <v>4.65E-2</v>
      </c>
      <c r="BP44" s="128">
        <f t="shared" ref="BP44:BP75" si="55">BN44*(1+BO44*IF(MOD($AA44,12)&lt;&gt;0,MOD($AA44,12),12)/12)</f>
        <v>100387.50000000001</v>
      </c>
      <c r="BQ44" s="128" t="str">
        <f t="shared" ref="BQ44:BQ75" si="56">IF(MOD($AA44,zapadalnosc_TOS)=0,"tak","nie")</f>
        <v>nie</v>
      </c>
      <c r="BR44" s="128">
        <f t="shared" ref="BR44:BR75" si="57">IF(MOD($AA44,zapadalnosc_TOS)=0,0,
IF(AND(MOD($AA44,zapadalnosc_TOS)&lt;zapadalnosc_TOS,MOD($AA44,zapadalnosc_TOS)&lt;=koszt_wczesniejszy_wykup_ochrona_TOS),
MIN(BP44-BM44,BK44*koszt_wczesniejszy_wykup_TOS),BK44*koszt_wczesniejszy_wykup_TOS))</f>
        <v>387.50000000001455</v>
      </c>
      <c r="BS44" s="128">
        <f t="shared" ref="BS44:BS55" si="58">BP44-BR44
-(BP44-BM44-BR44)*podatek_Belki</f>
        <v>100000</v>
      </c>
      <c r="BT44" s="128">
        <f>IF(AND(BQ44="tak",BL45&lt;&gt;""),
 BS44-BL45,
0)</f>
        <v>0</v>
      </c>
      <c r="BU44" s="130">
        <f t="shared" ref="BU44:BU75" si="59">INDEX(scenariusz_I_konto,MATCH(ROUNDUP($AA44/12,0),scenariusz_I_rok,0))</f>
        <v>4.2500000000000003E-2</v>
      </c>
      <c r="BV44" s="128">
        <f t="shared" ref="BV44:BV107" si="60">BV43*(1+BU44/12*(1-podatek_Belki))+BT44</f>
        <v>0</v>
      </c>
      <c r="BW44" s="128">
        <f t="shared" ref="BW44:BW87" si="61">BV43*(1+BU44/12*(1-podatek_Belki))+BS44</f>
        <v>100000</v>
      </c>
      <c r="BY44" s="129"/>
      <c r="BZ44" s="127">
        <f>zakup_domyslny_ilosc</f>
        <v>1000</v>
      </c>
      <c r="CA44" s="128">
        <f>zakup_domyslny_wartosc</f>
        <v>100000</v>
      </c>
      <c r="CB44" s="128">
        <f>zakup_domyslny_wartosc</f>
        <v>100000</v>
      </c>
      <c r="CC44" s="128">
        <f>CB44</f>
        <v>100000</v>
      </c>
      <c r="CD44" s="130">
        <f t="shared" ref="CD44:CD75" si="62">IF(AND(MOD($AA44,zapadalnosc_COI)&lt;=zmiana_oprocentowania_co_ile_mc_COI,MOD($AA44,zapadalnosc_COI)&lt;&gt;0),proc_I_okres_COI,(marza_COI+BY44))</f>
        <v>0.05</v>
      </c>
      <c r="CE44" s="128">
        <f t="shared" ref="CE44:CE75" si="63">CC44*(1+CD44*IF(MOD($AA44,wyplata_odsetek_COI)&lt;&gt;0,MOD($AA44,wyplata_odsetek_COI),wyplata_odsetek_COI)/12)</f>
        <v>100416.66666666667</v>
      </c>
      <c r="CF44" s="128" t="str">
        <f t="shared" ref="CF44:CF75" si="64">IF(MOD($AA44,zapadalnosc_COI)=0,"tak","nie")</f>
        <v>nie</v>
      </c>
      <c r="CG44" s="128">
        <f t="shared" ref="CG44:CG75" si="65">IF(MOD($AA44,zapadalnosc_COI)=0,0,
IF(AND(MOD($AA44,zapadalnosc_COI)&lt;zapadalnosc_COI,MOD($AA44,zapadalnosc_COI)&lt;=koszt_wczesniejszy_wykup_ochrona_COI),
MIN(CE44-CB44,BZ44*koszt_wczesniejszy_wykup_COI),BZ44*koszt_wczesniejszy_wykup_COI))</f>
        <v>416.66666666667152</v>
      </c>
      <c r="CH44" s="128">
        <f t="shared" ref="CH44:CH55" si="66">CE44-CG44
-(CE44-CB44-CG44)*podatek_Belki</f>
        <v>100000</v>
      </c>
      <c r="CI44" s="128">
        <f t="shared" ref="CI44:CI75" si="67" xml:space="preserve"> IF(CF44="tak",
CH44-ROUNDDOWN(CH44/zamiana_COI,0)*zamiana_COI,
IF(MOD($AA44,wyplata_odsetek_COI)=0, (CE44-CB44)*(1-podatek_Belki),0))</f>
        <v>0</v>
      </c>
      <c r="CJ44" s="130">
        <f t="shared" ref="CJ44:CJ107" si="68">INDEX(scenariusz_I_konto,MATCH(ROUNDUP($AA44/12,0),scenariusz_I_rok,0))</f>
        <v>4.2500000000000003E-2</v>
      </c>
      <c r="CK44" s="128">
        <f t="shared" ref="CK44:CK75" si="69">(CK43-IF(CF43="tak",ROUNDDOWN(CK43/100,0)*100,0))*
(1+CJ44/12*(1-podatek_Belki))+CI44</f>
        <v>0</v>
      </c>
      <c r="CL44" s="128">
        <f t="shared" ref="CL44:CL75" si="70">(CK43-IF(MOD($AA43,zapadalnosc_COI)=0,ROUNDDOWN(CK43/100,0)*100,0))*(1+CJ44/12*(1-podatek_Belki))+CH44</f>
        <v>100000</v>
      </c>
      <c r="CN44" s="127">
        <f>zakup_domyslny_ilosc</f>
        <v>1000</v>
      </c>
      <c r="CO44" s="128">
        <f>zakup_domyslny_wartosc</f>
        <v>100000</v>
      </c>
      <c r="CP44" s="128">
        <f>zakup_domyslny_wartosc</f>
        <v>100000</v>
      </c>
      <c r="CQ44" s="128">
        <f>zakup_domyslny_wartosc</f>
        <v>100000</v>
      </c>
      <c r="CR44" s="130">
        <f t="shared" ref="CR44:CR75" si="71">IF(AND(MOD($AA44,zapadalnosc_EDO)&lt;=12,MOD($AA44,zapadalnosc_EDO)&lt;&gt;0),proc_I_okres_EDO,(marza_EDO+$BY44))</f>
        <v>5.6000000000000001E-2</v>
      </c>
      <c r="CS44" s="128">
        <f t="shared" ref="CS44:CS75" si="72">CQ44*(1+CR44*IF(MOD($AA44,12)&lt;&gt;0,MOD($AA44,12),12)/12)</f>
        <v>100466.66666666666</v>
      </c>
      <c r="CT44" s="128" t="str">
        <f t="shared" ref="CT44:CT75" si="73">IF(MOD($AA44,zapadalnosc_EDO)=0,"tak","nie")</f>
        <v>nie</v>
      </c>
      <c r="CU44" s="128">
        <f t="shared" ref="CU44:CU75" si="74">IF(AND(MOD($AA44,zapadalnosc_EDO)&lt;zapadalnosc_EDO,MOD($AA44,zapadalnosc_EDO)&lt;&gt;0),MIN(CS44-CP44,CN44*koszt_wczesniejszy_wykup_EDO),0)</f>
        <v>466.66666666665697</v>
      </c>
      <c r="CV44" s="128">
        <f t="shared" ref="CV44:CV75" si="75">CS44-CU44
-(CS44-CP44-CU44)*podatek_Belki</f>
        <v>100000</v>
      </c>
      <c r="CW44" s="128">
        <f t="shared" ref="CW44:CW107" si="76">IF(AND(CT44="tak",CO45&lt;&gt;""),
 CV44-CO45,
0)</f>
        <v>0</v>
      </c>
      <c r="CX44" s="130">
        <f t="shared" ref="CX44:CX75" si="77">INDEX(scenariusz_I_konto,MATCH(ROUNDUP($AA44/12,0),scenariusz_I_rok,0))</f>
        <v>4.2500000000000003E-2</v>
      </c>
      <c r="CY44" s="128">
        <f t="shared" ref="CY44:CY75" si="78">CY43*(1+CX44/12*(1-podatek_Belki))+CW44</f>
        <v>0</v>
      </c>
      <c r="CZ44" s="128">
        <f t="shared" ref="CZ44:CZ75" si="79">CY43*(1+CX44/12*(1-podatek_Belki))+CV44</f>
        <v>100000</v>
      </c>
      <c r="DA44" s="20"/>
      <c r="DB44" s="127">
        <f>zakup_domyslny_ilosc</f>
        <v>1000</v>
      </c>
      <c r="DC44" s="128">
        <f>zakup_domyslny_wartosc</f>
        <v>100000</v>
      </c>
      <c r="DD44" s="128">
        <f>zakup_domyslny_wartosc</f>
        <v>100000</v>
      </c>
      <c r="DE44" s="128">
        <f>zakup_domyslny_wartosc</f>
        <v>100000</v>
      </c>
      <c r="DF44" s="130">
        <f t="shared" ref="DF44:DF75" si="80">IF(AND(MOD($AA44,zapadalnosc_ROS)&lt;=12,MOD($AA44,zapadalnosc_ROS)&lt;&gt;0),proc_I_okres_ROS,(marza_ROS+$BY44))</f>
        <v>5.1999999999999998E-2</v>
      </c>
      <c r="DG44" s="128">
        <f t="shared" ref="DG44:DG75" si="81">DE44*(1+DF44*IF(MOD($AA44,12)&lt;&gt;0,MOD($AA44,12),12)/12)</f>
        <v>100433.33333333333</v>
      </c>
      <c r="DH44" s="128" t="str">
        <f t="shared" ref="DH44:DH75" si="82">IF(MOD($AA44,zapadalnosc_ROS)=0,"tak","nie")</f>
        <v>nie</v>
      </c>
      <c r="DI44" s="128">
        <f t="shared" ref="DI44:DI75" si="83">IF(AND(MOD($AA44,zapadalnosc_ROS)&lt;zapadalnosc_ROS,MOD($AA44,zapadalnosc_ROS)&lt;&gt;0),MIN(DG44-DD44,DB44*koszt_wczesniejszy_wykup_ROS),0)</f>
        <v>433.33333333332848</v>
      </c>
      <c r="DJ44" s="128">
        <f t="shared" ref="DJ44:DJ75" si="84">DG44-DI44
-(DG44-DD44-DI44)*podatek_Belki</f>
        <v>100000</v>
      </c>
      <c r="DK44" s="128">
        <f t="shared" ref="DK44:DK107" si="85">IF(AND(DH44="tak",DC45&lt;&gt;""),
 DJ44-DC45,
0)</f>
        <v>0</v>
      </c>
      <c r="DL44" s="130">
        <f t="shared" ref="DL44:DL75" si="86">INDEX(scenariusz_I_konto,MATCH(ROUNDUP($AA44/12,0),scenariusz_I_rok,0))</f>
        <v>4.2500000000000003E-2</v>
      </c>
      <c r="DM44" s="128">
        <f t="shared" ref="DM44:DM75" si="87">DM43*(1+DL44/12*(1-podatek_Belki))+DK44</f>
        <v>0</v>
      </c>
      <c r="DN44" s="128">
        <f t="shared" ref="DN44:DN75" si="88">DM43*(1+DL44/12*(1-podatek_Belki))+DJ44</f>
        <v>100000</v>
      </c>
      <c r="DP44" s="127">
        <f>zakup_domyslny_ilosc</f>
        <v>1000</v>
      </c>
      <c r="DQ44" s="128">
        <f>zakup_domyslny_wartosc</f>
        <v>100000</v>
      </c>
      <c r="DR44" s="128">
        <f>zakup_domyslny_wartosc</f>
        <v>100000</v>
      </c>
      <c r="DS44" s="128">
        <f>zakup_domyslny_wartosc</f>
        <v>100000</v>
      </c>
      <c r="DT44" s="130">
        <f t="shared" ref="DT44:DT75" si="89">IF(AND(MOD($AA44,zapadalnosc_ROD)&lt;=12,MOD($AA44,zapadalnosc_ROD)&lt;&gt;0),proc_I_okres_ROD,(marza_ROD+$BY44))</f>
        <v>5.8500000000000003E-2</v>
      </c>
      <c r="DU44" s="128">
        <f t="shared" ref="DU44:DU75" si="90">DS44*(1+DT44*IF(MOD($AA44,12)&lt;&gt;0,MOD($AA44,12),12)/12)</f>
        <v>100487.5</v>
      </c>
      <c r="DV44" s="128" t="str">
        <f t="shared" ref="DV44:DV75" si="91">IF(MOD($AA44,zapadalnosc_ROD)=0,"tak","nie")</f>
        <v>nie</v>
      </c>
      <c r="DW44" s="128">
        <f t="shared" ref="DW44:DW75" si="92">IF(AND(MOD($AA44,zapadalnosc_ROD)&lt;zapadalnosc_ROD,MOD($AA44,zapadalnosc_ROD)&lt;&gt;0),MIN(DU44-DR44,DP44*koszt_wczesniejszy_wykup_ROD),0)</f>
        <v>487.5</v>
      </c>
      <c r="DX44" s="128">
        <f t="shared" ref="DX44:DX107" si="93">DU44-DW44
-(DU44-DR44-DW44)*podatek_Belki</f>
        <v>100000</v>
      </c>
      <c r="DY44" s="128">
        <f t="shared" ref="DY44:DY107" si="94">IF(AND(DV44="tak",DQ45&lt;&gt;""),
 DX44-DQ45,
0)</f>
        <v>0</v>
      </c>
      <c r="DZ44" s="130">
        <f t="shared" ref="DZ44:DZ75" si="95">INDEX(scenariusz_I_konto,MATCH(ROUNDUP($AA44/12,0),scenariusz_I_rok,0))</f>
        <v>4.2500000000000003E-2</v>
      </c>
      <c r="EA44" s="128">
        <f t="shared" ref="EA44:EA75" si="96">EA43*(1+DZ44/12*(1-podatek_Belki))+DY44</f>
        <v>0</v>
      </c>
      <c r="EB44" s="128">
        <f t="shared" ref="EB44:EB75" si="97">EA43*(1+DZ44/12*(1-podatek_Belki))+DX44</f>
        <v>100000</v>
      </c>
    </row>
    <row r="45" spans="1:140" ht="14.5" customHeight="1">
      <c r="A45" s="224">
        <f>ROUNDUP(B56/12,0)</f>
        <v>1</v>
      </c>
      <c r="B45" s="188">
        <f t="shared" ref="B45:B76" si="98">AA44</f>
        <v>1</v>
      </c>
      <c r="C45" s="128">
        <f t="shared" ref="C45:C76" si="99">AQ44</f>
        <v>100000</v>
      </c>
      <c r="D45" s="128">
        <f t="shared" ref="D45:D76" si="100">BG44</f>
        <v>100000</v>
      </c>
      <c r="E45" s="128">
        <f t="shared" ref="E45:E76" si="101">BW44</f>
        <v>100000</v>
      </c>
      <c r="F45" s="128">
        <f t="shared" ref="F45:F76" si="102">CL44</f>
        <v>100000</v>
      </c>
      <c r="G45" s="128">
        <f t="shared" ref="G45:G76" si="103">CZ44</f>
        <v>100000</v>
      </c>
      <c r="H45" s="128">
        <f t="shared" ref="H45:H76" si="104">DN44</f>
        <v>100000</v>
      </c>
      <c r="I45" s="128">
        <f t="shared" ref="I45:I76" si="105">EB44</f>
        <v>100000</v>
      </c>
      <c r="J45" s="128">
        <f t="shared" ref="J45:J76" si="106">FV(INDEX(scenariusz_I_konto,MATCH(ROUNDUP(B45/12,0),scenariusz_I_rok,0))/12*(1-podatek_Belki),1,0,-J44,1)</f>
        <v>100286.875</v>
      </c>
      <c r="K45" s="128">
        <f t="shared" ref="K45:K76" si="107">AB44</f>
        <v>100233.33333333333</v>
      </c>
      <c r="M45" s="36"/>
      <c r="N45" s="32">
        <f t="shared" ref="N45:N76" si="108">B45</f>
        <v>1</v>
      </c>
      <c r="O45" s="25">
        <f t="shared" ref="O45:O108" si="109">C45/zakup_domyslny_wartosc-1</f>
        <v>0</v>
      </c>
      <c r="P45" s="25">
        <f t="shared" ref="P45:P108" si="110">D45/zakup_domyslny_wartosc-1</f>
        <v>0</v>
      </c>
      <c r="Q45" s="25">
        <f t="shared" ref="Q45:Q108" si="111">E45/zakup_domyslny_wartosc-1</f>
        <v>0</v>
      </c>
      <c r="R45" s="25">
        <f t="shared" si="30"/>
        <v>0</v>
      </c>
      <c r="S45" s="25">
        <f t="shared" si="31"/>
        <v>0</v>
      </c>
      <c r="T45" s="25">
        <f t="shared" si="32"/>
        <v>0</v>
      </c>
      <c r="U45" s="25">
        <f t="shared" si="33"/>
        <v>0</v>
      </c>
      <c r="V45" s="25">
        <f t="shared" si="34"/>
        <v>2.8687499999999755E-3</v>
      </c>
      <c r="W45" s="25">
        <f t="shared" ref="W45:W75" si="112">K45/zakup_domyslny_wartosc-1</f>
        <v>2.3333333333332984E-3</v>
      </c>
      <c r="X45" s="36"/>
      <c r="AA45" s="124">
        <f t="shared" ref="AA45:AA108" si="113">AA44+1</f>
        <v>2</v>
      </c>
      <c r="AB45" s="128">
        <f t="shared" si="35"/>
        <v>100466.66666666666</v>
      </c>
      <c r="AC45" s="124">
        <f t="shared" ref="AC45:AC108" si="114">AC44+1</f>
        <v>2</v>
      </c>
      <c r="AD45" s="130">
        <f t="shared" ref="AD45:AD76" si="115">MAX(INDEX(scenariusz_I_stopa_NBP,MATCH(ROUNDUP(AC45/12,0),scenariusz_I_rok,0)),0)</f>
        <v>4.2500000000000003E-2</v>
      </c>
      <c r="AE45" s="127">
        <f t="shared" ref="AE45:AE76" si="116">IF(AK44="tak",
ROUNDDOWN(AM44/zamiana_ROR,0)+ROUNDDOWN(AP44/100,0),
AE44)</f>
        <v>1000</v>
      </c>
      <c r="AF45" s="128">
        <f t="shared" ref="AF45:AF76" si="117">IF(AK44="tak",
ROUNDDOWN(AM44/zamiana_ROR,0)*zamiana_ROR+ROUNDDOWN(AP44/100,0)*100,
AF44)</f>
        <v>100000</v>
      </c>
      <c r="AG45" s="128">
        <f>IF(AK44="tak",
AE45*100,
AG44)</f>
        <v>100000</v>
      </c>
      <c r="AH45" s="128">
        <f t="shared" ref="AH45:AH108" si="118">AG45</f>
        <v>100000</v>
      </c>
      <c r="AI45" s="130">
        <f t="shared" si="36"/>
        <v>4.2500000000000003E-2</v>
      </c>
      <c r="AJ45" s="128">
        <f t="shared" si="37"/>
        <v>100354.16666666667</v>
      </c>
      <c r="AK45" s="128" t="str">
        <f t="shared" si="38"/>
        <v>nie</v>
      </c>
      <c r="AL45" s="128">
        <f t="shared" si="39"/>
        <v>500</v>
      </c>
      <c r="AM45" s="128">
        <f t="shared" si="40"/>
        <v>99881.875</v>
      </c>
      <c r="AN45" s="128">
        <f t="shared" si="41"/>
        <v>286.87500000000392</v>
      </c>
      <c r="AO45" s="130">
        <f t="shared" si="42"/>
        <v>4.2500000000000003E-2</v>
      </c>
      <c r="AP45" s="128">
        <f t="shared" si="43"/>
        <v>574.57297265625789</v>
      </c>
      <c r="AQ45" s="128">
        <f t="shared" si="44"/>
        <v>100169.57297265626</v>
      </c>
      <c r="AS45" s="124">
        <f t="shared" ref="AS45:AS108" si="119">AS44+1</f>
        <v>2</v>
      </c>
      <c r="AT45" s="130">
        <f t="shared" ref="AT45:AT108" si="120">MAX(INDEX(scenariusz_I_stopa_NBP,MATCH(ROUNDUP(AS45/12,0),scenariusz_I_rok,0)),0)</f>
        <v>4.2500000000000003E-2</v>
      </c>
      <c r="AU45" s="127">
        <f t="shared" ref="AU45:AU76" si="121">IF(BA44="tak",
ROUNDDOWN(BC44/zamiana_DOR,0)+ROUNDDOWN(BF44/100,0),
AU44)</f>
        <v>1000</v>
      </c>
      <c r="AV45" s="128">
        <f t="shared" ref="AV45:AV76" si="122">IF(BA44="tak",
ROUNDDOWN(BC44/zamiana_DOR,0)*zamiana_DOR+ROUNDDOWN(BF44/100,0)*100,
AV44)</f>
        <v>100000</v>
      </c>
      <c r="AW45" s="128">
        <f>IF(BA44="tak",
AU45*100,
AW44)</f>
        <v>100000</v>
      </c>
      <c r="AX45" s="128">
        <f t="shared" ref="AX45:AX108" si="123">AW45</f>
        <v>100000</v>
      </c>
      <c r="AY45" s="130">
        <f t="shared" si="45"/>
        <v>4.4000000000000004E-2</v>
      </c>
      <c r="AZ45" s="128">
        <f t="shared" si="46"/>
        <v>100366.66666666667</v>
      </c>
      <c r="BA45" s="128" t="str">
        <f t="shared" si="47"/>
        <v>nie</v>
      </c>
      <c r="BB45" s="128">
        <f t="shared" si="48"/>
        <v>700</v>
      </c>
      <c r="BC45" s="128">
        <f t="shared" si="49"/>
        <v>99730</v>
      </c>
      <c r="BD45" s="128">
        <f t="shared" si="50"/>
        <v>297.00000000000392</v>
      </c>
      <c r="BE45" s="130">
        <f t="shared" si="51"/>
        <v>4.2500000000000003E-2</v>
      </c>
      <c r="BF45" s="128">
        <f t="shared" si="52"/>
        <v>594.8520187500078</v>
      </c>
      <c r="BG45" s="128">
        <f t="shared" si="53"/>
        <v>100027.85201875001</v>
      </c>
      <c r="BI45" s="124">
        <f t="shared" ref="BI45:BI108" si="124">BI44+1</f>
        <v>2</v>
      </c>
      <c r="BJ45" s="129"/>
      <c r="BK45" s="127">
        <f t="shared" ref="BK45:BK76" si="125">IF(BQ44="tak",
ROUNDDOWN(BS44/zamiana_TOS,0),
BK44)</f>
        <v>1000</v>
      </c>
      <c r="BL45" s="128">
        <f t="shared" ref="BL45:BL76" si="126">IF(BQ44="tak",
BK45*zamiana_TOS,
BL44)</f>
        <v>100000</v>
      </c>
      <c r="BM45" s="128">
        <f>IF(BQ44="tak",
BK45*100,
BM44)</f>
        <v>100000</v>
      </c>
      <c r="BN45" s="128">
        <f t="shared" ref="BN45:BN76" si="127">IF(BQ44="tak",
 BM45,
IF(MOD($AA45,kapitalizacja_odsetek_mc_ROS)&lt;&gt;1,BN44,BP44))</f>
        <v>100000</v>
      </c>
      <c r="BO45" s="130">
        <f t="shared" si="54"/>
        <v>4.65E-2</v>
      </c>
      <c r="BP45" s="128">
        <f t="shared" si="55"/>
        <v>100774.99999999999</v>
      </c>
      <c r="BQ45" s="128" t="str">
        <f t="shared" si="56"/>
        <v>nie</v>
      </c>
      <c r="BR45" s="128">
        <f t="shared" si="57"/>
        <v>774.99999999998545</v>
      </c>
      <c r="BS45" s="128">
        <f t="shared" si="58"/>
        <v>100000</v>
      </c>
      <c r="BT45" s="128">
        <f t="shared" ref="BT45:BT108" si="128">IF(AND(BQ45="tak",BL46&lt;&gt;""),
 BS45-BL46,
0)</f>
        <v>0</v>
      </c>
      <c r="BU45" s="130">
        <f t="shared" si="59"/>
        <v>4.2500000000000003E-2</v>
      </c>
      <c r="BV45" s="128">
        <f t="shared" si="60"/>
        <v>0</v>
      </c>
      <c r="BW45" s="128">
        <f t="shared" si="61"/>
        <v>100000</v>
      </c>
      <c r="BY45" s="129"/>
      <c r="BZ45" s="127">
        <f t="shared" ref="BZ45:BZ76" si="129">IF(CF44="tak",
ROUNDDOWN(CH44/zamiana_COI,0)+ROUNDDOWN(CK44/100,0),
BZ44)</f>
        <v>1000</v>
      </c>
      <c r="CA45" s="128">
        <f t="shared" ref="CA45:CA76" si="130">IF(CF44="tak",
ROUNDDOWN(CH44/zamiana_COI,0)*zamiana_COI+ROUNDDOWN(CK44/100,0)*100,
CA44)</f>
        <v>100000</v>
      </c>
      <c r="CB45" s="128">
        <f>IF(CF44="tak",
BZ45*100,
CB44)</f>
        <v>100000</v>
      </c>
      <c r="CC45" s="128">
        <f t="shared" ref="CC45:CC108" si="131">CB45</f>
        <v>100000</v>
      </c>
      <c r="CD45" s="130">
        <f t="shared" si="62"/>
        <v>0.05</v>
      </c>
      <c r="CE45" s="128">
        <f t="shared" si="63"/>
        <v>100833.33333333333</v>
      </c>
      <c r="CF45" s="128" t="str">
        <f t="shared" si="64"/>
        <v>nie</v>
      </c>
      <c r="CG45" s="128">
        <f t="shared" si="65"/>
        <v>833.33333333332848</v>
      </c>
      <c r="CH45" s="128">
        <f t="shared" si="66"/>
        <v>100000</v>
      </c>
      <c r="CI45" s="128">
        <f t="shared" si="67"/>
        <v>0</v>
      </c>
      <c r="CJ45" s="130">
        <f t="shared" si="68"/>
        <v>4.2500000000000003E-2</v>
      </c>
      <c r="CK45" s="128">
        <f t="shared" si="69"/>
        <v>0</v>
      </c>
      <c r="CL45" s="128">
        <f t="shared" si="70"/>
        <v>100000</v>
      </c>
      <c r="CN45" s="127">
        <f t="shared" ref="CN45:CN76" si="132">IF(CT44="tak",
ROUNDDOWN(CV44/zamiana_EDO,0),
CN44)</f>
        <v>1000</v>
      </c>
      <c r="CO45" s="128">
        <f t="shared" ref="CO45:CO76" si="133">IF(CT44="tak",
CN45*zamiana_EDO,
CO44)</f>
        <v>100000</v>
      </c>
      <c r="CP45" s="128">
        <f t="shared" ref="CP45:CP108" si="134">IF(CT44="tak",
CN45*100,
CP44)</f>
        <v>100000</v>
      </c>
      <c r="CQ45" s="128">
        <f t="shared" ref="CQ45:CQ76" si="135">IF(CT44="tak",
 CP45,
IF(MOD($AA45,kapitalizacja_odsetek_mc_EDO)&lt;&gt;1,CQ44,CS44))</f>
        <v>100000</v>
      </c>
      <c r="CR45" s="130">
        <f t="shared" si="71"/>
        <v>5.6000000000000001E-2</v>
      </c>
      <c r="CS45" s="128">
        <f t="shared" si="72"/>
        <v>100933.33333333334</v>
      </c>
      <c r="CT45" s="128" t="str">
        <f t="shared" si="73"/>
        <v>nie</v>
      </c>
      <c r="CU45" s="128">
        <f t="shared" si="74"/>
        <v>933.33333333334303</v>
      </c>
      <c r="CV45" s="128">
        <f t="shared" si="75"/>
        <v>100000</v>
      </c>
      <c r="CW45" s="128">
        <f t="shared" si="76"/>
        <v>0</v>
      </c>
      <c r="CX45" s="130">
        <f t="shared" si="77"/>
        <v>4.2500000000000003E-2</v>
      </c>
      <c r="CY45" s="128">
        <f t="shared" si="78"/>
        <v>0</v>
      </c>
      <c r="CZ45" s="128">
        <f t="shared" si="79"/>
        <v>100000</v>
      </c>
      <c r="DA45" s="20"/>
      <c r="DB45" s="127">
        <f>IF(DH44="tak",
ROUNDDOWN(DJ44/100,0),
DB44)</f>
        <v>1000</v>
      </c>
      <c r="DC45" s="128">
        <f>IF(DH44="tak",
DB45*100,
DC44)</f>
        <v>100000</v>
      </c>
      <c r="DD45" s="128">
        <f t="shared" ref="DD45:DD108" si="136">IF(DH44="tak",
DB45*100,
DD44)</f>
        <v>100000</v>
      </c>
      <c r="DE45" s="128">
        <f t="shared" ref="DE45:DE76" si="137">IF(DH44="tak",
 DD45,
IF(MOD($AA45,kapitalizacja_odsetek_mc_ROS)&lt;&gt;1,DE44,DG44))</f>
        <v>100000</v>
      </c>
      <c r="DF45" s="130">
        <f t="shared" si="80"/>
        <v>5.1999999999999998E-2</v>
      </c>
      <c r="DG45" s="128">
        <f t="shared" si="81"/>
        <v>100866.66666666666</v>
      </c>
      <c r="DH45" s="128" t="str">
        <f t="shared" si="82"/>
        <v>nie</v>
      </c>
      <c r="DI45" s="128">
        <f t="shared" si="83"/>
        <v>866.66666666665697</v>
      </c>
      <c r="DJ45" s="128">
        <f t="shared" si="84"/>
        <v>100000</v>
      </c>
      <c r="DK45" s="128">
        <f t="shared" si="85"/>
        <v>0</v>
      </c>
      <c r="DL45" s="130">
        <f t="shared" si="86"/>
        <v>4.2500000000000003E-2</v>
      </c>
      <c r="DM45" s="128">
        <f t="shared" si="87"/>
        <v>0</v>
      </c>
      <c r="DN45" s="128">
        <f>DM44*(1+DL45/12*(1-podatek_Belki))+DJ45</f>
        <v>100000</v>
      </c>
      <c r="DP45" s="127">
        <f>IF(DV44="tak",
ROUNDDOWN(DX44/100,0),
DP44)</f>
        <v>1000</v>
      </c>
      <c r="DQ45" s="128">
        <f>IF(DV44="tak",
DP45*100,
DQ44)</f>
        <v>100000</v>
      </c>
      <c r="DR45" s="128">
        <f t="shared" ref="DR45:DR108" si="138">IF(DV44="tak",
DP45*100,
DR44)</f>
        <v>100000</v>
      </c>
      <c r="DS45" s="128">
        <f t="shared" ref="DS45:DS76" si="139">IF(DV44="tak",
 DR45,
IF(MOD($AA45,kapitalizacja_odsetek_mc_ROD)&lt;&gt;1,DS44,DU44))</f>
        <v>100000</v>
      </c>
      <c r="DT45" s="130">
        <f t="shared" si="89"/>
        <v>5.8500000000000003E-2</v>
      </c>
      <c r="DU45" s="128">
        <f t="shared" si="90"/>
        <v>100974.99999999999</v>
      </c>
      <c r="DV45" s="128" t="str">
        <f t="shared" si="91"/>
        <v>nie</v>
      </c>
      <c r="DW45" s="128">
        <f t="shared" si="92"/>
        <v>974.99999999998545</v>
      </c>
      <c r="DX45" s="128">
        <f t="shared" si="93"/>
        <v>100000</v>
      </c>
      <c r="DY45" s="128">
        <f t="shared" si="94"/>
        <v>0</v>
      </c>
      <c r="DZ45" s="130">
        <f t="shared" si="95"/>
        <v>4.2500000000000003E-2</v>
      </c>
      <c r="EA45" s="128">
        <f t="shared" si="96"/>
        <v>0</v>
      </c>
      <c r="EB45" s="128">
        <f t="shared" si="97"/>
        <v>100000</v>
      </c>
    </row>
    <row r="46" spans="1:140">
      <c r="A46" s="224"/>
      <c r="B46" s="188">
        <f t="shared" si="98"/>
        <v>2</v>
      </c>
      <c r="C46" s="128">
        <f t="shared" si="99"/>
        <v>100169.57297265626</v>
      </c>
      <c r="D46" s="128">
        <f t="shared" si="100"/>
        <v>100027.85201875001</v>
      </c>
      <c r="E46" s="128">
        <f t="shared" si="101"/>
        <v>100000</v>
      </c>
      <c r="F46" s="128">
        <f t="shared" si="102"/>
        <v>100000</v>
      </c>
      <c r="G46" s="128">
        <f t="shared" si="103"/>
        <v>100000</v>
      </c>
      <c r="H46" s="128">
        <f t="shared" si="104"/>
        <v>100000</v>
      </c>
      <c r="I46" s="128">
        <f t="shared" si="105"/>
        <v>100000</v>
      </c>
      <c r="J46" s="128">
        <f t="shared" si="106"/>
        <v>100574.57297265624</v>
      </c>
      <c r="K46" s="128">
        <f t="shared" si="107"/>
        <v>100466.66666666666</v>
      </c>
      <c r="M46" s="36"/>
      <c r="N46" s="32">
        <f t="shared" si="108"/>
        <v>2</v>
      </c>
      <c r="O46" s="25">
        <f t="shared" si="109"/>
        <v>1.6957297265625115E-3</v>
      </c>
      <c r="P46" s="25">
        <f t="shared" si="110"/>
        <v>2.7852018750018637E-4</v>
      </c>
      <c r="Q46" s="25">
        <f t="shared" si="111"/>
        <v>0</v>
      </c>
      <c r="R46" s="25">
        <f t="shared" si="30"/>
        <v>0</v>
      </c>
      <c r="S46" s="25">
        <f t="shared" si="31"/>
        <v>0</v>
      </c>
      <c r="T46" s="25">
        <f t="shared" si="32"/>
        <v>0</v>
      </c>
      <c r="U46" s="25">
        <f t="shared" si="33"/>
        <v>0</v>
      </c>
      <c r="V46" s="25">
        <f t="shared" si="34"/>
        <v>5.7457297265623986E-3</v>
      </c>
      <c r="W46" s="25">
        <f t="shared" si="112"/>
        <v>4.6666666666665968E-3</v>
      </c>
      <c r="X46" s="36"/>
      <c r="AA46" s="124">
        <f t="shared" si="113"/>
        <v>3</v>
      </c>
      <c r="AB46" s="128">
        <f t="shared" si="35"/>
        <v>100699.99999999999</v>
      </c>
      <c r="AC46" s="124">
        <f t="shared" si="114"/>
        <v>3</v>
      </c>
      <c r="AD46" s="130">
        <f t="shared" si="115"/>
        <v>4.2500000000000003E-2</v>
      </c>
      <c r="AE46" s="127">
        <f t="shared" si="116"/>
        <v>1000</v>
      </c>
      <c r="AF46" s="128">
        <f t="shared" si="117"/>
        <v>100000</v>
      </c>
      <c r="AG46" s="128">
        <f t="shared" ref="AG46:AG109" si="140">IF(AK45="tak",
AE46*100,
AG45)</f>
        <v>100000</v>
      </c>
      <c r="AH46" s="128">
        <f t="shared" si="118"/>
        <v>100000</v>
      </c>
      <c r="AI46" s="130">
        <f t="shared" si="36"/>
        <v>4.2500000000000003E-2</v>
      </c>
      <c r="AJ46" s="128">
        <f t="shared" si="37"/>
        <v>100354.16666666667</v>
      </c>
      <c r="AK46" s="128" t="str">
        <f t="shared" si="38"/>
        <v>nie</v>
      </c>
      <c r="AL46" s="128">
        <f t="shared" si="39"/>
        <v>500</v>
      </c>
      <c r="AM46" s="128">
        <f t="shared" si="40"/>
        <v>99881.875</v>
      </c>
      <c r="AN46" s="128">
        <f t="shared" si="41"/>
        <v>286.87500000000392</v>
      </c>
      <c r="AO46" s="130">
        <f t="shared" si="42"/>
        <v>4.2500000000000003E-2</v>
      </c>
      <c r="AP46" s="128">
        <f t="shared" si="43"/>
        <v>863.09627887156944</v>
      </c>
      <c r="AQ46" s="128">
        <f t="shared" si="44"/>
        <v>100458.09627887157</v>
      </c>
      <c r="AS46" s="124">
        <f t="shared" si="119"/>
        <v>3</v>
      </c>
      <c r="AT46" s="130">
        <f t="shared" si="120"/>
        <v>4.2500000000000003E-2</v>
      </c>
      <c r="AU46" s="127">
        <f t="shared" si="121"/>
        <v>1000</v>
      </c>
      <c r="AV46" s="128">
        <f t="shared" si="122"/>
        <v>100000</v>
      </c>
      <c r="AW46" s="128">
        <f t="shared" ref="AW46:AW55" si="141">IF(BA45="tak",
AU46*100,
AW45)</f>
        <v>100000</v>
      </c>
      <c r="AX46" s="128">
        <f t="shared" si="123"/>
        <v>100000</v>
      </c>
      <c r="AY46" s="130">
        <f t="shared" si="45"/>
        <v>4.4000000000000004E-2</v>
      </c>
      <c r="AZ46" s="128">
        <f t="shared" si="46"/>
        <v>100366.66666666667</v>
      </c>
      <c r="BA46" s="128" t="str">
        <f t="shared" si="47"/>
        <v>nie</v>
      </c>
      <c r="BB46" s="128">
        <f t="shared" si="48"/>
        <v>700</v>
      </c>
      <c r="BC46" s="128">
        <f t="shared" si="49"/>
        <v>99730</v>
      </c>
      <c r="BD46" s="128">
        <f t="shared" si="50"/>
        <v>297.00000000000392</v>
      </c>
      <c r="BE46" s="130">
        <f t="shared" si="51"/>
        <v>4.2500000000000003E-2</v>
      </c>
      <c r="BF46" s="128">
        <f t="shared" si="52"/>
        <v>893.55850047880085</v>
      </c>
      <c r="BG46" s="128">
        <f t="shared" si="53"/>
        <v>100326.5585004788</v>
      </c>
      <c r="BI46" s="124">
        <f t="shared" si="124"/>
        <v>3</v>
      </c>
      <c r="BJ46" s="129"/>
      <c r="BK46" s="127">
        <f t="shared" si="125"/>
        <v>1000</v>
      </c>
      <c r="BL46" s="128">
        <f t="shared" si="126"/>
        <v>100000</v>
      </c>
      <c r="BM46" s="128">
        <f t="shared" ref="BM46:BM109" si="142">IF(BQ45="tak",
BK46*100,
BM45)</f>
        <v>100000</v>
      </c>
      <c r="BN46" s="128">
        <f t="shared" si="127"/>
        <v>100000</v>
      </c>
      <c r="BO46" s="130">
        <f t="shared" si="54"/>
        <v>4.65E-2</v>
      </c>
      <c r="BP46" s="128">
        <f t="shared" si="55"/>
        <v>101162.5</v>
      </c>
      <c r="BQ46" s="128" t="str">
        <f t="shared" si="56"/>
        <v>nie</v>
      </c>
      <c r="BR46" s="128">
        <f t="shared" si="57"/>
        <v>1000</v>
      </c>
      <c r="BS46" s="128">
        <f t="shared" si="58"/>
        <v>100131.625</v>
      </c>
      <c r="BT46" s="128">
        <f t="shared" si="128"/>
        <v>0</v>
      </c>
      <c r="BU46" s="130">
        <f t="shared" si="59"/>
        <v>4.2500000000000003E-2</v>
      </c>
      <c r="BV46" s="128">
        <f t="shared" si="60"/>
        <v>0</v>
      </c>
      <c r="BW46" s="128">
        <f t="shared" si="61"/>
        <v>100131.625</v>
      </c>
      <c r="BY46" s="129"/>
      <c r="BZ46" s="127">
        <f t="shared" si="129"/>
        <v>1000</v>
      </c>
      <c r="CA46" s="128">
        <f t="shared" si="130"/>
        <v>100000</v>
      </c>
      <c r="CB46" s="128">
        <f t="shared" ref="CB46:CB55" si="143">IF(CF45="tak",
BZ46*100,
CB45)</f>
        <v>100000</v>
      </c>
      <c r="CC46" s="128">
        <f t="shared" si="131"/>
        <v>100000</v>
      </c>
      <c r="CD46" s="130">
        <f t="shared" si="62"/>
        <v>0.05</v>
      </c>
      <c r="CE46" s="128">
        <f t="shared" si="63"/>
        <v>101250</v>
      </c>
      <c r="CF46" s="128" t="str">
        <f t="shared" si="64"/>
        <v>nie</v>
      </c>
      <c r="CG46" s="128">
        <f t="shared" si="65"/>
        <v>1250</v>
      </c>
      <c r="CH46" s="128">
        <f t="shared" si="66"/>
        <v>100000</v>
      </c>
      <c r="CI46" s="128">
        <f t="shared" si="67"/>
        <v>0</v>
      </c>
      <c r="CJ46" s="130">
        <f t="shared" si="68"/>
        <v>4.2500000000000003E-2</v>
      </c>
      <c r="CK46" s="128">
        <f t="shared" si="69"/>
        <v>0</v>
      </c>
      <c r="CL46" s="128">
        <f t="shared" si="70"/>
        <v>100000</v>
      </c>
      <c r="CN46" s="127">
        <f t="shared" si="132"/>
        <v>1000</v>
      </c>
      <c r="CO46" s="128">
        <f t="shared" si="133"/>
        <v>100000</v>
      </c>
      <c r="CP46" s="128">
        <f t="shared" si="134"/>
        <v>100000</v>
      </c>
      <c r="CQ46" s="128">
        <f t="shared" si="135"/>
        <v>100000</v>
      </c>
      <c r="CR46" s="130">
        <f t="shared" si="71"/>
        <v>5.6000000000000001E-2</v>
      </c>
      <c r="CS46" s="128">
        <f t="shared" si="72"/>
        <v>101400</v>
      </c>
      <c r="CT46" s="128" t="str">
        <f t="shared" si="73"/>
        <v>nie</v>
      </c>
      <c r="CU46" s="128">
        <f t="shared" si="74"/>
        <v>1400</v>
      </c>
      <c r="CV46" s="128">
        <f t="shared" si="75"/>
        <v>100000</v>
      </c>
      <c r="CW46" s="128">
        <f t="shared" si="76"/>
        <v>0</v>
      </c>
      <c r="CX46" s="130">
        <f t="shared" si="77"/>
        <v>4.2500000000000003E-2</v>
      </c>
      <c r="CY46" s="128">
        <f t="shared" si="78"/>
        <v>0</v>
      </c>
      <c r="CZ46" s="128">
        <f t="shared" si="79"/>
        <v>100000</v>
      </c>
      <c r="DA46" s="20"/>
      <c r="DB46" s="127">
        <f t="shared" ref="DB46:DB109" si="144">IF(DH45="tak",
ROUNDDOWN(DJ45/100,0),
DB45)</f>
        <v>1000</v>
      </c>
      <c r="DC46" s="128">
        <f t="shared" ref="DC46:DC109" si="145">IF(DH45="tak",
DB46*100,
DC45)</f>
        <v>100000</v>
      </c>
      <c r="DD46" s="128">
        <f t="shared" si="136"/>
        <v>100000</v>
      </c>
      <c r="DE46" s="128">
        <f t="shared" si="137"/>
        <v>100000</v>
      </c>
      <c r="DF46" s="130">
        <f t="shared" si="80"/>
        <v>5.1999999999999998E-2</v>
      </c>
      <c r="DG46" s="128">
        <f t="shared" si="81"/>
        <v>101299.99999999999</v>
      </c>
      <c r="DH46" s="128" t="str">
        <f t="shared" si="82"/>
        <v>nie</v>
      </c>
      <c r="DI46" s="128">
        <f t="shared" si="83"/>
        <v>1299.9999999999854</v>
      </c>
      <c r="DJ46" s="128">
        <f t="shared" si="84"/>
        <v>100000</v>
      </c>
      <c r="DK46" s="128">
        <f t="shared" si="85"/>
        <v>0</v>
      </c>
      <c r="DL46" s="130">
        <f t="shared" si="86"/>
        <v>4.2500000000000003E-2</v>
      </c>
      <c r="DM46" s="128">
        <f t="shared" si="87"/>
        <v>0</v>
      </c>
      <c r="DN46" s="128">
        <f t="shared" si="88"/>
        <v>100000</v>
      </c>
      <c r="DP46" s="127">
        <f t="shared" ref="DP46:DP109" si="146">IF(DV45="tak",
ROUNDDOWN(DX45/100,0),
DP45)</f>
        <v>1000</v>
      </c>
      <c r="DQ46" s="128">
        <f t="shared" ref="DQ46:DQ109" si="147">IF(DV45="tak",
DP46*100,
DQ45)</f>
        <v>100000</v>
      </c>
      <c r="DR46" s="128">
        <f t="shared" si="138"/>
        <v>100000</v>
      </c>
      <c r="DS46" s="128">
        <f t="shared" si="139"/>
        <v>100000</v>
      </c>
      <c r="DT46" s="130">
        <f t="shared" si="89"/>
        <v>5.8500000000000003E-2</v>
      </c>
      <c r="DU46" s="128">
        <f t="shared" si="90"/>
        <v>101462.50000000001</v>
      </c>
      <c r="DV46" s="128" t="str">
        <f t="shared" si="91"/>
        <v>nie</v>
      </c>
      <c r="DW46" s="128">
        <f t="shared" si="92"/>
        <v>1462.5000000000146</v>
      </c>
      <c r="DX46" s="128">
        <f t="shared" si="93"/>
        <v>100000</v>
      </c>
      <c r="DY46" s="128">
        <f t="shared" si="94"/>
        <v>0</v>
      </c>
      <c r="DZ46" s="130">
        <f t="shared" si="95"/>
        <v>4.2500000000000003E-2</v>
      </c>
      <c r="EA46" s="128">
        <f t="shared" si="96"/>
        <v>0</v>
      </c>
      <c r="EB46" s="128">
        <f t="shared" si="97"/>
        <v>100000</v>
      </c>
    </row>
    <row r="47" spans="1:140">
      <c r="A47" s="224"/>
      <c r="B47" s="188">
        <f t="shared" si="98"/>
        <v>3</v>
      </c>
      <c r="C47" s="128">
        <f t="shared" si="99"/>
        <v>100458.09627887157</v>
      </c>
      <c r="D47" s="128">
        <f t="shared" si="100"/>
        <v>100326.5585004788</v>
      </c>
      <c r="E47" s="128">
        <f t="shared" si="101"/>
        <v>100131.625</v>
      </c>
      <c r="F47" s="128">
        <f t="shared" si="102"/>
        <v>100000</v>
      </c>
      <c r="G47" s="128">
        <f t="shared" si="103"/>
        <v>100000</v>
      </c>
      <c r="H47" s="128">
        <f t="shared" si="104"/>
        <v>100000</v>
      </c>
      <c r="I47" s="128">
        <f t="shared" si="105"/>
        <v>100000</v>
      </c>
      <c r="J47" s="128">
        <f t="shared" si="106"/>
        <v>100863.09627887154</v>
      </c>
      <c r="K47" s="128">
        <f t="shared" si="107"/>
        <v>100699.99999999999</v>
      </c>
      <c r="M47" s="36"/>
      <c r="N47" s="32">
        <f t="shared" si="108"/>
        <v>3</v>
      </c>
      <c r="O47" s="25">
        <f t="shared" si="109"/>
        <v>4.5809627887156701E-3</v>
      </c>
      <c r="P47" s="25">
        <f t="shared" si="110"/>
        <v>3.2655850047880186E-3</v>
      </c>
      <c r="Q47" s="25">
        <f t="shared" si="111"/>
        <v>1.3162499999999078E-3</v>
      </c>
      <c r="R47" s="25">
        <f t="shared" si="30"/>
        <v>0</v>
      </c>
      <c r="S47" s="25">
        <f t="shared" si="31"/>
        <v>0</v>
      </c>
      <c r="T47" s="25">
        <f t="shared" si="32"/>
        <v>0</v>
      </c>
      <c r="U47" s="25">
        <f t="shared" si="33"/>
        <v>0</v>
      </c>
      <c r="V47" s="25">
        <f t="shared" si="34"/>
        <v>8.6309627887153351E-3</v>
      </c>
      <c r="W47" s="25">
        <f t="shared" si="112"/>
        <v>6.9999999999998952E-3</v>
      </c>
      <c r="X47" s="36"/>
      <c r="AA47" s="124">
        <f t="shared" si="113"/>
        <v>4</v>
      </c>
      <c r="AB47" s="128">
        <f t="shared" si="35"/>
        <v>100933.33333333334</v>
      </c>
      <c r="AC47" s="124">
        <f t="shared" si="114"/>
        <v>4</v>
      </c>
      <c r="AD47" s="130">
        <f t="shared" si="115"/>
        <v>4.2500000000000003E-2</v>
      </c>
      <c r="AE47" s="127">
        <f t="shared" si="116"/>
        <v>1000</v>
      </c>
      <c r="AF47" s="128">
        <f t="shared" si="117"/>
        <v>100000</v>
      </c>
      <c r="AG47" s="128">
        <f t="shared" si="140"/>
        <v>100000</v>
      </c>
      <c r="AH47" s="128">
        <f t="shared" si="118"/>
        <v>100000</v>
      </c>
      <c r="AI47" s="130">
        <f t="shared" si="36"/>
        <v>4.2500000000000003E-2</v>
      </c>
      <c r="AJ47" s="128">
        <f t="shared" si="37"/>
        <v>100354.16666666667</v>
      </c>
      <c r="AK47" s="128" t="str">
        <f t="shared" si="38"/>
        <v>nie</v>
      </c>
      <c r="AL47" s="128">
        <f t="shared" si="39"/>
        <v>500</v>
      </c>
      <c r="AM47" s="128">
        <f t="shared" si="40"/>
        <v>99881.875</v>
      </c>
      <c r="AN47" s="128">
        <f t="shared" si="41"/>
        <v>286.87500000000392</v>
      </c>
      <c r="AO47" s="130">
        <f t="shared" si="42"/>
        <v>4.2500000000000003E-2</v>
      </c>
      <c r="AP47" s="128">
        <f t="shared" si="43"/>
        <v>1152.4472863215863</v>
      </c>
      <c r="AQ47" s="128">
        <f t="shared" si="44"/>
        <v>100747.44728632158</v>
      </c>
      <c r="AS47" s="124">
        <f t="shared" si="119"/>
        <v>4</v>
      </c>
      <c r="AT47" s="130">
        <f t="shared" si="120"/>
        <v>4.2500000000000003E-2</v>
      </c>
      <c r="AU47" s="127">
        <f t="shared" si="121"/>
        <v>1000</v>
      </c>
      <c r="AV47" s="128">
        <f t="shared" si="122"/>
        <v>100000</v>
      </c>
      <c r="AW47" s="128">
        <f t="shared" si="141"/>
        <v>100000</v>
      </c>
      <c r="AX47" s="128">
        <f t="shared" si="123"/>
        <v>100000</v>
      </c>
      <c r="AY47" s="130">
        <f t="shared" si="45"/>
        <v>4.4000000000000004E-2</v>
      </c>
      <c r="AZ47" s="128">
        <f t="shared" si="46"/>
        <v>100366.66666666667</v>
      </c>
      <c r="BA47" s="128" t="str">
        <f t="shared" si="47"/>
        <v>nie</v>
      </c>
      <c r="BB47" s="128">
        <f t="shared" si="48"/>
        <v>700</v>
      </c>
      <c r="BC47" s="128">
        <f t="shared" si="49"/>
        <v>99730</v>
      </c>
      <c r="BD47" s="128">
        <f t="shared" si="50"/>
        <v>297.00000000000392</v>
      </c>
      <c r="BE47" s="130">
        <f t="shared" si="51"/>
        <v>4.2500000000000003E-2</v>
      </c>
      <c r="BF47" s="128">
        <f t="shared" si="52"/>
        <v>1193.1218964270533</v>
      </c>
      <c r="BG47" s="128">
        <f t="shared" si="53"/>
        <v>100626.12189642705</v>
      </c>
      <c r="BI47" s="124">
        <f t="shared" si="124"/>
        <v>4</v>
      </c>
      <c r="BJ47" s="129"/>
      <c r="BK47" s="127">
        <f t="shared" si="125"/>
        <v>1000</v>
      </c>
      <c r="BL47" s="128">
        <f t="shared" si="126"/>
        <v>100000</v>
      </c>
      <c r="BM47" s="128">
        <f t="shared" si="142"/>
        <v>100000</v>
      </c>
      <c r="BN47" s="128">
        <f t="shared" si="127"/>
        <v>100000</v>
      </c>
      <c r="BO47" s="130">
        <f t="shared" si="54"/>
        <v>4.65E-2</v>
      </c>
      <c r="BP47" s="128">
        <f t="shared" si="55"/>
        <v>101550</v>
      </c>
      <c r="BQ47" s="128" t="str">
        <f t="shared" si="56"/>
        <v>nie</v>
      </c>
      <c r="BR47" s="128">
        <f t="shared" si="57"/>
        <v>1000</v>
      </c>
      <c r="BS47" s="128">
        <f t="shared" si="58"/>
        <v>100445.5</v>
      </c>
      <c r="BT47" s="128">
        <f t="shared" si="128"/>
        <v>0</v>
      </c>
      <c r="BU47" s="130">
        <f t="shared" si="59"/>
        <v>4.2500000000000003E-2</v>
      </c>
      <c r="BV47" s="128">
        <f t="shared" si="60"/>
        <v>0</v>
      </c>
      <c r="BW47" s="128">
        <f t="shared" si="61"/>
        <v>100445.5</v>
      </c>
      <c r="BY47" s="129"/>
      <c r="BZ47" s="127">
        <f t="shared" si="129"/>
        <v>1000</v>
      </c>
      <c r="CA47" s="128">
        <f t="shared" si="130"/>
        <v>100000</v>
      </c>
      <c r="CB47" s="128">
        <f t="shared" si="143"/>
        <v>100000</v>
      </c>
      <c r="CC47" s="128">
        <f t="shared" si="131"/>
        <v>100000</v>
      </c>
      <c r="CD47" s="130">
        <f t="shared" si="62"/>
        <v>0.05</v>
      </c>
      <c r="CE47" s="128">
        <f t="shared" si="63"/>
        <v>101666.66666666666</v>
      </c>
      <c r="CF47" s="128" t="str">
        <f t="shared" si="64"/>
        <v>nie</v>
      </c>
      <c r="CG47" s="128">
        <f t="shared" si="65"/>
        <v>1666.666666666657</v>
      </c>
      <c r="CH47" s="128">
        <f t="shared" si="66"/>
        <v>100000</v>
      </c>
      <c r="CI47" s="128">
        <f t="shared" si="67"/>
        <v>0</v>
      </c>
      <c r="CJ47" s="130">
        <f t="shared" si="68"/>
        <v>4.2500000000000003E-2</v>
      </c>
      <c r="CK47" s="128">
        <f t="shared" si="69"/>
        <v>0</v>
      </c>
      <c r="CL47" s="128">
        <f t="shared" si="70"/>
        <v>100000</v>
      </c>
      <c r="CN47" s="127">
        <f t="shared" si="132"/>
        <v>1000</v>
      </c>
      <c r="CO47" s="128">
        <f t="shared" si="133"/>
        <v>100000</v>
      </c>
      <c r="CP47" s="128">
        <f t="shared" si="134"/>
        <v>100000</v>
      </c>
      <c r="CQ47" s="128">
        <f t="shared" si="135"/>
        <v>100000</v>
      </c>
      <c r="CR47" s="130">
        <f t="shared" si="71"/>
        <v>5.6000000000000001E-2</v>
      </c>
      <c r="CS47" s="128">
        <f t="shared" si="72"/>
        <v>101866.66666666666</v>
      </c>
      <c r="CT47" s="128" t="str">
        <f t="shared" si="73"/>
        <v>nie</v>
      </c>
      <c r="CU47" s="128">
        <f t="shared" si="74"/>
        <v>1866.666666666657</v>
      </c>
      <c r="CV47" s="128">
        <f t="shared" si="75"/>
        <v>100000</v>
      </c>
      <c r="CW47" s="128">
        <f t="shared" si="76"/>
        <v>0</v>
      </c>
      <c r="CX47" s="130">
        <f t="shared" si="77"/>
        <v>4.2500000000000003E-2</v>
      </c>
      <c r="CY47" s="128">
        <f t="shared" si="78"/>
        <v>0</v>
      </c>
      <c r="CZ47" s="128">
        <f t="shared" si="79"/>
        <v>100000</v>
      </c>
      <c r="DA47" s="20"/>
      <c r="DB47" s="127">
        <f t="shared" si="144"/>
        <v>1000</v>
      </c>
      <c r="DC47" s="128">
        <f t="shared" si="145"/>
        <v>100000</v>
      </c>
      <c r="DD47" s="128">
        <f t="shared" si="136"/>
        <v>100000</v>
      </c>
      <c r="DE47" s="128">
        <f t="shared" si="137"/>
        <v>100000</v>
      </c>
      <c r="DF47" s="130">
        <f t="shared" si="80"/>
        <v>5.1999999999999998E-2</v>
      </c>
      <c r="DG47" s="128">
        <f t="shared" si="81"/>
        <v>101733.33333333334</v>
      </c>
      <c r="DH47" s="128" t="str">
        <f t="shared" si="82"/>
        <v>nie</v>
      </c>
      <c r="DI47" s="128">
        <f t="shared" si="83"/>
        <v>1733.333333333343</v>
      </c>
      <c r="DJ47" s="128">
        <f t="shared" si="84"/>
        <v>100000</v>
      </c>
      <c r="DK47" s="128">
        <f t="shared" si="85"/>
        <v>0</v>
      </c>
      <c r="DL47" s="130">
        <f t="shared" si="86"/>
        <v>4.2500000000000003E-2</v>
      </c>
      <c r="DM47" s="128">
        <f t="shared" si="87"/>
        <v>0</v>
      </c>
      <c r="DN47" s="128">
        <f t="shared" si="88"/>
        <v>100000</v>
      </c>
      <c r="DP47" s="127">
        <f t="shared" si="146"/>
        <v>1000</v>
      </c>
      <c r="DQ47" s="128">
        <f t="shared" si="147"/>
        <v>100000</v>
      </c>
      <c r="DR47" s="128">
        <f t="shared" si="138"/>
        <v>100000</v>
      </c>
      <c r="DS47" s="128">
        <f t="shared" si="139"/>
        <v>100000</v>
      </c>
      <c r="DT47" s="130">
        <f t="shared" si="89"/>
        <v>5.8500000000000003E-2</v>
      </c>
      <c r="DU47" s="128">
        <f t="shared" si="90"/>
        <v>101950.00000000001</v>
      </c>
      <c r="DV47" s="128" t="str">
        <f t="shared" si="91"/>
        <v>nie</v>
      </c>
      <c r="DW47" s="128">
        <f t="shared" si="92"/>
        <v>1950.0000000000146</v>
      </c>
      <c r="DX47" s="128">
        <f t="shared" si="93"/>
        <v>100000</v>
      </c>
      <c r="DY47" s="128">
        <f t="shared" si="94"/>
        <v>0</v>
      </c>
      <c r="DZ47" s="130">
        <f t="shared" si="95"/>
        <v>4.2500000000000003E-2</v>
      </c>
      <c r="EA47" s="128">
        <f t="shared" si="96"/>
        <v>0</v>
      </c>
      <c r="EB47" s="128">
        <f t="shared" si="97"/>
        <v>100000</v>
      </c>
    </row>
    <row r="48" spans="1:140">
      <c r="A48" s="224"/>
      <c r="B48" s="188">
        <f t="shared" si="98"/>
        <v>4</v>
      </c>
      <c r="C48" s="128">
        <f t="shared" si="99"/>
        <v>100747.44728632158</v>
      </c>
      <c r="D48" s="128">
        <f t="shared" si="100"/>
        <v>100626.12189642705</v>
      </c>
      <c r="E48" s="128">
        <f t="shared" si="101"/>
        <v>100445.5</v>
      </c>
      <c r="F48" s="128">
        <f t="shared" si="102"/>
        <v>100000</v>
      </c>
      <c r="G48" s="128">
        <f t="shared" si="103"/>
        <v>100000</v>
      </c>
      <c r="H48" s="128">
        <f t="shared" si="104"/>
        <v>100000</v>
      </c>
      <c r="I48" s="128">
        <f t="shared" si="105"/>
        <v>100000</v>
      </c>
      <c r="J48" s="128">
        <f t="shared" si="106"/>
        <v>101152.44728632155</v>
      </c>
      <c r="K48" s="128">
        <f t="shared" si="107"/>
        <v>100933.33333333334</v>
      </c>
      <c r="M48" s="36"/>
      <c r="N48" s="32">
        <f t="shared" si="108"/>
        <v>4</v>
      </c>
      <c r="O48" s="25">
        <f t="shared" si="109"/>
        <v>7.4744728632156754E-3</v>
      </c>
      <c r="P48" s="25">
        <f t="shared" si="110"/>
        <v>6.2612189642705651E-3</v>
      </c>
      <c r="Q48" s="25">
        <f t="shared" si="111"/>
        <v>4.4550000000000978E-3</v>
      </c>
      <c r="R48" s="25">
        <f t="shared" si="30"/>
        <v>0</v>
      </c>
      <c r="S48" s="25">
        <f t="shared" si="31"/>
        <v>0</v>
      </c>
      <c r="T48" s="25">
        <f t="shared" si="32"/>
        <v>0</v>
      </c>
      <c r="U48" s="25">
        <f t="shared" si="33"/>
        <v>0</v>
      </c>
      <c r="V48" s="25">
        <f t="shared" si="34"/>
        <v>1.1524472863215562E-2</v>
      </c>
      <c r="W48" s="25">
        <f t="shared" si="112"/>
        <v>9.3333333333334156E-3</v>
      </c>
      <c r="X48" s="36"/>
      <c r="AA48" s="124">
        <f t="shared" si="113"/>
        <v>5</v>
      </c>
      <c r="AB48" s="128">
        <f t="shared" si="35"/>
        <v>101166.66666666667</v>
      </c>
      <c r="AC48" s="124">
        <f t="shared" si="114"/>
        <v>5</v>
      </c>
      <c r="AD48" s="130">
        <f t="shared" si="115"/>
        <v>4.2500000000000003E-2</v>
      </c>
      <c r="AE48" s="127">
        <f t="shared" si="116"/>
        <v>1000</v>
      </c>
      <c r="AF48" s="128">
        <f t="shared" si="117"/>
        <v>100000</v>
      </c>
      <c r="AG48" s="128">
        <f t="shared" si="140"/>
        <v>100000</v>
      </c>
      <c r="AH48" s="128">
        <f t="shared" si="118"/>
        <v>100000</v>
      </c>
      <c r="AI48" s="130">
        <f t="shared" si="36"/>
        <v>4.2500000000000003E-2</v>
      </c>
      <c r="AJ48" s="128">
        <f t="shared" si="37"/>
        <v>100354.16666666667</v>
      </c>
      <c r="AK48" s="128" t="str">
        <f t="shared" si="38"/>
        <v>nie</v>
      </c>
      <c r="AL48" s="128">
        <f t="shared" si="39"/>
        <v>500</v>
      </c>
      <c r="AM48" s="128">
        <f t="shared" si="40"/>
        <v>99881.875</v>
      </c>
      <c r="AN48" s="128">
        <f t="shared" si="41"/>
        <v>286.87500000000392</v>
      </c>
      <c r="AO48" s="130">
        <f t="shared" si="42"/>
        <v>4.2500000000000003E-2</v>
      </c>
      <c r="AP48" s="128">
        <f t="shared" si="43"/>
        <v>1442.6283694742251</v>
      </c>
      <c r="AQ48" s="128">
        <f t="shared" si="44"/>
        <v>101037.62836947422</v>
      </c>
      <c r="AS48" s="124">
        <f t="shared" si="119"/>
        <v>5</v>
      </c>
      <c r="AT48" s="130">
        <f t="shared" si="120"/>
        <v>4.2500000000000003E-2</v>
      </c>
      <c r="AU48" s="127">
        <f t="shared" si="121"/>
        <v>1000</v>
      </c>
      <c r="AV48" s="128">
        <f t="shared" si="122"/>
        <v>100000</v>
      </c>
      <c r="AW48" s="128">
        <f t="shared" si="141"/>
        <v>100000</v>
      </c>
      <c r="AX48" s="128">
        <f t="shared" si="123"/>
        <v>100000</v>
      </c>
      <c r="AY48" s="130">
        <f t="shared" si="45"/>
        <v>4.4000000000000004E-2</v>
      </c>
      <c r="AZ48" s="128">
        <f t="shared" si="46"/>
        <v>100366.66666666667</v>
      </c>
      <c r="BA48" s="128" t="str">
        <f t="shared" si="47"/>
        <v>nie</v>
      </c>
      <c r="BB48" s="128">
        <f t="shared" si="48"/>
        <v>700</v>
      </c>
      <c r="BC48" s="128">
        <f t="shared" si="49"/>
        <v>99730</v>
      </c>
      <c r="BD48" s="128">
        <f t="shared" si="50"/>
        <v>297.00000000000392</v>
      </c>
      <c r="BE48" s="130">
        <f t="shared" si="51"/>
        <v>4.2500000000000003E-2</v>
      </c>
      <c r="BF48" s="128">
        <f t="shared" si="52"/>
        <v>1493.5446648674324</v>
      </c>
      <c r="BG48" s="128">
        <f t="shared" si="53"/>
        <v>100926.54466486743</v>
      </c>
      <c r="BI48" s="124">
        <f t="shared" si="124"/>
        <v>5</v>
      </c>
      <c r="BJ48" s="129"/>
      <c r="BK48" s="127">
        <f t="shared" si="125"/>
        <v>1000</v>
      </c>
      <c r="BL48" s="128">
        <f t="shared" si="126"/>
        <v>100000</v>
      </c>
      <c r="BM48" s="128">
        <f t="shared" si="142"/>
        <v>100000</v>
      </c>
      <c r="BN48" s="128">
        <f t="shared" si="127"/>
        <v>100000</v>
      </c>
      <c r="BO48" s="130">
        <f t="shared" si="54"/>
        <v>4.65E-2</v>
      </c>
      <c r="BP48" s="128">
        <f t="shared" si="55"/>
        <v>101937.49999999999</v>
      </c>
      <c r="BQ48" s="128" t="str">
        <f t="shared" si="56"/>
        <v>nie</v>
      </c>
      <c r="BR48" s="128">
        <f t="shared" si="57"/>
        <v>1000</v>
      </c>
      <c r="BS48" s="128">
        <f t="shared" si="58"/>
        <v>100759.37499999999</v>
      </c>
      <c r="BT48" s="128">
        <f t="shared" si="128"/>
        <v>0</v>
      </c>
      <c r="BU48" s="130">
        <f t="shared" si="59"/>
        <v>4.2500000000000003E-2</v>
      </c>
      <c r="BV48" s="128">
        <f t="shared" si="60"/>
        <v>0</v>
      </c>
      <c r="BW48" s="128">
        <f t="shared" si="61"/>
        <v>100759.37499999999</v>
      </c>
      <c r="BY48" s="129"/>
      <c r="BZ48" s="127">
        <f t="shared" si="129"/>
        <v>1000</v>
      </c>
      <c r="CA48" s="128">
        <f t="shared" si="130"/>
        <v>100000</v>
      </c>
      <c r="CB48" s="128">
        <f t="shared" si="143"/>
        <v>100000</v>
      </c>
      <c r="CC48" s="128">
        <f t="shared" si="131"/>
        <v>100000</v>
      </c>
      <c r="CD48" s="130">
        <f t="shared" si="62"/>
        <v>0.05</v>
      </c>
      <c r="CE48" s="128">
        <f t="shared" si="63"/>
        <v>102083.33333333333</v>
      </c>
      <c r="CF48" s="128" t="str">
        <f t="shared" si="64"/>
        <v>nie</v>
      </c>
      <c r="CG48" s="128">
        <f t="shared" si="65"/>
        <v>2000</v>
      </c>
      <c r="CH48" s="128">
        <f t="shared" si="66"/>
        <v>100067.5</v>
      </c>
      <c r="CI48" s="128">
        <f t="shared" si="67"/>
        <v>0</v>
      </c>
      <c r="CJ48" s="130">
        <f t="shared" si="68"/>
        <v>4.2500000000000003E-2</v>
      </c>
      <c r="CK48" s="128">
        <f t="shared" si="69"/>
        <v>0</v>
      </c>
      <c r="CL48" s="128">
        <f t="shared" si="70"/>
        <v>100067.5</v>
      </c>
      <c r="CN48" s="127">
        <f t="shared" si="132"/>
        <v>1000</v>
      </c>
      <c r="CO48" s="128">
        <f t="shared" si="133"/>
        <v>100000</v>
      </c>
      <c r="CP48" s="128">
        <f t="shared" si="134"/>
        <v>100000</v>
      </c>
      <c r="CQ48" s="128">
        <f t="shared" si="135"/>
        <v>100000</v>
      </c>
      <c r="CR48" s="130">
        <f t="shared" si="71"/>
        <v>5.6000000000000001E-2</v>
      </c>
      <c r="CS48" s="128">
        <f t="shared" si="72"/>
        <v>102333.33333333334</v>
      </c>
      <c r="CT48" s="128" t="str">
        <f t="shared" si="73"/>
        <v>nie</v>
      </c>
      <c r="CU48" s="128">
        <f t="shared" si="74"/>
        <v>2333.333333333343</v>
      </c>
      <c r="CV48" s="128">
        <f t="shared" si="75"/>
        <v>100000</v>
      </c>
      <c r="CW48" s="128">
        <f t="shared" si="76"/>
        <v>0</v>
      </c>
      <c r="CX48" s="130">
        <f t="shared" si="77"/>
        <v>4.2500000000000003E-2</v>
      </c>
      <c r="CY48" s="128">
        <f t="shared" si="78"/>
        <v>0</v>
      </c>
      <c r="CZ48" s="128">
        <f t="shared" si="79"/>
        <v>100000</v>
      </c>
      <c r="DA48" s="20"/>
      <c r="DB48" s="127">
        <f t="shared" si="144"/>
        <v>1000</v>
      </c>
      <c r="DC48" s="128">
        <f t="shared" si="145"/>
        <v>100000</v>
      </c>
      <c r="DD48" s="128">
        <f t="shared" si="136"/>
        <v>100000</v>
      </c>
      <c r="DE48" s="128">
        <f t="shared" si="137"/>
        <v>100000</v>
      </c>
      <c r="DF48" s="130">
        <f t="shared" si="80"/>
        <v>5.1999999999999998E-2</v>
      </c>
      <c r="DG48" s="128">
        <f t="shared" si="81"/>
        <v>102166.66666666667</v>
      </c>
      <c r="DH48" s="128" t="str">
        <f t="shared" si="82"/>
        <v>nie</v>
      </c>
      <c r="DI48" s="128">
        <f t="shared" si="83"/>
        <v>2000</v>
      </c>
      <c r="DJ48" s="128">
        <f t="shared" si="84"/>
        <v>100135</v>
      </c>
      <c r="DK48" s="128">
        <f t="shared" si="85"/>
        <v>0</v>
      </c>
      <c r="DL48" s="130">
        <f t="shared" si="86"/>
        <v>4.2500000000000003E-2</v>
      </c>
      <c r="DM48" s="128">
        <f t="shared" si="87"/>
        <v>0</v>
      </c>
      <c r="DN48" s="128">
        <f t="shared" si="88"/>
        <v>100135</v>
      </c>
      <c r="DP48" s="127">
        <f t="shared" si="146"/>
        <v>1000</v>
      </c>
      <c r="DQ48" s="128">
        <f t="shared" si="147"/>
        <v>100000</v>
      </c>
      <c r="DR48" s="128">
        <f t="shared" si="138"/>
        <v>100000</v>
      </c>
      <c r="DS48" s="128">
        <f t="shared" si="139"/>
        <v>100000</v>
      </c>
      <c r="DT48" s="130">
        <f t="shared" si="89"/>
        <v>5.8500000000000003E-2</v>
      </c>
      <c r="DU48" s="128">
        <f t="shared" si="90"/>
        <v>102437.5</v>
      </c>
      <c r="DV48" s="128" t="str">
        <f t="shared" si="91"/>
        <v>nie</v>
      </c>
      <c r="DW48" s="128">
        <f t="shared" si="92"/>
        <v>2437.5</v>
      </c>
      <c r="DX48" s="128">
        <f t="shared" si="93"/>
        <v>100000</v>
      </c>
      <c r="DY48" s="128">
        <f t="shared" si="94"/>
        <v>0</v>
      </c>
      <c r="DZ48" s="130">
        <f t="shared" si="95"/>
        <v>4.2500000000000003E-2</v>
      </c>
      <c r="EA48" s="128">
        <f t="shared" si="96"/>
        <v>0</v>
      </c>
      <c r="EB48" s="128">
        <f t="shared" si="97"/>
        <v>100000</v>
      </c>
    </row>
    <row r="49" spans="1:132">
      <c r="A49" s="224"/>
      <c r="B49" s="188">
        <f t="shared" si="98"/>
        <v>5</v>
      </c>
      <c r="C49" s="128">
        <f t="shared" si="99"/>
        <v>101037.62836947422</v>
      </c>
      <c r="D49" s="128">
        <f t="shared" si="100"/>
        <v>100926.54466486743</v>
      </c>
      <c r="E49" s="128">
        <f t="shared" si="101"/>
        <v>100759.37499999999</v>
      </c>
      <c r="F49" s="128">
        <f t="shared" si="102"/>
        <v>100067.5</v>
      </c>
      <c r="G49" s="128">
        <f t="shared" si="103"/>
        <v>100000</v>
      </c>
      <c r="H49" s="128">
        <f t="shared" si="104"/>
        <v>100135</v>
      </c>
      <c r="I49" s="128">
        <f t="shared" si="105"/>
        <v>100000</v>
      </c>
      <c r="J49" s="128">
        <f t="shared" si="106"/>
        <v>101442.62836947419</v>
      </c>
      <c r="K49" s="128">
        <f t="shared" si="107"/>
        <v>101166.66666666667</v>
      </c>
      <c r="M49" s="36"/>
      <c r="N49" s="32">
        <f t="shared" si="108"/>
        <v>5</v>
      </c>
      <c r="O49" s="25">
        <f t="shared" si="109"/>
        <v>1.0376283694742083E-2</v>
      </c>
      <c r="P49" s="25">
        <f t="shared" si="110"/>
        <v>9.265446648674347E-3</v>
      </c>
      <c r="Q49" s="25">
        <f t="shared" si="111"/>
        <v>7.5937499999998437E-3</v>
      </c>
      <c r="R49" s="25">
        <f t="shared" si="30"/>
        <v>6.7499999999998117E-4</v>
      </c>
      <c r="S49" s="25">
        <f t="shared" si="31"/>
        <v>0</v>
      </c>
      <c r="T49" s="25">
        <f t="shared" si="32"/>
        <v>1.3499999999999623E-3</v>
      </c>
      <c r="U49" s="25">
        <f t="shared" si="33"/>
        <v>0</v>
      </c>
      <c r="V49" s="25">
        <f t="shared" si="34"/>
        <v>1.442628369474197E-2</v>
      </c>
      <c r="W49" s="25">
        <f t="shared" si="112"/>
        <v>1.1666666666666714E-2</v>
      </c>
      <c r="X49" s="36"/>
      <c r="AA49" s="124">
        <f t="shared" si="113"/>
        <v>6</v>
      </c>
      <c r="AB49" s="128">
        <f t="shared" si="35"/>
        <v>101400</v>
      </c>
      <c r="AC49" s="124">
        <f t="shared" si="114"/>
        <v>6</v>
      </c>
      <c r="AD49" s="130">
        <f t="shared" si="115"/>
        <v>4.2500000000000003E-2</v>
      </c>
      <c r="AE49" s="127">
        <f t="shared" si="116"/>
        <v>1000</v>
      </c>
      <c r="AF49" s="128">
        <f t="shared" si="117"/>
        <v>100000</v>
      </c>
      <c r="AG49" s="128">
        <f t="shared" si="140"/>
        <v>100000</v>
      </c>
      <c r="AH49" s="128">
        <f t="shared" si="118"/>
        <v>100000</v>
      </c>
      <c r="AI49" s="130">
        <f t="shared" si="36"/>
        <v>4.2500000000000003E-2</v>
      </c>
      <c r="AJ49" s="128">
        <f t="shared" si="37"/>
        <v>100354.16666666667</v>
      </c>
      <c r="AK49" s="128" t="str">
        <f t="shared" si="38"/>
        <v>nie</v>
      </c>
      <c r="AL49" s="128">
        <f t="shared" si="39"/>
        <v>500</v>
      </c>
      <c r="AM49" s="128">
        <f t="shared" si="40"/>
        <v>99881.875</v>
      </c>
      <c r="AN49" s="128">
        <f t="shared" si="41"/>
        <v>286.87500000000392</v>
      </c>
      <c r="AO49" s="130">
        <f t="shared" si="42"/>
        <v>4.2500000000000003E-2</v>
      </c>
      <c r="AP49" s="128">
        <f t="shared" si="43"/>
        <v>1733.6419096091581</v>
      </c>
      <c r="AQ49" s="128">
        <f t="shared" si="44"/>
        <v>101328.64190960916</v>
      </c>
      <c r="AS49" s="124">
        <f t="shared" si="119"/>
        <v>6</v>
      </c>
      <c r="AT49" s="130">
        <f t="shared" si="120"/>
        <v>4.2500000000000003E-2</v>
      </c>
      <c r="AU49" s="127">
        <f t="shared" si="121"/>
        <v>1000</v>
      </c>
      <c r="AV49" s="128">
        <f t="shared" si="122"/>
        <v>100000</v>
      </c>
      <c r="AW49" s="128">
        <f t="shared" si="141"/>
        <v>100000</v>
      </c>
      <c r="AX49" s="128">
        <f t="shared" si="123"/>
        <v>100000</v>
      </c>
      <c r="AY49" s="130">
        <f t="shared" si="45"/>
        <v>4.4000000000000004E-2</v>
      </c>
      <c r="AZ49" s="128">
        <f t="shared" si="46"/>
        <v>100366.66666666667</v>
      </c>
      <c r="BA49" s="128" t="str">
        <f t="shared" si="47"/>
        <v>nie</v>
      </c>
      <c r="BB49" s="128">
        <f t="shared" si="48"/>
        <v>700</v>
      </c>
      <c r="BC49" s="128">
        <f t="shared" si="49"/>
        <v>99730</v>
      </c>
      <c r="BD49" s="128">
        <f t="shared" si="50"/>
        <v>297.00000000000392</v>
      </c>
      <c r="BE49" s="130">
        <f t="shared" si="51"/>
        <v>4.2500000000000003E-2</v>
      </c>
      <c r="BF49" s="128">
        <f t="shared" si="52"/>
        <v>1794.8292711247748</v>
      </c>
      <c r="BG49" s="128">
        <f t="shared" si="53"/>
        <v>101227.82927112478</v>
      </c>
      <c r="BI49" s="124">
        <f t="shared" si="124"/>
        <v>6</v>
      </c>
      <c r="BJ49" s="129"/>
      <c r="BK49" s="127">
        <f t="shared" si="125"/>
        <v>1000</v>
      </c>
      <c r="BL49" s="128">
        <f t="shared" si="126"/>
        <v>100000</v>
      </c>
      <c r="BM49" s="128">
        <f t="shared" si="142"/>
        <v>100000</v>
      </c>
      <c r="BN49" s="128">
        <f t="shared" si="127"/>
        <v>100000</v>
      </c>
      <c r="BO49" s="130">
        <f t="shared" si="54"/>
        <v>4.65E-2</v>
      </c>
      <c r="BP49" s="128">
        <f t="shared" si="55"/>
        <v>102325</v>
      </c>
      <c r="BQ49" s="128" t="str">
        <f t="shared" si="56"/>
        <v>nie</v>
      </c>
      <c r="BR49" s="128">
        <f t="shared" si="57"/>
        <v>1000</v>
      </c>
      <c r="BS49" s="128">
        <f t="shared" si="58"/>
        <v>101073.25</v>
      </c>
      <c r="BT49" s="128">
        <f t="shared" si="128"/>
        <v>0</v>
      </c>
      <c r="BU49" s="130">
        <f t="shared" si="59"/>
        <v>4.2500000000000003E-2</v>
      </c>
      <c r="BV49" s="128">
        <f t="shared" si="60"/>
        <v>0</v>
      </c>
      <c r="BW49" s="128">
        <f t="shared" si="61"/>
        <v>101073.25</v>
      </c>
      <c r="BY49" s="129"/>
      <c r="BZ49" s="127">
        <f t="shared" si="129"/>
        <v>1000</v>
      </c>
      <c r="CA49" s="128">
        <f t="shared" si="130"/>
        <v>100000</v>
      </c>
      <c r="CB49" s="128">
        <f t="shared" si="143"/>
        <v>100000</v>
      </c>
      <c r="CC49" s="128">
        <f t="shared" si="131"/>
        <v>100000</v>
      </c>
      <c r="CD49" s="130">
        <f t="shared" si="62"/>
        <v>0.05</v>
      </c>
      <c r="CE49" s="128">
        <f t="shared" si="63"/>
        <v>102499.99999999999</v>
      </c>
      <c r="CF49" s="128" t="str">
        <f t="shared" si="64"/>
        <v>nie</v>
      </c>
      <c r="CG49" s="128">
        <f t="shared" si="65"/>
        <v>2000</v>
      </c>
      <c r="CH49" s="128">
        <f t="shared" si="66"/>
        <v>100404.99999999999</v>
      </c>
      <c r="CI49" s="128">
        <f t="shared" si="67"/>
        <v>0</v>
      </c>
      <c r="CJ49" s="130">
        <f t="shared" si="68"/>
        <v>4.2500000000000003E-2</v>
      </c>
      <c r="CK49" s="128">
        <f t="shared" si="69"/>
        <v>0</v>
      </c>
      <c r="CL49" s="128">
        <f t="shared" si="70"/>
        <v>100404.99999999999</v>
      </c>
      <c r="CN49" s="127">
        <f t="shared" si="132"/>
        <v>1000</v>
      </c>
      <c r="CO49" s="128">
        <f t="shared" si="133"/>
        <v>100000</v>
      </c>
      <c r="CP49" s="128">
        <f t="shared" si="134"/>
        <v>100000</v>
      </c>
      <c r="CQ49" s="128">
        <f t="shared" si="135"/>
        <v>100000</v>
      </c>
      <c r="CR49" s="130">
        <f t="shared" si="71"/>
        <v>5.6000000000000001E-2</v>
      </c>
      <c r="CS49" s="128">
        <f t="shared" si="72"/>
        <v>102800</v>
      </c>
      <c r="CT49" s="128" t="str">
        <f t="shared" si="73"/>
        <v>nie</v>
      </c>
      <c r="CU49" s="128">
        <f t="shared" si="74"/>
        <v>2800</v>
      </c>
      <c r="CV49" s="128">
        <f t="shared" si="75"/>
        <v>100000</v>
      </c>
      <c r="CW49" s="128">
        <f t="shared" si="76"/>
        <v>0</v>
      </c>
      <c r="CX49" s="130">
        <f t="shared" si="77"/>
        <v>4.2500000000000003E-2</v>
      </c>
      <c r="CY49" s="128">
        <f t="shared" si="78"/>
        <v>0</v>
      </c>
      <c r="CZ49" s="128">
        <f t="shared" si="79"/>
        <v>100000</v>
      </c>
      <c r="DA49" s="20"/>
      <c r="DB49" s="127">
        <f t="shared" si="144"/>
        <v>1000</v>
      </c>
      <c r="DC49" s="128">
        <f t="shared" si="145"/>
        <v>100000</v>
      </c>
      <c r="DD49" s="128">
        <f t="shared" si="136"/>
        <v>100000</v>
      </c>
      <c r="DE49" s="128">
        <f t="shared" si="137"/>
        <v>100000</v>
      </c>
      <c r="DF49" s="130">
        <f t="shared" si="80"/>
        <v>5.1999999999999998E-2</v>
      </c>
      <c r="DG49" s="128">
        <f t="shared" si="81"/>
        <v>102600</v>
      </c>
      <c r="DH49" s="128" t="str">
        <f t="shared" si="82"/>
        <v>nie</v>
      </c>
      <c r="DI49" s="128">
        <f t="shared" si="83"/>
        <v>2000</v>
      </c>
      <c r="DJ49" s="128">
        <f t="shared" si="84"/>
        <v>100486</v>
      </c>
      <c r="DK49" s="128">
        <f t="shared" si="85"/>
        <v>0</v>
      </c>
      <c r="DL49" s="130">
        <f t="shared" si="86"/>
        <v>4.2500000000000003E-2</v>
      </c>
      <c r="DM49" s="128">
        <f t="shared" si="87"/>
        <v>0</v>
      </c>
      <c r="DN49" s="128">
        <f t="shared" si="88"/>
        <v>100486</v>
      </c>
      <c r="DP49" s="127">
        <f t="shared" si="146"/>
        <v>1000</v>
      </c>
      <c r="DQ49" s="128">
        <f t="shared" si="147"/>
        <v>100000</v>
      </c>
      <c r="DR49" s="128">
        <f t="shared" si="138"/>
        <v>100000</v>
      </c>
      <c r="DS49" s="128">
        <f t="shared" si="139"/>
        <v>100000</v>
      </c>
      <c r="DT49" s="130">
        <f t="shared" si="89"/>
        <v>5.8500000000000003E-2</v>
      </c>
      <c r="DU49" s="128">
        <f t="shared" si="90"/>
        <v>102925</v>
      </c>
      <c r="DV49" s="128" t="str">
        <f t="shared" si="91"/>
        <v>nie</v>
      </c>
      <c r="DW49" s="128">
        <f t="shared" si="92"/>
        <v>2925</v>
      </c>
      <c r="DX49" s="128">
        <f t="shared" si="93"/>
        <v>100000</v>
      </c>
      <c r="DY49" s="128">
        <f t="shared" si="94"/>
        <v>0</v>
      </c>
      <c r="DZ49" s="130">
        <f t="shared" si="95"/>
        <v>4.2500000000000003E-2</v>
      </c>
      <c r="EA49" s="128">
        <f t="shared" si="96"/>
        <v>0</v>
      </c>
      <c r="EB49" s="128">
        <f t="shared" si="97"/>
        <v>100000</v>
      </c>
    </row>
    <row r="50" spans="1:132">
      <c r="A50" s="224"/>
      <c r="B50" s="188">
        <f t="shared" si="98"/>
        <v>6</v>
      </c>
      <c r="C50" s="128">
        <f t="shared" si="99"/>
        <v>101328.64190960916</v>
      </c>
      <c r="D50" s="128">
        <f t="shared" si="100"/>
        <v>101227.82927112478</v>
      </c>
      <c r="E50" s="128">
        <f t="shared" si="101"/>
        <v>101073.25</v>
      </c>
      <c r="F50" s="128">
        <f t="shared" si="102"/>
        <v>100404.99999999999</v>
      </c>
      <c r="G50" s="128">
        <f t="shared" si="103"/>
        <v>100000</v>
      </c>
      <c r="H50" s="128">
        <f t="shared" si="104"/>
        <v>100486</v>
      </c>
      <c r="I50" s="128">
        <f t="shared" si="105"/>
        <v>100000</v>
      </c>
      <c r="J50" s="128">
        <f t="shared" si="106"/>
        <v>101733.64190960911</v>
      </c>
      <c r="K50" s="128">
        <f t="shared" si="107"/>
        <v>101400</v>
      </c>
      <c r="M50" s="36"/>
      <c r="N50" s="32">
        <f t="shared" si="108"/>
        <v>6</v>
      </c>
      <c r="O50" s="25">
        <f t="shared" si="109"/>
        <v>1.3286419096091517E-2</v>
      </c>
      <c r="P50" s="25">
        <f t="shared" si="110"/>
        <v>1.2278292711247696E-2</v>
      </c>
      <c r="Q50" s="25">
        <f t="shared" si="111"/>
        <v>1.0732500000000034E-2</v>
      </c>
      <c r="R50" s="25">
        <f t="shared" si="30"/>
        <v>4.049999999999887E-3</v>
      </c>
      <c r="S50" s="25">
        <f t="shared" si="31"/>
        <v>0</v>
      </c>
      <c r="T50" s="25">
        <f t="shared" si="32"/>
        <v>4.8600000000000865E-3</v>
      </c>
      <c r="U50" s="25">
        <f t="shared" si="33"/>
        <v>0</v>
      </c>
      <c r="V50" s="25">
        <f t="shared" si="34"/>
        <v>1.7336419096091182E-2</v>
      </c>
      <c r="W50" s="25">
        <f t="shared" si="112"/>
        <v>1.4000000000000012E-2</v>
      </c>
      <c r="X50" s="36"/>
      <c r="AA50" s="124">
        <f t="shared" si="113"/>
        <v>7</v>
      </c>
      <c r="AB50" s="128">
        <f t="shared" si="35"/>
        <v>101633.33333333333</v>
      </c>
      <c r="AC50" s="124">
        <f t="shared" si="114"/>
        <v>7</v>
      </c>
      <c r="AD50" s="130">
        <f t="shared" si="115"/>
        <v>4.2500000000000003E-2</v>
      </c>
      <c r="AE50" s="127">
        <f t="shared" si="116"/>
        <v>1000</v>
      </c>
      <c r="AF50" s="128">
        <f t="shared" si="117"/>
        <v>100000</v>
      </c>
      <c r="AG50" s="128">
        <f t="shared" si="140"/>
        <v>100000</v>
      </c>
      <c r="AH50" s="128">
        <f t="shared" si="118"/>
        <v>100000</v>
      </c>
      <c r="AI50" s="130">
        <f t="shared" si="36"/>
        <v>4.2500000000000003E-2</v>
      </c>
      <c r="AJ50" s="128">
        <f t="shared" si="37"/>
        <v>100354.16666666667</v>
      </c>
      <c r="AK50" s="128" t="str">
        <f t="shared" si="38"/>
        <v>nie</v>
      </c>
      <c r="AL50" s="128">
        <f t="shared" si="39"/>
        <v>500</v>
      </c>
      <c r="AM50" s="128">
        <f t="shared" si="40"/>
        <v>99881.875</v>
      </c>
      <c r="AN50" s="128">
        <f t="shared" si="41"/>
        <v>286.87500000000392</v>
      </c>
      <c r="AO50" s="130">
        <f t="shared" si="42"/>
        <v>4.2500000000000003E-2</v>
      </c>
      <c r="AP50" s="128">
        <f t="shared" si="43"/>
        <v>2025.4902948373533</v>
      </c>
      <c r="AQ50" s="128">
        <f t="shared" si="44"/>
        <v>101620.49029483735</v>
      </c>
      <c r="AS50" s="124">
        <f t="shared" si="119"/>
        <v>7</v>
      </c>
      <c r="AT50" s="130">
        <f t="shared" si="120"/>
        <v>4.2500000000000003E-2</v>
      </c>
      <c r="AU50" s="127">
        <f t="shared" si="121"/>
        <v>1000</v>
      </c>
      <c r="AV50" s="128">
        <f t="shared" si="122"/>
        <v>100000</v>
      </c>
      <c r="AW50" s="128">
        <f t="shared" si="141"/>
        <v>100000</v>
      </c>
      <c r="AX50" s="128">
        <f t="shared" si="123"/>
        <v>100000</v>
      </c>
      <c r="AY50" s="130">
        <f t="shared" si="45"/>
        <v>4.4000000000000004E-2</v>
      </c>
      <c r="AZ50" s="128">
        <f t="shared" si="46"/>
        <v>100366.66666666667</v>
      </c>
      <c r="BA50" s="128" t="str">
        <f t="shared" si="47"/>
        <v>nie</v>
      </c>
      <c r="BB50" s="128">
        <f t="shared" si="48"/>
        <v>700</v>
      </c>
      <c r="BC50" s="128">
        <f t="shared" si="49"/>
        <v>99730</v>
      </c>
      <c r="BD50" s="128">
        <f t="shared" si="50"/>
        <v>297.00000000000392</v>
      </c>
      <c r="BE50" s="130">
        <f t="shared" si="51"/>
        <v>4.2500000000000003E-2</v>
      </c>
      <c r="BF50" s="128">
        <f t="shared" si="52"/>
        <v>2096.9781875963181</v>
      </c>
      <c r="BG50" s="128">
        <f t="shared" si="53"/>
        <v>101529.97818759631</v>
      </c>
      <c r="BI50" s="124">
        <f t="shared" si="124"/>
        <v>7</v>
      </c>
      <c r="BJ50" s="130">
        <f t="shared" ref="BJ50:BJ81" si="148">MAX(INDEX(scenariusz_I_WIBOR6M,MATCH(ROUNDUP(BI50/12,0),scenariusz_I_rok,0)),0)</f>
        <v>4.1300000000000003E-2</v>
      </c>
      <c r="BK50" s="127">
        <f t="shared" si="125"/>
        <v>1000</v>
      </c>
      <c r="BL50" s="128">
        <f t="shared" si="126"/>
        <v>100000</v>
      </c>
      <c r="BM50" s="128">
        <f t="shared" si="142"/>
        <v>100000</v>
      </c>
      <c r="BN50" s="128">
        <f t="shared" si="127"/>
        <v>100000</v>
      </c>
      <c r="BO50" s="130">
        <f t="shared" si="54"/>
        <v>4.65E-2</v>
      </c>
      <c r="BP50" s="128">
        <f t="shared" si="55"/>
        <v>102712.5</v>
      </c>
      <c r="BQ50" s="128" t="str">
        <f t="shared" si="56"/>
        <v>nie</v>
      </c>
      <c r="BR50" s="128">
        <f t="shared" si="57"/>
        <v>1000</v>
      </c>
      <c r="BS50" s="128">
        <f t="shared" si="58"/>
        <v>101387.125</v>
      </c>
      <c r="BT50" s="128">
        <f t="shared" si="128"/>
        <v>0</v>
      </c>
      <c r="BU50" s="130">
        <f t="shared" si="59"/>
        <v>4.2500000000000003E-2</v>
      </c>
      <c r="BV50" s="128">
        <f t="shared" si="60"/>
        <v>0</v>
      </c>
      <c r="BW50" s="128">
        <f t="shared" si="61"/>
        <v>101387.125</v>
      </c>
      <c r="BY50" s="129"/>
      <c r="BZ50" s="127">
        <f t="shared" si="129"/>
        <v>1000</v>
      </c>
      <c r="CA50" s="128">
        <f t="shared" si="130"/>
        <v>100000</v>
      </c>
      <c r="CB50" s="128">
        <f t="shared" si="143"/>
        <v>100000</v>
      </c>
      <c r="CC50" s="128">
        <f t="shared" si="131"/>
        <v>100000</v>
      </c>
      <c r="CD50" s="130">
        <f t="shared" si="62"/>
        <v>0.05</v>
      </c>
      <c r="CE50" s="128">
        <f t="shared" si="63"/>
        <v>102916.66666666666</v>
      </c>
      <c r="CF50" s="128" t="str">
        <f t="shared" si="64"/>
        <v>nie</v>
      </c>
      <c r="CG50" s="128">
        <f t="shared" si="65"/>
        <v>2000</v>
      </c>
      <c r="CH50" s="128">
        <f t="shared" si="66"/>
        <v>100742.49999999999</v>
      </c>
      <c r="CI50" s="128">
        <f t="shared" si="67"/>
        <v>0</v>
      </c>
      <c r="CJ50" s="130">
        <f t="shared" si="68"/>
        <v>4.2500000000000003E-2</v>
      </c>
      <c r="CK50" s="128">
        <f t="shared" si="69"/>
        <v>0</v>
      </c>
      <c r="CL50" s="128">
        <f t="shared" si="70"/>
        <v>100742.49999999999</v>
      </c>
      <c r="CN50" s="127">
        <f t="shared" si="132"/>
        <v>1000</v>
      </c>
      <c r="CO50" s="128">
        <f t="shared" si="133"/>
        <v>100000</v>
      </c>
      <c r="CP50" s="128">
        <f t="shared" si="134"/>
        <v>100000</v>
      </c>
      <c r="CQ50" s="128">
        <f t="shared" si="135"/>
        <v>100000</v>
      </c>
      <c r="CR50" s="130">
        <f t="shared" si="71"/>
        <v>5.6000000000000001E-2</v>
      </c>
      <c r="CS50" s="128">
        <f t="shared" si="72"/>
        <v>103266.66666666666</v>
      </c>
      <c r="CT50" s="128" t="str">
        <f t="shared" si="73"/>
        <v>nie</v>
      </c>
      <c r="CU50" s="128">
        <f t="shared" si="74"/>
        <v>3000</v>
      </c>
      <c r="CV50" s="128">
        <f t="shared" si="75"/>
        <v>100215.99999999999</v>
      </c>
      <c r="CW50" s="128">
        <f t="shared" si="76"/>
        <v>0</v>
      </c>
      <c r="CX50" s="130">
        <f t="shared" si="77"/>
        <v>4.2500000000000003E-2</v>
      </c>
      <c r="CY50" s="128">
        <f t="shared" si="78"/>
        <v>0</v>
      </c>
      <c r="CZ50" s="128">
        <f t="shared" si="79"/>
        <v>100215.99999999999</v>
      </c>
      <c r="DA50" s="20"/>
      <c r="DB50" s="127">
        <f t="shared" si="144"/>
        <v>1000</v>
      </c>
      <c r="DC50" s="128">
        <f t="shared" si="145"/>
        <v>100000</v>
      </c>
      <c r="DD50" s="128">
        <f t="shared" si="136"/>
        <v>100000</v>
      </c>
      <c r="DE50" s="128">
        <f t="shared" si="137"/>
        <v>100000</v>
      </c>
      <c r="DF50" s="130">
        <f t="shared" si="80"/>
        <v>5.1999999999999998E-2</v>
      </c>
      <c r="DG50" s="128">
        <f t="shared" si="81"/>
        <v>103033.33333333333</v>
      </c>
      <c r="DH50" s="128" t="str">
        <f t="shared" si="82"/>
        <v>nie</v>
      </c>
      <c r="DI50" s="128">
        <f t="shared" si="83"/>
        <v>2000</v>
      </c>
      <c r="DJ50" s="128">
        <f t="shared" si="84"/>
        <v>100837</v>
      </c>
      <c r="DK50" s="128">
        <f t="shared" si="85"/>
        <v>0</v>
      </c>
      <c r="DL50" s="130">
        <f t="shared" si="86"/>
        <v>4.2500000000000003E-2</v>
      </c>
      <c r="DM50" s="128">
        <f t="shared" si="87"/>
        <v>0</v>
      </c>
      <c r="DN50" s="128">
        <f t="shared" si="88"/>
        <v>100837</v>
      </c>
      <c r="DP50" s="127">
        <f t="shared" si="146"/>
        <v>1000</v>
      </c>
      <c r="DQ50" s="128">
        <f t="shared" si="147"/>
        <v>100000</v>
      </c>
      <c r="DR50" s="128">
        <f t="shared" si="138"/>
        <v>100000</v>
      </c>
      <c r="DS50" s="128">
        <f t="shared" si="139"/>
        <v>100000</v>
      </c>
      <c r="DT50" s="130">
        <f t="shared" si="89"/>
        <v>5.8500000000000003E-2</v>
      </c>
      <c r="DU50" s="128">
        <f t="shared" si="90"/>
        <v>103412.5</v>
      </c>
      <c r="DV50" s="128" t="str">
        <f t="shared" si="91"/>
        <v>nie</v>
      </c>
      <c r="DW50" s="128">
        <f t="shared" si="92"/>
        <v>3000</v>
      </c>
      <c r="DX50" s="128">
        <f t="shared" si="93"/>
        <v>100334.125</v>
      </c>
      <c r="DY50" s="128">
        <f t="shared" si="94"/>
        <v>0</v>
      </c>
      <c r="DZ50" s="130">
        <f t="shared" si="95"/>
        <v>4.2500000000000003E-2</v>
      </c>
      <c r="EA50" s="128">
        <f t="shared" si="96"/>
        <v>0</v>
      </c>
      <c r="EB50" s="128">
        <f t="shared" si="97"/>
        <v>100334.125</v>
      </c>
    </row>
    <row r="51" spans="1:132">
      <c r="A51" s="224"/>
      <c r="B51" s="188">
        <f t="shared" si="98"/>
        <v>7</v>
      </c>
      <c r="C51" s="128">
        <f t="shared" si="99"/>
        <v>101620.49029483735</v>
      </c>
      <c r="D51" s="128">
        <f t="shared" si="100"/>
        <v>101529.97818759631</v>
      </c>
      <c r="E51" s="128">
        <f t="shared" si="101"/>
        <v>101387.125</v>
      </c>
      <c r="F51" s="128">
        <f t="shared" si="102"/>
        <v>100742.49999999999</v>
      </c>
      <c r="G51" s="128">
        <f t="shared" si="103"/>
        <v>100215.99999999999</v>
      </c>
      <c r="H51" s="128">
        <f t="shared" si="104"/>
        <v>100837</v>
      </c>
      <c r="I51" s="128">
        <f t="shared" si="105"/>
        <v>100334.125</v>
      </c>
      <c r="J51" s="128">
        <f t="shared" si="106"/>
        <v>102025.49029483731</v>
      </c>
      <c r="K51" s="128">
        <f t="shared" si="107"/>
        <v>101633.33333333333</v>
      </c>
      <c r="M51" s="36"/>
      <c r="N51" s="32">
        <f t="shared" si="108"/>
        <v>7</v>
      </c>
      <c r="O51" s="25">
        <f t="shared" si="109"/>
        <v>1.6204902948373512E-2</v>
      </c>
      <c r="P51" s="25">
        <f t="shared" si="110"/>
        <v>1.5299781875963037E-2</v>
      </c>
      <c r="Q51" s="25">
        <f t="shared" si="111"/>
        <v>1.3871250000000002E-2</v>
      </c>
      <c r="R51" s="25">
        <f t="shared" si="30"/>
        <v>7.4249999999997929E-3</v>
      </c>
      <c r="S51" s="25">
        <f t="shared" si="31"/>
        <v>2.1599999999999397E-3</v>
      </c>
      <c r="T51" s="25">
        <f t="shared" si="32"/>
        <v>8.3699999999999886E-3</v>
      </c>
      <c r="U51" s="25">
        <f t="shared" si="33"/>
        <v>3.3412500000000733E-3</v>
      </c>
      <c r="V51" s="25">
        <f t="shared" si="34"/>
        <v>2.0254902948372955E-2</v>
      </c>
      <c r="W51" s="25">
        <f t="shared" si="112"/>
        <v>1.6333333333333311E-2</v>
      </c>
      <c r="X51" s="36"/>
      <c r="AA51" s="124">
        <f t="shared" si="113"/>
        <v>8</v>
      </c>
      <c r="AB51" s="128">
        <f t="shared" si="35"/>
        <v>101866.66666666666</v>
      </c>
      <c r="AC51" s="124">
        <f t="shared" si="114"/>
        <v>8</v>
      </c>
      <c r="AD51" s="130">
        <f t="shared" si="115"/>
        <v>4.2500000000000003E-2</v>
      </c>
      <c r="AE51" s="127">
        <f t="shared" si="116"/>
        <v>1000</v>
      </c>
      <c r="AF51" s="128">
        <f t="shared" si="117"/>
        <v>100000</v>
      </c>
      <c r="AG51" s="128">
        <f t="shared" si="140"/>
        <v>100000</v>
      </c>
      <c r="AH51" s="128">
        <f t="shared" si="118"/>
        <v>100000</v>
      </c>
      <c r="AI51" s="130">
        <f t="shared" si="36"/>
        <v>4.2500000000000003E-2</v>
      </c>
      <c r="AJ51" s="128">
        <f t="shared" si="37"/>
        <v>100354.16666666667</v>
      </c>
      <c r="AK51" s="128" t="str">
        <f t="shared" si="38"/>
        <v>nie</v>
      </c>
      <c r="AL51" s="128">
        <f t="shared" si="39"/>
        <v>500</v>
      </c>
      <c r="AM51" s="128">
        <f t="shared" si="40"/>
        <v>99881.875</v>
      </c>
      <c r="AN51" s="128">
        <f t="shared" si="41"/>
        <v>286.87500000000392</v>
      </c>
      <c r="AO51" s="130">
        <f t="shared" si="42"/>
        <v>4.2500000000000003E-2</v>
      </c>
      <c r="AP51" s="128">
        <f t="shared" si="43"/>
        <v>2318.1759201206719</v>
      </c>
      <c r="AQ51" s="128">
        <f t="shared" si="44"/>
        <v>101913.17592012067</v>
      </c>
      <c r="AS51" s="124">
        <f t="shared" si="119"/>
        <v>8</v>
      </c>
      <c r="AT51" s="130">
        <f t="shared" si="120"/>
        <v>4.2500000000000003E-2</v>
      </c>
      <c r="AU51" s="127">
        <f t="shared" si="121"/>
        <v>1000</v>
      </c>
      <c r="AV51" s="128">
        <f t="shared" si="122"/>
        <v>100000</v>
      </c>
      <c r="AW51" s="128">
        <f t="shared" si="141"/>
        <v>100000</v>
      </c>
      <c r="AX51" s="128">
        <f t="shared" si="123"/>
        <v>100000</v>
      </c>
      <c r="AY51" s="130">
        <f t="shared" si="45"/>
        <v>4.4000000000000004E-2</v>
      </c>
      <c r="AZ51" s="128">
        <f t="shared" si="46"/>
        <v>100366.66666666667</v>
      </c>
      <c r="BA51" s="128" t="str">
        <f t="shared" si="47"/>
        <v>nie</v>
      </c>
      <c r="BB51" s="128">
        <f t="shared" si="48"/>
        <v>700</v>
      </c>
      <c r="BC51" s="128">
        <f t="shared" si="49"/>
        <v>99730</v>
      </c>
      <c r="BD51" s="128">
        <f t="shared" si="50"/>
        <v>297.00000000000392</v>
      </c>
      <c r="BE51" s="130">
        <f t="shared" si="51"/>
        <v>4.2500000000000003E-2</v>
      </c>
      <c r="BF51" s="128">
        <f t="shared" si="52"/>
        <v>2399.993893771989</v>
      </c>
      <c r="BG51" s="128">
        <f t="shared" si="53"/>
        <v>101832.99389377199</v>
      </c>
      <c r="BI51" s="124">
        <f t="shared" si="124"/>
        <v>8</v>
      </c>
      <c r="BJ51" s="130">
        <f t="shared" si="148"/>
        <v>4.1300000000000003E-2</v>
      </c>
      <c r="BK51" s="127">
        <f t="shared" si="125"/>
        <v>1000</v>
      </c>
      <c r="BL51" s="128">
        <f t="shared" si="126"/>
        <v>100000</v>
      </c>
      <c r="BM51" s="128">
        <f t="shared" si="142"/>
        <v>100000</v>
      </c>
      <c r="BN51" s="128">
        <f t="shared" si="127"/>
        <v>100000</v>
      </c>
      <c r="BO51" s="130">
        <f t="shared" si="54"/>
        <v>4.65E-2</v>
      </c>
      <c r="BP51" s="128">
        <f t="shared" si="55"/>
        <v>103099.99999999999</v>
      </c>
      <c r="BQ51" s="128" t="str">
        <f t="shared" si="56"/>
        <v>nie</v>
      </c>
      <c r="BR51" s="128">
        <f t="shared" si="57"/>
        <v>1000</v>
      </c>
      <c r="BS51" s="128">
        <f t="shared" si="58"/>
        <v>101700.99999999999</v>
      </c>
      <c r="BT51" s="128">
        <f t="shared" si="128"/>
        <v>0</v>
      </c>
      <c r="BU51" s="130">
        <f t="shared" si="59"/>
        <v>4.2500000000000003E-2</v>
      </c>
      <c r="BV51" s="128">
        <f t="shared" si="60"/>
        <v>0</v>
      </c>
      <c r="BW51" s="128">
        <f t="shared" si="61"/>
        <v>101700.99999999999</v>
      </c>
      <c r="BY51" s="129"/>
      <c r="BZ51" s="127">
        <f t="shared" si="129"/>
        <v>1000</v>
      </c>
      <c r="CA51" s="128">
        <f t="shared" si="130"/>
        <v>100000</v>
      </c>
      <c r="CB51" s="128">
        <f t="shared" si="143"/>
        <v>100000</v>
      </c>
      <c r="CC51" s="128">
        <f t="shared" si="131"/>
        <v>100000</v>
      </c>
      <c r="CD51" s="130">
        <f t="shared" si="62"/>
        <v>0.05</v>
      </c>
      <c r="CE51" s="128">
        <f t="shared" si="63"/>
        <v>103333.33333333334</v>
      </c>
      <c r="CF51" s="128" t="str">
        <f t="shared" si="64"/>
        <v>nie</v>
      </c>
      <c r="CG51" s="128">
        <f t="shared" si="65"/>
        <v>2000</v>
      </c>
      <c r="CH51" s="128">
        <f t="shared" si="66"/>
        <v>101080.00000000001</v>
      </c>
      <c r="CI51" s="128">
        <f t="shared" si="67"/>
        <v>0</v>
      </c>
      <c r="CJ51" s="130">
        <f t="shared" si="68"/>
        <v>4.2500000000000003E-2</v>
      </c>
      <c r="CK51" s="128">
        <f t="shared" si="69"/>
        <v>0</v>
      </c>
      <c r="CL51" s="128">
        <f t="shared" si="70"/>
        <v>101080.00000000001</v>
      </c>
      <c r="CN51" s="127">
        <f t="shared" si="132"/>
        <v>1000</v>
      </c>
      <c r="CO51" s="128">
        <f t="shared" si="133"/>
        <v>100000</v>
      </c>
      <c r="CP51" s="128">
        <f t="shared" si="134"/>
        <v>100000</v>
      </c>
      <c r="CQ51" s="128">
        <f t="shared" si="135"/>
        <v>100000</v>
      </c>
      <c r="CR51" s="130">
        <f t="shared" si="71"/>
        <v>5.6000000000000001E-2</v>
      </c>
      <c r="CS51" s="128">
        <f t="shared" si="72"/>
        <v>103733.33333333334</v>
      </c>
      <c r="CT51" s="128" t="str">
        <f t="shared" si="73"/>
        <v>nie</v>
      </c>
      <c r="CU51" s="128">
        <f t="shared" si="74"/>
        <v>3000</v>
      </c>
      <c r="CV51" s="128">
        <f t="shared" si="75"/>
        <v>100594.00000000001</v>
      </c>
      <c r="CW51" s="128">
        <f t="shared" si="76"/>
        <v>0</v>
      </c>
      <c r="CX51" s="130">
        <f t="shared" si="77"/>
        <v>4.2500000000000003E-2</v>
      </c>
      <c r="CY51" s="128">
        <f t="shared" si="78"/>
        <v>0</v>
      </c>
      <c r="CZ51" s="128">
        <f t="shared" si="79"/>
        <v>100594.00000000001</v>
      </c>
      <c r="DA51" s="20"/>
      <c r="DB51" s="127">
        <f t="shared" si="144"/>
        <v>1000</v>
      </c>
      <c r="DC51" s="128">
        <f t="shared" si="145"/>
        <v>100000</v>
      </c>
      <c r="DD51" s="128">
        <f t="shared" si="136"/>
        <v>100000</v>
      </c>
      <c r="DE51" s="128">
        <f t="shared" si="137"/>
        <v>100000</v>
      </c>
      <c r="DF51" s="130">
        <f t="shared" si="80"/>
        <v>5.1999999999999998E-2</v>
      </c>
      <c r="DG51" s="128">
        <f t="shared" si="81"/>
        <v>103466.66666666666</v>
      </c>
      <c r="DH51" s="128" t="str">
        <f t="shared" si="82"/>
        <v>nie</v>
      </c>
      <c r="DI51" s="128">
        <f t="shared" si="83"/>
        <v>2000</v>
      </c>
      <c r="DJ51" s="128">
        <f t="shared" si="84"/>
        <v>101187.99999999999</v>
      </c>
      <c r="DK51" s="128">
        <f t="shared" si="85"/>
        <v>0</v>
      </c>
      <c r="DL51" s="130">
        <f t="shared" si="86"/>
        <v>4.2500000000000003E-2</v>
      </c>
      <c r="DM51" s="128">
        <f t="shared" si="87"/>
        <v>0</v>
      </c>
      <c r="DN51" s="128">
        <f t="shared" si="88"/>
        <v>101187.99999999999</v>
      </c>
      <c r="DP51" s="127">
        <f t="shared" si="146"/>
        <v>1000</v>
      </c>
      <c r="DQ51" s="128">
        <f t="shared" si="147"/>
        <v>100000</v>
      </c>
      <c r="DR51" s="128">
        <f t="shared" si="138"/>
        <v>100000</v>
      </c>
      <c r="DS51" s="128">
        <f t="shared" si="139"/>
        <v>100000</v>
      </c>
      <c r="DT51" s="130">
        <f t="shared" si="89"/>
        <v>5.8500000000000003E-2</v>
      </c>
      <c r="DU51" s="128">
        <f t="shared" si="90"/>
        <v>103899.99999999999</v>
      </c>
      <c r="DV51" s="128" t="str">
        <f t="shared" si="91"/>
        <v>nie</v>
      </c>
      <c r="DW51" s="128">
        <f t="shared" si="92"/>
        <v>3000</v>
      </c>
      <c r="DX51" s="128">
        <f t="shared" si="93"/>
        <v>100728.99999999999</v>
      </c>
      <c r="DY51" s="128">
        <f t="shared" si="94"/>
        <v>0</v>
      </c>
      <c r="DZ51" s="130">
        <f t="shared" si="95"/>
        <v>4.2500000000000003E-2</v>
      </c>
      <c r="EA51" s="128">
        <f t="shared" si="96"/>
        <v>0</v>
      </c>
      <c r="EB51" s="128">
        <f t="shared" si="97"/>
        <v>100728.99999999999</v>
      </c>
    </row>
    <row r="52" spans="1:132">
      <c r="A52" s="224"/>
      <c r="B52" s="188">
        <f t="shared" si="98"/>
        <v>8</v>
      </c>
      <c r="C52" s="128">
        <f t="shared" si="99"/>
        <v>101913.17592012067</v>
      </c>
      <c r="D52" s="128">
        <f t="shared" si="100"/>
        <v>101832.99389377199</v>
      </c>
      <c r="E52" s="128">
        <f t="shared" si="101"/>
        <v>101700.99999999999</v>
      </c>
      <c r="F52" s="128">
        <f t="shared" si="102"/>
        <v>101080.00000000001</v>
      </c>
      <c r="G52" s="128">
        <f t="shared" si="103"/>
        <v>100594.00000000001</v>
      </c>
      <c r="H52" s="128">
        <f t="shared" si="104"/>
        <v>101187.99999999999</v>
      </c>
      <c r="I52" s="128">
        <f t="shared" si="105"/>
        <v>100728.99999999999</v>
      </c>
      <c r="J52" s="128">
        <f t="shared" si="106"/>
        <v>102318.17592012062</v>
      </c>
      <c r="K52" s="128">
        <f t="shared" si="107"/>
        <v>101866.66666666666</v>
      </c>
      <c r="M52" s="36"/>
      <c r="N52" s="32">
        <f t="shared" si="108"/>
        <v>8</v>
      </c>
      <c r="O52" s="25">
        <f t="shared" si="109"/>
        <v>1.9131759201206799E-2</v>
      </c>
      <c r="P52" s="25">
        <f t="shared" si="110"/>
        <v>1.8329938937719836E-2</v>
      </c>
      <c r="Q52" s="25">
        <f t="shared" si="111"/>
        <v>1.7009999999999748E-2</v>
      </c>
      <c r="R52" s="25">
        <f t="shared" si="30"/>
        <v>1.0800000000000143E-2</v>
      </c>
      <c r="S52" s="25">
        <f t="shared" si="31"/>
        <v>5.9400000000000563E-3</v>
      </c>
      <c r="T52" s="25">
        <f t="shared" si="32"/>
        <v>1.1879999999999891E-2</v>
      </c>
      <c r="U52" s="25">
        <f t="shared" si="33"/>
        <v>7.2899999999997966E-3</v>
      </c>
      <c r="V52" s="25">
        <f t="shared" si="34"/>
        <v>2.3181759201206242E-2</v>
      </c>
      <c r="W52" s="25">
        <f t="shared" si="112"/>
        <v>1.8666666666666609E-2</v>
      </c>
      <c r="X52" s="36"/>
      <c r="AA52" s="124">
        <f t="shared" si="113"/>
        <v>9</v>
      </c>
      <c r="AB52" s="128">
        <f t="shared" si="35"/>
        <v>102099.99999999999</v>
      </c>
      <c r="AC52" s="124">
        <f t="shared" si="114"/>
        <v>9</v>
      </c>
      <c r="AD52" s="130">
        <f t="shared" si="115"/>
        <v>4.2500000000000003E-2</v>
      </c>
      <c r="AE52" s="127">
        <f t="shared" si="116"/>
        <v>1000</v>
      </c>
      <c r="AF52" s="128">
        <f t="shared" si="117"/>
        <v>100000</v>
      </c>
      <c r="AG52" s="128">
        <f t="shared" si="140"/>
        <v>100000</v>
      </c>
      <c r="AH52" s="128">
        <f t="shared" si="118"/>
        <v>100000</v>
      </c>
      <c r="AI52" s="130">
        <f t="shared" si="36"/>
        <v>4.2500000000000003E-2</v>
      </c>
      <c r="AJ52" s="128">
        <f t="shared" si="37"/>
        <v>100354.16666666667</v>
      </c>
      <c r="AK52" s="128" t="str">
        <f t="shared" si="38"/>
        <v>nie</v>
      </c>
      <c r="AL52" s="128">
        <f t="shared" si="39"/>
        <v>500</v>
      </c>
      <c r="AM52" s="128">
        <f t="shared" si="40"/>
        <v>99881.875</v>
      </c>
      <c r="AN52" s="128">
        <f t="shared" si="41"/>
        <v>286.87500000000392</v>
      </c>
      <c r="AO52" s="130">
        <f t="shared" si="42"/>
        <v>4.2500000000000003E-2</v>
      </c>
      <c r="AP52" s="128">
        <f t="shared" si="43"/>
        <v>2611.7011872915223</v>
      </c>
      <c r="AQ52" s="128">
        <f t="shared" si="44"/>
        <v>102206.70118729152</v>
      </c>
      <c r="AS52" s="124">
        <f t="shared" si="119"/>
        <v>9</v>
      </c>
      <c r="AT52" s="130">
        <f t="shared" si="120"/>
        <v>4.2500000000000003E-2</v>
      </c>
      <c r="AU52" s="127">
        <f t="shared" si="121"/>
        <v>1000</v>
      </c>
      <c r="AV52" s="128">
        <f t="shared" si="122"/>
        <v>100000</v>
      </c>
      <c r="AW52" s="128">
        <f t="shared" si="141"/>
        <v>100000</v>
      </c>
      <c r="AX52" s="128">
        <f t="shared" si="123"/>
        <v>100000</v>
      </c>
      <c r="AY52" s="130">
        <f t="shared" si="45"/>
        <v>4.4000000000000004E-2</v>
      </c>
      <c r="AZ52" s="128">
        <f t="shared" si="46"/>
        <v>100366.66666666667</v>
      </c>
      <c r="BA52" s="128" t="str">
        <f t="shared" si="47"/>
        <v>nie</v>
      </c>
      <c r="BB52" s="128">
        <f t="shared" si="48"/>
        <v>700</v>
      </c>
      <c r="BC52" s="128">
        <f t="shared" si="49"/>
        <v>99730</v>
      </c>
      <c r="BD52" s="128">
        <f t="shared" si="50"/>
        <v>297.00000000000392</v>
      </c>
      <c r="BE52" s="130">
        <f t="shared" si="51"/>
        <v>4.2500000000000003E-2</v>
      </c>
      <c r="BF52" s="128">
        <f t="shared" si="52"/>
        <v>2703.8788762547515</v>
      </c>
      <c r="BG52" s="128">
        <f t="shared" si="53"/>
        <v>102136.87887625475</v>
      </c>
      <c r="BI52" s="124">
        <f t="shared" si="124"/>
        <v>9</v>
      </c>
      <c r="BJ52" s="130">
        <f t="shared" si="148"/>
        <v>4.1300000000000003E-2</v>
      </c>
      <c r="BK52" s="127">
        <f t="shared" si="125"/>
        <v>1000</v>
      </c>
      <c r="BL52" s="128">
        <f t="shared" si="126"/>
        <v>100000</v>
      </c>
      <c r="BM52" s="128">
        <f t="shared" si="142"/>
        <v>100000</v>
      </c>
      <c r="BN52" s="128">
        <f t="shared" si="127"/>
        <v>100000</v>
      </c>
      <c r="BO52" s="130">
        <f t="shared" si="54"/>
        <v>4.65E-2</v>
      </c>
      <c r="BP52" s="128">
        <f t="shared" si="55"/>
        <v>103487.5</v>
      </c>
      <c r="BQ52" s="128" t="str">
        <f t="shared" si="56"/>
        <v>nie</v>
      </c>
      <c r="BR52" s="128">
        <f t="shared" si="57"/>
        <v>1000</v>
      </c>
      <c r="BS52" s="128">
        <f t="shared" si="58"/>
        <v>102014.875</v>
      </c>
      <c r="BT52" s="128">
        <f t="shared" si="128"/>
        <v>0</v>
      </c>
      <c r="BU52" s="130">
        <f t="shared" si="59"/>
        <v>4.2500000000000003E-2</v>
      </c>
      <c r="BV52" s="128">
        <f t="shared" si="60"/>
        <v>0</v>
      </c>
      <c r="BW52" s="128">
        <f t="shared" si="61"/>
        <v>102014.875</v>
      </c>
      <c r="BY52" s="129"/>
      <c r="BZ52" s="127">
        <f t="shared" si="129"/>
        <v>1000</v>
      </c>
      <c r="CA52" s="128">
        <f t="shared" si="130"/>
        <v>100000</v>
      </c>
      <c r="CB52" s="128">
        <f t="shared" si="143"/>
        <v>100000</v>
      </c>
      <c r="CC52" s="128">
        <f t="shared" si="131"/>
        <v>100000</v>
      </c>
      <c r="CD52" s="130">
        <f t="shared" si="62"/>
        <v>0.05</v>
      </c>
      <c r="CE52" s="128">
        <f t="shared" si="63"/>
        <v>103750.00000000001</v>
      </c>
      <c r="CF52" s="128" t="str">
        <f t="shared" si="64"/>
        <v>nie</v>
      </c>
      <c r="CG52" s="128">
        <f t="shared" si="65"/>
        <v>2000</v>
      </c>
      <c r="CH52" s="128">
        <f t="shared" si="66"/>
        <v>101417.50000000001</v>
      </c>
      <c r="CI52" s="128">
        <f t="shared" si="67"/>
        <v>0</v>
      </c>
      <c r="CJ52" s="130">
        <f t="shared" si="68"/>
        <v>4.2500000000000003E-2</v>
      </c>
      <c r="CK52" s="128">
        <f t="shared" si="69"/>
        <v>0</v>
      </c>
      <c r="CL52" s="128">
        <f t="shared" si="70"/>
        <v>101417.50000000001</v>
      </c>
      <c r="CN52" s="127">
        <f t="shared" si="132"/>
        <v>1000</v>
      </c>
      <c r="CO52" s="128">
        <f t="shared" si="133"/>
        <v>100000</v>
      </c>
      <c r="CP52" s="128">
        <f t="shared" si="134"/>
        <v>100000</v>
      </c>
      <c r="CQ52" s="128">
        <f t="shared" si="135"/>
        <v>100000</v>
      </c>
      <c r="CR52" s="130">
        <f t="shared" si="71"/>
        <v>5.6000000000000001E-2</v>
      </c>
      <c r="CS52" s="128">
        <f t="shared" si="72"/>
        <v>104200</v>
      </c>
      <c r="CT52" s="128" t="str">
        <f t="shared" si="73"/>
        <v>nie</v>
      </c>
      <c r="CU52" s="128">
        <f t="shared" si="74"/>
        <v>3000</v>
      </c>
      <c r="CV52" s="128">
        <f t="shared" si="75"/>
        <v>100972</v>
      </c>
      <c r="CW52" s="128">
        <f t="shared" si="76"/>
        <v>0</v>
      </c>
      <c r="CX52" s="130">
        <f t="shared" si="77"/>
        <v>4.2500000000000003E-2</v>
      </c>
      <c r="CY52" s="128">
        <f t="shared" si="78"/>
        <v>0</v>
      </c>
      <c r="CZ52" s="128">
        <f t="shared" si="79"/>
        <v>100972</v>
      </c>
      <c r="DA52" s="20"/>
      <c r="DB52" s="127">
        <f t="shared" si="144"/>
        <v>1000</v>
      </c>
      <c r="DC52" s="128">
        <f t="shared" si="145"/>
        <v>100000</v>
      </c>
      <c r="DD52" s="128">
        <f t="shared" si="136"/>
        <v>100000</v>
      </c>
      <c r="DE52" s="128">
        <f t="shared" si="137"/>
        <v>100000</v>
      </c>
      <c r="DF52" s="130">
        <f t="shared" si="80"/>
        <v>5.1999999999999998E-2</v>
      </c>
      <c r="DG52" s="128">
        <f t="shared" si="81"/>
        <v>103899.99999999999</v>
      </c>
      <c r="DH52" s="128" t="str">
        <f t="shared" si="82"/>
        <v>nie</v>
      </c>
      <c r="DI52" s="128">
        <f t="shared" si="83"/>
        <v>2000</v>
      </c>
      <c r="DJ52" s="128">
        <f t="shared" si="84"/>
        <v>101538.99999999999</v>
      </c>
      <c r="DK52" s="128">
        <f t="shared" si="85"/>
        <v>0</v>
      </c>
      <c r="DL52" s="130">
        <f t="shared" si="86"/>
        <v>4.2500000000000003E-2</v>
      </c>
      <c r="DM52" s="128">
        <f t="shared" si="87"/>
        <v>0</v>
      </c>
      <c r="DN52" s="128">
        <f t="shared" si="88"/>
        <v>101538.99999999999</v>
      </c>
      <c r="DP52" s="127">
        <f t="shared" si="146"/>
        <v>1000</v>
      </c>
      <c r="DQ52" s="128">
        <f t="shared" si="147"/>
        <v>100000</v>
      </c>
      <c r="DR52" s="128">
        <f t="shared" si="138"/>
        <v>100000</v>
      </c>
      <c r="DS52" s="128">
        <f t="shared" si="139"/>
        <v>100000</v>
      </c>
      <c r="DT52" s="130">
        <f t="shared" si="89"/>
        <v>5.8500000000000003E-2</v>
      </c>
      <c r="DU52" s="128">
        <f t="shared" si="90"/>
        <v>104387.50000000001</v>
      </c>
      <c r="DV52" s="128" t="str">
        <f t="shared" si="91"/>
        <v>nie</v>
      </c>
      <c r="DW52" s="128">
        <f t="shared" si="92"/>
        <v>3000</v>
      </c>
      <c r="DX52" s="128">
        <f t="shared" si="93"/>
        <v>101123.87500000001</v>
      </c>
      <c r="DY52" s="128">
        <f t="shared" si="94"/>
        <v>0</v>
      </c>
      <c r="DZ52" s="130">
        <f t="shared" si="95"/>
        <v>4.2500000000000003E-2</v>
      </c>
      <c r="EA52" s="128">
        <f t="shared" si="96"/>
        <v>0</v>
      </c>
      <c r="EB52" s="128">
        <f t="shared" si="97"/>
        <v>101123.87500000001</v>
      </c>
    </row>
    <row r="53" spans="1:132">
      <c r="A53" s="224"/>
      <c r="B53" s="188">
        <f t="shared" si="98"/>
        <v>9</v>
      </c>
      <c r="C53" s="128">
        <f t="shared" si="99"/>
        <v>102206.70118729152</v>
      </c>
      <c r="D53" s="128">
        <f t="shared" si="100"/>
        <v>102136.87887625475</v>
      </c>
      <c r="E53" s="128">
        <f t="shared" si="101"/>
        <v>102014.875</v>
      </c>
      <c r="F53" s="128">
        <f t="shared" si="102"/>
        <v>101417.50000000001</v>
      </c>
      <c r="G53" s="128">
        <f t="shared" si="103"/>
        <v>100972</v>
      </c>
      <c r="H53" s="128">
        <f t="shared" si="104"/>
        <v>101538.99999999999</v>
      </c>
      <c r="I53" s="128">
        <f t="shared" si="105"/>
        <v>101123.87500000001</v>
      </c>
      <c r="J53" s="128">
        <f t="shared" si="106"/>
        <v>102611.70118729146</v>
      </c>
      <c r="K53" s="128">
        <f t="shared" si="107"/>
        <v>102099.99999999999</v>
      </c>
      <c r="M53" s="36"/>
      <c r="N53" s="32">
        <f t="shared" si="108"/>
        <v>9</v>
      </c>
      <c r="O53" s="25">
        <f t="shared" si="109"/>
        <v>2.2067011872915154E-2</v>
      </c>
      <c r="P53" s="25">
        <f t="shared" si="110"/>
        <v>2.1368788762547553E-2</v>
      </c>
      <c r="Q53" s="25">
        <f t="shared" si="111"/>
        <v>2.0148749999999938E-2</v>
      </c>
      <c r="R53" s="25">
        <f t="shared" si="30"/>
        <v>1.4175000000000049E-2</v>
      </c>
      <c r="S53" s="25">
        <f t="shared" si="31"/>
        <v>9.7199999999999509E-3</v>
      </c>
      <c r="T53" s="25">
        <f t="shared" si="32"/>
        <v>1.5389999999999793E-2</v>
      </c>
      <c r="U53" s="25">
        <f t="shared" si="33"/>
        <v>1.1238750000000186E-2</v>
      </c>
      <c r="V53" s="25">
        <f t="shared" si="34"/>
        <v>2.6117011872914597E-2</v>
      </c>
      <c r="W53" s="25">
        <f t="shared" si="112"/>
        <v>2.0999999999999908E-2</v>
      </c>
      <c r="X53" s="36"/>
      <c r="AA53" s="124">
        <f t="shared" si="113"/>
        <v>10</v>
      </c>
      <c r="AB53" s="128">
        <f t="shared" si="35"/>
        <v>102333.33333333334</v>
      </c>
      <c r="AC53" s="124">
        <f t="shared" si="114"/>
        <v>10</v>
      </c>
      <c r="AD53" s="130">
        <f t="shared" si="115"/>
        <v>4.2500000000000003E-2</v>
      </c>
      <c r="AE53" s="127">
        <f t="shared" si="116"/>
        <v>1000</v>
      </c>
      <c r="AF53" s="128">
        <f t="shared" si="117"/>
        <v>100000</v>
      </c>
      <c r="AG53" s="128">
        <f t="shared" si="140"/>
        <v>100000</v>
      </c>
      <c r="AH53" s="128">
        <f t="shared" si="118"/>
        <v>100000</v>
      </c>
      <c r="AI53" s="130">
        <f t="shared" si="36"/>
        <v>4.2500000000000003E-2</v>
      </c>
      <c r="AJ53" s="128">
        <f t="shared" si="37"/>
        <v>100354.16666666667</v>
      </c>
      <c r="AK53" s="128" t="str">
        <f t="shared" si="38"/>
        <v>nie</v>
      </c>
      <c r="AL53" s="128">
        <f t="shared" si="39"/>
        <v>500</v>
      </c>
      <c r="AM53" s="128">
        <f t="shared" si="40"/>
        <v>99881.875</v>
      </c>
      <c r="AN53" s="128">
        <f t="shared" si="41"/>
        <v>286.87500000000392</v>
      </c>
      <c r="AO53" s="130">
        <f t="shared" si="42"/>
        <v>4.2500000000000003E-2</v>
      </c>
      <c r="AP53" s="128">
        <f t="shared" si="43"/>
        <v>2906.0685050725688</v>
      </c>
      <c r="AQ53" s="128">
        <f t="shared" si="44"/>
        <v>102501.06850507256</v>
      </c>
      <c r="AS53" s="124">
        <f t="shared" si="119"/>
        <v>10</v>
      </c>
      <c r="AT53" s="130">
        <f t="shared" si="120"/>
        <v>4.2500000000000003E-2</v>
      </c>
      <c r="AU53" s="127">
        <f t="shared" si="121"/>
        <v>1000</v>
      </c>
      <c r="AV53" s="128">
        <f t="shared" si="122"/>
        <v>100000</v>
      </c>
      <c r="AW53" s="128">
        <f t="shared" si="141"/>
        <v>100000</v>
      </c>
      <c r="AX53" s="128">
        <f t="shared" si="123"/>
        <v>100000</v>
      </c>
      <c r="AY53" s="130">
        <f t="shared" si="45"/>
        <v>4.4000000000000004E-2</v>
      </c>
      <c r="AZ53" s="128">
        <f t="shared" si="46"/>
        <v>100366.66666666667</v>
      </c>
      <c r="BA53" s="128" t="str">
        <f t="shared" si="47"/>
        <v>nie</v>
      </c>
      <c r="BB53" s="128">
        <f t="shared" si="48"/>
        <v>700</v>
      </c>
      <c r="BC53" s="128">
        <f t="shared" si="49"/>
        <v>99730</v>
      </c>
      <c r="BD53" s="128">
        <f t="shared" si="50"/>
        <v>297.00000000000392</v>
      </c>
      <c r="BE53" s="130">
        <f t="shared" si="51"/>
        <v>4.2500000000000003E-2</v>
      </c>
      <c r="BF53" s="128">
        <f t="shared" si="52"/>
        <v>3008.6356287810113</v>
      </c>
      <c r="BG53" s="128">
        <f t="shared" si="53"/>
        <v>102441.635628781</v>
      </c>
      <c r="BI53" s="124">
        <f t="shared" si="124"/>
        <v>10</v>
      </c>
      <c r="BJ53" s="130">
        <f t="shared" si="148"/>
        <v>4.1300000000000003E-2</v>
      </c>
      <c r="BK53" s="127">
        <f t="shared" si="125"/>
        <v>1000</v>
      </c>
      <c r="BL53" s="128">
        <f t="shared" si="126"/>
        <v>100000</v>
      </c>
      <c r="BM53" s="128">
        <f t="shared" si="142"/>
        <v>100000</v>
      </c>
      <c r="BN53" s="128">
        <f t="shared" si="127"/>
        <v>100000</v>
      </c>
      <c r="BO53" s="130">
        <f t="shared" si="54"/>
        <v>4.65E-2</v>
      </c>
      <c r="BP53" s="128">
        <f t="shared" si="55"/>
        <v>103875</v>
      </c>
      <c r="BQ53" s="128" t="str">
        <f t="shared" si="56"/>
        <v>nie</v>
      </c>
      <c r="BR53" s="128">
        <f t="shared" si="57"/>
        <v>1000</v>
      </c>
      <c r="BS53" s="128">
        <f t="shared" si="58"/>
        <v>102328.75</v>
      </c>
      <c r="BT53" s="128">
        <f t="shared" si="128"/>
        <v>0</v>
      </c>
      <c r="BU53" s="130">
        <f t="shared" si="59"/>
        <v>4.2500000000000003E-2</v>
      </c>
      <c r="BV53" s="128">
        <f t="shared" si="60"/>
        <v>0</v>
      </c>
      <c r="BW53" s="128">
        <f t="shared" si="61"/>
        <v>102328.75</v>
      </c>
      <c r="BY53" s="129"/>
      <c r="BZ53" s="127">
        <f t="shared" si="129"/>
        <v>1000</v>
      </c>
      <c r="CA53" s="128">
        <f t="shared" si="130"/>
        <v>100000</v>
      </c>
      <c r="CB53" s="128">
        <f t="shared" si="143"/>
        <v>100000</v>
      </c>
      <c r="CC53" s="128">
        <f t="shared" si="131"/>
        <v>100000</v>
      </c>
      <c r="CD53" s="130">
        <f t="shared" si="62"/>
        <v>0.05</v>
      </c>
      <c r="CE53" s="128">
        <f t="shared" si="63"/>
        <v>104166.66666666667</v>
      </c>
      <c r="CF53" s="128" t="str">
        <f t="shared" si="64"/>
        <v>nie</v>
      </c>
      <c r="CG53" s="128">
        <f t="shared" si="65"/>
        <v>2000</v>
      </c>
      <c r="CH53" s="128">
        <f t="shared" si="66"/>
        <v>101755</v>
      </c>
      <c r="CI53" s="128">
        <f t="shared" si="67"/>
        <v>0</v>
      </c>
      <c r="CJ53" s="130">
        <f t="shared" si="68"/>
        <v>4.2500000000000003E-2</v>
      </c>
      <c r="CK53" s="128">
        <f t="shared" si="69"/>
        <v>0</v>
      </c>
      <c r="CL53" s="128">
        <f t="shared" si="70"/>
        <v>101755</v>
      </c>
      <c r="CN53" s="127">
        <f t="shared" si="132"/>
        <v>1000</v>
      </c>
      <c r="CO53" s="128">
        <f t="shared" si="133"/>
        <v>100000</v>
      </c>
      <c r="CP53" s="128">
        <f t="shared" si="134"/>
        <v>100000</v>
      </c>
      <c r="CQ53" s="128">
        <f t="shared" si="135"/>
        <v>100000</v>
      </c>
      <c r="CR53" s="130">
        <f t="shared" si="71"/>
        <v>5.6000000000000001E-2</v>
      </c>
      <c r="CS53" s="128">
        <f t="shared" si="72"/>
        <v>104666.66666666666</v>
      </c>
      <c r="CT53" s="128" t="str">
        <f t="shared" si="73"/>
        <v>nie</v>
      </c>
      <c r="CU53" s="128">
        <f t="shared" si="74"/>
        <v>3000</v>
      </c>
      <c r="CV53" s="128">
        <f t="shared" si="75"/>
        <v>101349.99999999999</v>
      </c>
      <c r="CW53" s="128">
        <f t="shared" si="76"/>
        <v>0</v>
      </c>
      <c r="CX53" s="130">
        <f t="shared" si="77"/>
        <v>4.2500000000000003E-2</v>
      </c>
      <c r="CY53" s="128">
        <f t="shared" si="78"/>
        <v>0</v>
      </c>
      <c r="CZ53" s="128">
        <f t="shared" si="79"/>
        <v>101349.99999999999</v>
      </c>
      <c r="DA53" s="20"/>
      <c r="DB53" s="127">
        <f t="shared" si="144"/>
        <v>1000</v>
      </c>
      <c r="DC53" s="128">
        <f t="shared" si="145"/>
        <v>100000</v>
      </c>
      <c r="DD53" s="128">
        <f t="shared" si="136"/>
        <v>100000</v>
      </c>
      <c r="DE53" s="128">
        <f t="shared" si="137"/>
        <v>100000</v>
      </c>
      <c r="DF53" s="130">
        <f t="shared" si="80"/>
        <v>5.1999999999999998E-2</v>
      </c>
      <c r="DG53" s="128">
        <f t="shared" si="81"/>
        <v>104333.33333333334</v>
      </c>
      <c r="DH53" s="128" t="str">
        <f t="shared" si="82"/>
        <v>nie</v>
      </c>
      <c r="DI53" s="128">
        <f t="shared" si="83"/>
        <v>2000</v>
      </c>
      <c r="DJ53" s="128">
        <f t="shared" si="84"/>
        <v>101890.00000000001</v>
      </c>
      <c r="DK53" s="128">
        <f t="shared" si="85"/>
        <v>0</v>
      </c>
      <c r="DL53" s="130">
        <f t="shared" si="86"/>
        <v>4.2500000000000003E-2</v>
      </c>
      <c r="DM53" s="128">
        <f t="shared" si="87"/>
        <v>0</v>
      </c>
      <c r="DN53" s="128">
        <f t="shared" si="88"/>
        <v>101890.00000000001</v>
      </c>
      <c r="DP53" s="127">
        <f t="shared" si="146"/>
        <v>1000</v>
      </c>
      <c r="DQ53" s="128">
        <f t="shared" si="147"/>
        <v>100000</v>
      </c>
      <c r="DR53" s="128">
        <f t="shared" si="138"/>
        <v>100000</v>
      </c>
      <c r="DS53" s="128">
        <f t="shared" si="139"/>
        <v>100000</v>
      </c>
      <c r="DT53" s="130">
        <f t="shared" si="89"/>
        <v>5.8500000000000003E-2</v>
      </c>
      <c r="DU53" s="128">
        <f t="shared" si="90"/>
        <v>104875</v>
      </c>
      <c r="DV53" s="128" t="str">
        <f t="shared" si="91"/>
        <v>nie</v>
      </c>
      <c r="DW53" s="128">
        <f t="shared" si="92"/>
        <v>3000</v>
      </c>
      <c r="DX53" s="128">
        <f t="shared" si="93"/>
        <v>101518.75</v>
      </c>
      <c r="DY53" s="128">
        <f t="shared" si="94"/>
        <v>0</v>
      </c>
      <c r="DZ53" s="130">
        <f t="shared" si="95"/>
        <v>4.2500000000000003E-2</v>
      </c>
      <c r="EA53" s="128">
        <f t="shared" si="96"/>
        <v>0</v>
      </c>
      <c r="EB53" s="128">
        <f t="shared" si="97"/>
        <v>101518.75</v>
      </c>
    </row>
    <row r="54" spans="1:132">
      <c r="A54" s="224"/>
      <c r="B54" s="188">
        <f t="shared" si="98"/>
        <v>10</v>
      </c>
      <c r="C54" s="128">
        <f t="shared" si="99"/>
        <v>102501.06850507256</v>
      </c>
      <c r="D54" s="128">
        <f t="shared" si="100"/>
        <v>102441.635628781</v>
      </c>
      <c r="E54" s="128">
        <f t="shared" si="101"/>
        <v>102328.75</v>
      </c>
      <c r="F54" s="128">
        <f t="shared" si="102"/>
        <v>101755</v>
      </c>
      <c r="G54" s="128">
        <f t="shared" si="103"/>
        <v>101349.99999999999</v>
      </c>
      <c r="H54" s="128">
        <f t="shared" si="104"/>
        <v>101890.00000000001</v>
      </c>
      <c r="I54" s="128">
        <f t="shared" si="105"/>
        <v>101518.75</v>
      </c>
      <c r="J54" s="128">
        <f t="shared" si="106"/>
        <v>102906.0685050725</v>
      </c>
      <c r="K54" s="128">
        <f t="shared" si="107"/>
        <v>102333.33333333334</v>
      </c>
      <c r="M54" s="36"/>
      <c r="N54" s="32">
        <f t="shared" si="108"/>
        <v>10</v>
      </c>
      <c r="O54" s="25">
        <f t="shared" si="109"/>
        <v>2.5010685050725678E-2</v>
      </c>
      <c r="P54" s="25">
        <f t="shared" si="110"/>
        <v>2.4416356287810137E-2</v>
      </c>
      <c r="Q54" s="25">
        <f t="shared" si="111"/>
        <v>2.3287499999999905E-2</v>
      </c>
      <c r="R54" s="25">
        <f t="shared" si="30"/>
        <v>1.7549999999999955E-2</v>
      </c>
      <c r="S54" s="25">
        <f t="shared" si="31"/>
        <v>1.3499999999999845E-2</v>
      </c>
      <c r="T54" s="25">
        <f t="shared" si="32"/>
        <v>1.8900000000000139E-2</v>
      </c>
      <c r="U54" s="25">
        <f t="shared" si="33"/>
        <v>1.5187499999999909E-2</v>
      </c>
      <c r="V54" s="25">
        <f t="shared" si="34"/>
        <v>2.9060685050724899E-2</v>
      </c>
      <c r="W54" s="25">
        <f t="shared" si="112"/>
        <v>2.3333333333333428E-2</v>
      </c>
      <c r="X54" s="36"/>
      <c r="AA54" s="124">
        <f t="shared" si="113"/>
        <v>11</v>
      </c>
      <c r="AB54" s="128">
        <f t="shared" si="35"/>
        <v>102566.66666666667</v>
      </c>
      <c r="AC54" s="124">
        <f t="shared" si="114"/>
        <v>11</v>
      </c>
      <c r="AD54" s="130">
        <f t="shared" si="115"/>
        <v>4.2500000000000003E-2</v>
      </c>
      <c r="AE54" s="127">
        <f t="shared" si="116"/>
        <v>1000</v>
      </c>
      <c r="AF54" s="128">
        <f t="shared" si="117"/>
        <v>100000</v>
      </c>
      <c r="AG54" s="128">
        <f t="shared" si="140"/>
        <v>100000</v>
      </c>
      <c r="AH54" s="128">
        <f t="shared" si="118"/>
        <v>100000</v>
      </c>
      <c r="AI54" s="130">
        <f t="shared" si="36"/>
        <v>4.2500000000000003E-2</v>
      </c>
      <c r="AJ54" s="128">
        <f t="shared" si="37"/>
        <v>100354.16666666667</v>
      </c>
      <c r="AK54" s="128" t="str">
        <f t="shared" si="38"/>
        <v>nie</v>
      </c>
      <c r="AL54" s="128">
        <f t="shared" si="39"/>
        <v>500</v>
      </c>
      <c r="AM54" s="128">
        <f t="shared" si="40"/>
        <v>99881.875</v>
      </c>
      <c r="AN54" s="128">
        <f t="shared" si="41"/>
        <v>286.87500000000392</v>
      </c>
      <c r="AO54" s="130">
        <f t="shared" si="42"/>
        <v>4.2500000000000003E-2</v>
      </c>
      <c r="AP54" s="128">
        <f t="shared" si="43"/>
        <v>3201.2802890964999</v>
      </c>
      <c r="AQ54" s="128">
        <f t="shared" si="44"/>
        <v>102796.2802890965</v>
      </c>
      <c r="AS54" s="124">
        <f t="shared" si="119"/>
        <v>11</v>
      </c>
      <c r="AT54" s="130">
        <f t="shared" si="120"/>
        <v>4.2500000000000003E-2</v>
      </c>
      <c r="AU54" s="127">
        <f t="shared" si="121"/>
        <v>1000</v>
      </c>
      <c r="AV54" s="128">
        <f t="shared" si="122"/>
        <v>100000</v>
      </c>
      <c r="AW54" s="128">
        <f t="shared" si="141"/>
        <v>100000</v>
      </c>
      <c r="AX54" s="128">
        <f t="shared" si="123"/>
        <v>100000</v>
      </c>
      <c r="AY54" s="130">
        <f t="shared" si="45"/>
        <v>4.4000000000000004E-2</v>
      </c>
      <c r="AZ54" s="128">
        <f t="shared" si="46"/>
        <v>100366.66666666667</v>
      </c>
      <c r="BA54" s="128" t="str">
        <f t="shared" si="47"/>
        <v>nie</v>
      </c>
      <c r="BB54" s="128">
        <f t="shared" si="48"/>
        <v>700</v>
      </c>
      <c r="BC54" s="128">
        <f t="shared" si="49"/>
        <v>99730</v>
      </c>
      <c r="BD54" s="128">
        <f t="shared" si="50"/>
        <v>297.00000000000392</v>
      </c>
      <c r="BE54" s="130">
        <f t="shared" si="51"/>
        <v>4.2500000000000003E-2</v>
      </c>
      <c r="BF54" s="128">
        <f t="shared" si="52"/>
        <v>3314.2666522410809</v>
      </c>
      <c r="BG54" s="128">
        <f t="shared" si="53"/>
        <v>102747.26665224107</v>
      </c>
      <c r="BI54" s="124">
        <f t="shared" si="124"/>
        <v>11</v>
      </c>
      <c r="BJ54" s="130">
        <f t="shared" si="148"/>
        <v>4.1300000000000003E-2</v>
      </c>
      <c r="BK54" s="127">
        <f t="shared" si="125"/>
        <v>1000</v>
      </c>
      <c r="BL54" s="128">
        <f t="shared" si="126"/>
        <v>100000</v>
      </c>
      <c r="BM54" s="128">
        <f t="shared" si="142"/>
        <v>100000</v>
      </c>
      <c r="BN54" s="128">
        <f t="shared" si="127"/>
        <v>100000</v>
      </c>
      <c r="BO54" s="130">
        <f t="shared" si="54"/>
        <v>4.65E-2</v>
      </c>
      <c r="BP54" s="128">
        <f t="shared" si="55"/>
        <v>104262.49999999999</v>
      </c>
      <c r="BQ54" s="128" t="str">
        <f t="shared" si="56"/>
        <v>nie</v>
      </c>
      <c r="BR54" s="128">
        <f t="shared" si="57"/>
        <v>1000</v>
      </c>
      <c r="BS54" s="128">
        <f t="shared" si="58"/>
        <v>102642.62499999999</v>
      </c>
      <c r="BT54" s="128">
        <f t="shared" si="128"/>
        <v>0</v>
      </c>
      <c r="BU54" s="130">
        <f t="shared" si="59"/>
        <v>4.2500000000000003E-2</v>
      </c>
      <c r="BV54" s="128">
        <f t="shared" si="60"/>
        <v>0</v>
      </c>
      <c r="BW54" s="128">
        <f t="shared" si="61"/>
        <v>102642.62499999999</v>
      </c>
      <c r="BY54" s="129"/>
      <c r="BZ54" s="127">
        <f t="shared" si="129"/>
        <v>1000</v>
      </c>
      <c r="CA54" s="128">
        <f t="shared" si="130"/>
        <v>100000</v>
      </c>
      <c r="CB54" s="128">
        <f t="shared" si="143"/>
        <v>100000</v>
      </c>
      <c r="CC54" s="128">
        <f t="shared" si="131"/>
        <v>100000</v>
      </c>
      <c r="CD54" s="130">
        <f t="shared" si="62"/>
        <v>0.05</v>
      </c>
      <c r="CE54" s="128">
        <f t="shared" si="63"/>
        <v>104583.33333333334</v>
      </c>
      <c r="CF54" s="128" t="str">
        <f t="shared" si="64"/>
        <v>nie</v>
      </c>
      <c r="CG54" s="128">
        <f t="shared" si="65"/>
        <v>2000</v>
      </c>
      <c r="CH54" s="128">
        <f t="shared" si="66"/>
        <v>102092.50000000001</v>
      </c>
      <c r="CI54" s="128">
        <f t="shared" si="67"/>
        <v>0</v>
      </c>
      <c r="CJ54" s="130">
        <f t="shared" si="68"/>
        <v>4.2500000000000003E-2</v>
      </c>
      <c r="CK54" s="128">
        <f t="shared" si="69"/>
        <v>0</v>
      </c>
      <c r="CL54" s="128">
        <f t="shared" si="70"/>
        <v>102092.50000000001</v>
      </c>
      <c r="CN54" s="127">
        <f t="shared" si="132"/>
        <v>1000</v>
      </c>
      <c r="CO54" s="128">
        <f t="shared" si="133"/>
        <v>100000</v>
      </c>
      <c r="CP54" s="128">
        <f t="shared" si="134"/>
        <v>100000</v>
      </c>
      <c r="CQ54" s="128">
        <f t="shared" si="135"/>
        <v>100000</v>
      </c>
      <c r="CR54" s="130">
        <f t="shared" si="71"/>
        <v>5.6000000000000001E-2</v>
      </c>
      <c r="CS54" s="128">
        <f t="shared" si="72"/>
        <v>105133.33333333333</v>
      </c>
      <c r="CT54" s="128" t="str">
        <f t="shared" si="73"/>
        <v>nie</v>
      </c>
      <c r="CU54" s="128">
        <f t="shared" si="74"/>
        <v>3000</v>
      </c>
      <c r="CV54" s="128">
        <f t="shared" si="75"/>
        <v>101728</v>
      </c>
      <c r="CW54" s="128">
        <f t="shared" si="76"/>
        <v>0</v>
      </c>
      <c r="CX54" s="130">
        <f t="shared" si="77"/>
        <v>4.2500000000000003E-2</v>
      </c>
      <c r="CY54" s="128">
        <f t="shared" si="78"/>
        <v>0</v>
      </c>
      <c r="CZ54" s="128">
        <f t="shared" si="79"/>
        <v>101728</v>
      </c>
      <c r="DA54" s="20"/>
      <c r="DB54" s="127">
        <f t="shared" si="144"/>
        <v>1000</v>
      </c>
      <c r="DC54" s="128">
        <f t="shared" si="145"/>
        <v>100000</v>
      </c>
      <c r="DD54" s="128">
        <f t="shared" si="136"/>
        <v>100000</v>
      </c>
      <c r="DE54" s="128">
        <f t="shared" si="137"/>
        <v>100000</v>
      </c>
      <c r="DF54" s="130">
        <f t="shared" si="80"/>
        <v>5.1999999999999998E-2</v>
      </c>
      <c r="DG54" s="128">
        <f t="shared" si="81"/>
        <v>104766.66666666667</v>
      </c>
      <c r="DH54" s="128" t="str">
        <f t="shared" si="82"/>
        <v>nie</v>
      </c>
      <c r="DI54" s="128">
        <f t="shared" si="83"/>
        <v>2000</v>
      </c>
      <c r="DJ54" s="128">
        <f t="shared" si="84"/>
        <v>102241</v>
      </c>
      <c r="DK54" s="128">
        <f t="shared" si="85"/>
        <v>0</v>
      </c>
      <c r="DL54" s="130">
        <f t="shared" si="86"/>
        <v>4.2500000000000003E-2</v>
      </c>
      <c r="DM54" s="128">
        <f t="shared" si="87"/>
        <v>0</v>
      </c>
      <c r="DN54" s="128">
        <f t="shared" si="88"/>
        <v>102241</v>
      </c>
      <c r="DP54" s="127">
        <f t="shared" si="146"/>
        <v>1000</v>
      </c>
      <c r="DQ54" s="128">
        <f t="shared" si="147"/>
        <v>100000</v>
      </c>
      <c r="DR54" s="128">
        <f t="shared" si="138"/>
        <v>100000</v>
      </c>
      <c r="DS54" s="128">
        <f t="shared" si="139"/>
        <v>100000</v>
      </c>
      <c r="DT54" s="130">
        <f t="shared" si="89"/>
        <v>5.8500000000000003E-2</v>
      </c>
      <c r="DU54" s="128">
        <f t="shared" si="90"/>
        <v>105362.5</v>
      </c>
      <c r="DV54" s="128" t="str">
        <f t="shared" si="91"/>
        <v>nie</v>
      </c>
      <c r="DW54" s="128">
        <f t="shared" si="92"/>
        <v>3000</v>
      </c>
      <c r="DX54" s="128">
        <f t="shared" si="93"/>
        <v>101913.625</v>
      </c>
      <c r="DY54" s="128">
        <f t="shared" si="94"/>
        <v>0</v>
      </c>
      <c r="DZ54" s="130">
        <f t="shared" si="95"/>
        <v>4.2500000000000003E-2</v>
      </c>
      <c r="EA54" s="128">
        <f t="shared" si="96"/>
        <v>0</v>
      </c>
      <c r="EB54" s="128">
        <f t="shared" si="97"/>
        <v>101913.625</v>
      </c>
    </row>
    <row r="55" spans="1:132" ht="14.25" customHeight="1">
      <c r="A55" s="224"/>
      <c r="B55" s="188">
        <f t="shared" si="98"/>
        <v>11</v>
      </c>
      <c r="C55" s="128">
        <f t="shared" si="99"/>
        <v>102796.2802890965</v>
      </c>
      <c r="D55" s="128">
        <f t="shared" si="100"/>
        <v>102747.26665224107</v>
      </c>
      <c r="E55" s="128">
        <f t="shared" si="101"/>
        <v>102642.62499999999</v>
      </c>
      <c r="F55" s="128">
        <f t="shared" si="102"/>
        <v>102092.50000000001</v>
      </c>
      <c r="G55" s="128">
        <f t="shared" si="103"/>
        <v>101728</v>
      </c>
      <c r="H55" s="128">
        <f t="shared" si="104"/>
        <v>102241</v>
      </c>
      <c r="I55" s="128">
        <f t="shared" si="105"/>
        <v>101913.625</v>
      </c>
      <c r="J55" s="128">
        <f t="shared" si="106"/>
        <v>103201.28028909642</v>
      </c>
      <c r="K55" s="128">
        <f t="shared" si="107"/>
        <v>102566.66666666667</v>
      </c>
      <c r="M55" s="36"/>
      <c r="N55" s="32">
        <f t="shared" si="108"/>
        <v>11</v>
      </c>
      <c r="O55" s="25">
        <f t="shared" si="109"/>
        <v>2.7962802890964866E-2</v>
      </c>
      <c r="P55" s="25">
        <f t="shared" si="110"/>
        <v>2.747266652241076E-2</v>
      </c>
      <c r="Q55" s="25">
        <f t="shared" si="111"/>
        <v>2.6426249999999873E-2</v>
      </c>
      <c r="R55" s="25">
        <f t="shared" si="30"/>
        <v>2.0925000000000082E-2</v>
      </c>
      <c r="S55" s="25">
        <f t="shared" si="31"/>
        <v>1.7279999999999962E-2</v>
      </c>
      <c r="T55" s="25">
        <f t="shared" si="32"/>
        <v>2.2410000000000041E-2</v>
      </c>
      <c r="U55" s="25">
        <f t="shared" si="33"/>
        <v>1.9136250000000077E-2</v>
      </c>
      <c r="V55" s="25">
        <f t="shared" si="34"/>
        <v>3.2012802890964309E-2</v>
      </c>
      <c r="W55" s="25">
        <f t="shared" si="112"/>
        <v>2.5666666666666726E-2</v>
      </c>
      <c r="X55" s="36"/>
      <c r="AA55" s="124">
        <f t="shared" si="113"/>
        <v>12</v>
      </c>
      <c r="AB55" s="128">
        <f t="shared" si="35"/>
        <v>102800</v>
      </c>
      <c r="AC55" s="124">
        <f t="shared" si="114"/>
        <v>12</v>
      </c>
      <c r="AD55" s="130">
        <f t="shared" si="115"/>
        <v>4.2500000000000003E-2</v>
      </c>
      <c r="AE55" s="127">
        <f t="shared" si="116"/>
        <v>1000</v>
      </c>
      <c r="AF55" s="128">
        <f t="shared" si="117"/>
        <v>100000</v>
      </c>
      <c r="AG55" s="128">
        <f t="shared" si="140"/>
        <v>100000</v>
      </c>
      <c r="AH55" s="128">
        <f t="shared" si="118"/>
        <v>100000</v>
      </c>
      <c r="AI55" s="130">
        <f t="shared" si="36"/>
        <v>4.2500000000000003E-2</v>
      </c>
      <c r="AJ55" s="128">
        <f t="shared" si="37"/>
        <v>100354.16666666667</v>
      </c>
      <c r="AK55" s="128" t="str">
        <f t="shared" si="38"/>
        <v>tak</v>
      </c>
      <c r="AL55" s="128">
        <f t="shared" si="39"/>
        <v>0</v>
      </c>
      <c r="AM55" s="128">
        <f t="shared" si="40"/>
        <v>100286.875</v>
      </c>
      <c r="AN55" s="128">
        <f t="shared" si="41"/>
        <v>387.27499999999822</v>
      </c>
      <c r="AO55" s="130">
        <f t="shared" si="42"/>
        <v>4.2500000000000003E-2</v>
      </c>
      <c r="AP55" s="128">
        <f t="shared" si="43"/>
        <v>3597.7389619258438</v>
      </c>
      <c r="AQ55" s="128">
        <f t="shared" si="44"/>
        <v>103497.33896192585</v>
      </c>
      <c r="AS55" s="124">
        <f t="shared" si="119"/>
        <v>12</v>
      </c>
      <c r="AT55" s="130">
        <f t="shared" si="120"/>
        <v>4.2500000000000003E-2</v>
      </c>
      <c r="AU55" s="127">
        <f t="shared" si="121"/>
        <v>1000</v>
      </c>
      <c r="AV55" s="128">
        <f t="shared" si="122"/>
        <v>100000</v>
      </c>
      <c r="AW55" s="128">
        <f t="shared" si="141"/>
        <v>100000</v>
      </c>
      <c r="AX55" s="128">
        <f t="shared" si="123"/>
        <v>100000</v>
      </c>
      <c r="AY55" s="130">
        <f t="shared" si="45"/>
        <v>4.4000000000000004E-2</v>
      </c>
      <c r="AZ55" s="128">
        <f t="shared" si="46"/>
        <v>100366.66666666667</v>
      </c>
      <c r="BA55" s="128" t="str">
        <f t="shared" si="47"/>
        <v>nie</v>
      </c>
      <c r="BB55" s="128">
        <f t="shared" si="48"/>
        <v>700</v>
      </c>
      <c r="BC55" s="128">
        <f t="shared" si="49"/>
        <v>99730</v>
      </c>
      <c r="BD55" s="128">
        <f t="shared" si="50"/>
        <v>297.00000000000392</v>
      </c>
      <c r="BE55" s="130">
        <f t="shared" si="51"/>
        <v>4.2500000000000003E-2</v>
      </c>
      <c r="BF55" s="128">
        <f t="shared" si="52"/>
        <v>3620.7744546997014</v>
      </c>
      <c r="BG55" s="128">
        <f t="shared" si="53"/>
        <v>103053.7744546997</v>
      </c>
      <c r="BI55" s="124">
        <f t="shared" si="124"/>
        <v>12</v>
      </c>
      <c r="BJ55" s="130">
        <f t="shared" si="148"/>
        <v>4.1300000000000003E-2</v>
      </c>
      <c r="BK55" s="127">
        <f t="shared" si="125"/>
        <v>1000</v>
      </c>
      <c r="BL55" s="128">
        <f t="shared" si="126"/>
        <v>100000</v>
      </c>
      <c r="BM55" s="128">
        <f t="shared" si="142"/>
        <v>100000</v>
      </c>
      <c r="BN55" s="128">
        <f t="shared" si="127"/>
        <v>100000</v>
      </c>
      <c r="BO55" s="130">
        <f t="shared" si="54"/>
        <v>4.65E-2</v>
      </c>
      <c r="BP55" s="128">
        <f t="shared" si="55"/>
        <v>104650</v>
      </c>
      <c r="BQ55" s="128" t="str">
        <f t="shared" si="56"/>
        <v>nie</v>
      </c>
      <c r="BR55" s="128">
        <f t="shared" si="57"/>
        <v>1000</v>
      </c>
      <c r="BS55" s="128">
        <f t="shared" si="58"/>
        <v>102956.5</v>
      </c>
      <c r="BT55" s="128">
        <f>IF(AND(BQ55="tak",BL56&lt;&gt;""),
 BS55-BL56,
0)</f>
        <v>0</v>
      </c>
      <c r="BU55" s="130">
        <f t="shared" si="59"/>
        <v>4.2500000000000003E-2</v>
      </c>
      <c r="BV55" s="128">
        <f t="shared" si="60"/>
        <v>0</v>
      </c>
      <c r="BW55" s="128">
        <f t="shared" si="61"/>
        <v>102956.5</v>
      </c>
      <c r="BY55" s="129"/>
      <c r="BZ55" s="127">
        <f t="shared" si="129"/>
        <v>1000</v>
      </c>
      <c r="CA55" s="128">
        <f t="shared" si="130"/>
        <v>100000</v>
      </c>
      <c r="CB55" s="128">
        <f t="shared" si="143"/>
        <v>100000</v>
      </c>
      <c r="CC55" s="128">
        <f t="shared" si="131"/>
        <v>100000</v>
      </c>
      <c r="CD55" s="130">
        <f t="shared" si="62"/>
        <v>0.05</v>
      </c>
      <c r="CE55" s="128">
        <f t="shared" si="63"/>
        <v>105000</v>
      </c>
      <c r="CF55" s="128" t="str">
        <f t="shared" si="64"/>
        <v>nie</v>
      </c>
      <c r="CG55" s="128">
        <f t="shared" si="65"/>
        <v>2000</v>
      </c>
      <c r="CH55" s="128">
        <f t="shared" si="66"/>
        <v>102430</v>
      </c>
      <c r="CI55" s="128">
        <f t="shared" si="67"/>
        <v>4050.0000000000005</v>
      </c>
      <c r="CJ55" s="130">
        <f t="shared" si="68"/>
        <v>4.2500000000000003E-2</v>
      </c>
      <c r="CK55" s="128">
        <f t="shared" si="69"/>
        <v>4050.0000000000005</v>
      </c>
      <c r="CL55" s="128">
        <f t="shared" si="70"/>
        <v>102430</v>
      </c>
      <c r="CN55" s="127">
        <f t="shared" si="132"/>
        <v>1000</v>
      </c>
      <c r="CO55" s="128">
        <f t="shared" si="133"/>
        <v>100000</v>
      </c>
      <c r="CP55" s="128">
        <f t="shared" si="134"/>
        <v>100000</v>
      </c>
      <c r="CQ55" s="128">
        <f t="shared" si="135"/>
        <v>100000</v>
      </c>
      <c r="CR55" s="130">
        <f t="shared" si="71"/>
        <v>5.6000000000000001E-2</v>
      </c>
      <c r="CS55" s="128">
        <f t="shared" si="72"/>
        <v>105600</v>
      </c>
      <c r="CT55" s="128" t="str">
        <f t="shared" si="73"/>
        <v>nie</v>
      </c>
      <c r="CU55" s="128">
        <f t="shared" si="74"/>
        <v>3000</v>
      </c>
      <c r="CV55" s="128">
        <f t="shared" si="75"/>
        <v>102106</v>
      </c>
      <c r="CW55" s="128">
        <f>IF(AND(CT55="tak",CO56&lt;&gt;""),
 CV55-CO56,
0)</f>
        <v>0</v>
      </c>
      <c r="CX55" s="130">
        <f t="shared" si="77"/>
        <v>4.2500000000000003E-2</v>
      </c>
      <c r="CY55" s="128">
        <f t="shared" si="78"/>
        <v>0</v>
      </c>
      <c r="CZ55" s="128">
        <f t="shared" si="79"/>
        <v>102106</v>
      </c>
      <c r="DA55" s="20"/>
      <c r="DB55" s="127">
        <f t="shared" si="144"/>
        <v>1000</v>
      </c>
      <c r="DC55" s="128">
        <f t="shared" si="145"/>
        <v>100000</v>
      </c>
      <c r="DD55" s="128">
        <f t="shared" si="136"/>
        <v>100000</v>
      </c>
      <c r="DE55" s="128">
        <f t="shared" si="137"/>
        <v>100000</v>
      </c>
      <c r="DF55" s="130">
        <f t="shared" si="80"/>
        <v>5.1999999999999998E-2</v>
      </c>
      <c r="DG55" s="128">
        <f t="shared" si="81"/>
        <v>105200</v>
      </c>
      <c r="DH55" s="128" t="str">
        <f t="shared" si="82"/>
        <v>nie</v>
      </c>
      <c r="DI55" s="128">
        <f t="shared" si="83"/>
        <v>2000</v>
      </c>
      <c r="DJ55" s="128">
        <f t="shared" si="84"/>
        <v>102592</v>
      </c>
      <c r="DK55" s="128">
        <f>IF(AND(DH55="tak",DC56&lt;&gt;""),
 DJ55-DC56,
0)</f>
        <v>0</v>
      </c>
      <c r="DL55" s="130">
        <f t="shared" si="86"/>
        <v>4.2500000000000003E-2</v>
      </c>
      <c r="DM55" s="128">
        <f t="shared" si="87"/>
        <v>0</v>
      </c>
      <c r="DN55" s="128">
        <f t="shared" si="88"/>
        <v>102592</v>
      </c>
      <c r="DP55" s="127">
        <f t="shared" si="146"/>
        <v>1000</v>
      </c>
      <c r="DQ55" s="128">
        <f t="shared" si="147"/>
        <v>100000</v>
      </c>
      <c r="DR55" s="128">
        <f t="shared" si="138"/>
        <v>100000</v>
      </c>
      <c r="DS55" s="128">
        <f t="shared" si="139"/>
        <v>100000</v>
      </c>
      <c r="DT55" s="130">
        <f t="shared" si="89"/>
        <v>5.8500000000000003E-2</v>
      </c>
      <c r="DU55" s="128">
        <f t="shared" si="90"/>
        <v>105850</v>
      </c>
      <c r="DV55" s="128" t="str">
        <f t="shared" si="91"/>
        <v>nie</v>
      </c>
      <c r="DW55" s="128">
        <f t="shared" si="92"/>
        <v>3000</v>
      </c>
      <c r="DX55" s="128">
        <f t="shared" si="93"/>
        <v>102308.5</v>
      </c>
      <c r="DY55" s="128">
        <f>IF(AND(DV55="tak",DQ56&lt;&gt;""),
 DX55-DQ56,
0)</f>
        <v>0</v>
      </c>
      <c r="DZ55" s="130">
        <f t="shared" si="95"/>
        <v>4.2500000000000003E-2</v>
      </c>
      <c r="EA55" s="128">
        <f t="shared" si="96"/>
        <v>0</v>
      </c>
      <c r="EB55" s="128">
        <f t="shared" si="97"/>
        <v>102308.5</v>
      </c>
    </row>
    <row r="56" spans="1:132">
      <c r="A56" s="224"/>
      <c r="B56" s="188">
        <f t="shared" si="98"/>
        <v>12</v>
      </c>
      <c r="C56" s="128">
        <f t="shared" si="99"/>
        <v>103497.33896192585</v>
      </c>
      <c r="D56" s="128">
        <f t="shared" si="100"/>
        <v>103053.7744546997</v>
      </c>
      <c r="E56" s="128">
        <f t="shared" si="101"/>
        <v>102956.5</v>
      </c>
      <c r="F56" s="128">
        <f t="shared" si="102"/>
        <v>102430</v>
      </c>
      <c r="G56" s="128">
        <f t="shared" si="103"/>
        <v>102106</v>
      </c>
      <c r="H56" s="128">
        <f t="shared" si="104"/>
        <v>102592</v>
      </c>
      <c r="I56" s="128">
        <f t="shared" si="105"/>
        <v>102308.5</v>
      </c>
      <c r="J56" s="128">
        <f t="shared" si="106"/>
        <v>103497.33896192577</v>
      </c>
      <c r="K56" s="128">
        <f t="shared" si="107"/>
        <v>102800</v>
      </c>
      <c r="M56" s="36"/>
      <c r="N56" s="32">
        <f t="shared" si="108"/>
        <v>12</v>
      </c>
      <c r="O56" s="25">
        <f t="shared" si="109"/>
        <v>3.4973389619258555E-2</v>
      </c>
      <c r="P56" s="25">
        <f t="shared" si="110"/>
        <v>3.0537744546996981E-2</v>
      </c>
      <c r="Q56" s="25">
        <f t="shared" si="111"/>
        <v>2.9565000000000063E-2</v>
      </c>
      <c r="R56" s="25">
        <f t="shared" si="30"/>
        <v>2.4299999999999988E-2</v>
      </c>
      <c r="S56" s="25">
        <f t="shared" si="31"/>
        <v>2.1060000000000079E-2</v>
      </c>
      <c r="T56" s="25">
        <f t="shared" si="32"/>
        <v>2.5919999999999943E-2</v>
      </c>
      <c r="U56" s="25">
        <f t="shared" si="33"/>
        <v>2.3085000000000022E-2</v>
      </c>
      <c r="V56" s="25">
        <f t="shared" si="34"/>
        <v>3.4973389619257667E-2</v>
      </c>
      <c r="W56" s="25">
        <f t="shared" si="112"/>
        <v>2.8000000000000025E-2</v>
      </c>
      <c r="X56" s="36"/>
      <c r="AA56" s="131">
        <f>AA55+1</f>
        <v>13</v>
      </c>
      <c r="AB56" s="132">
        <f t="shared" si="35"/>
        <v>103039.86666666667</v>
      </c>
      <c r="AC56" s="131">
        <f>AC55+1</f>
        <v>13</v>
      </c>
      <c r="AD56" s="133">
        <f t="shared" si="115"/>
        <v>4.2500000000000003E-2</v>
      </c>
      <c r="AE56" s="127">
        <f t="shared" si="116"/>
        <v>1038</v>
      </c>
      <c r="AF56" s="132">
        <f t="shared" si="117"/>
        <v>103699.70000000001</v>
      </c>
      <c r="AG56" s="132">
        <f>IF(AK55="tak",
AE56*100,
AG55)</f>
        <v>103800</v>
      </c>
      <c r="AH56" s="132">
        <f t="shared" si="118"/>
        <v>103800</v>
      </c>
      <c r="AI56" s="133">
        <f t="shared" si="36"/>
        <v>4.2500000000000003E-2</v>
      </c>
      <c r="AJ56" s="132">
        <f t="shared" si="37"/>
        <v>104167.62500000001</v>
      </c>
      <c r="AK56" s="132" t="str">
        <f t="shared" si="38"/>
        <v>nie</v>
      </c>
      <c r="AL56" s="128">
        <f t="shared" si="39"/>
        <v>367.62500000001455</v>
      </c>
      <c r="AM56" s="132">
        <f>AJ56-AL56
-(AJ56-AG56-AL56)*podatek_Belki</f>
        <v>103800</v>
      </c>
      <c r="AN56" s="132">
        <f t="shared" si="41"/>
        <v>297.77625000001183</v>
      </c>
      <c r="AO56" s="133">
        <f t="shared" si="42"/>
        <v>4.2500000000000003E-2</v>
      </c>
      <c r="AP56" s="128">
        <f t="shared" si="43"/>
        <v>395.7956005728804</v>
      </c>
      <c r="AQ56" s="132">
        <f>AP55*(1+AO56/12*(1-podatek_Belki))+AM56</f>
        <v>107408.05997557286</v>
      </c>
      <c r="AS56" s="131">
        <f>AS55+1</f>
        <v>13</v>
      </c>
      <c r="AT56" s="133">
        <f t="shared" si="120"/>
        <v>4.2500000000000003E-2</v>
      </c>
      <c r="AU56" s="127">
        <f t="shared" si="121"/>
        <v>1000</v>
      </c>
      <c r="AV56" s="132">
        <f t="shared" si="122"/>
        <v>100000</v>
      </c>
      <c r="AW56" s="132">
        <f>IF(BA55="tak",
AU56*100,
AW55)</f>
        <v>100000</v>
      </c>
      <c r="AX56" s="132">
        <f t="shared" si="123"/>
        <v>100000</v>
      </c>
      <c r="AY56" s="133">
        <f t="shared" si="45"/>
        <v>4.4000000000000004E-2</v>
      </c>
      <c r="AZ56" s="132">
        <f t="shared" si="46"/>
        <v>100366.66666666667</v>
      </c>
      <c r="BA56" s="132" t="str">
        <f t="shared" si="47"/>
        <v>nie</v>
      </c>
      <c r="BB56" s="128">
        <f t="shared" si="48"/>
        <v>700</v>
      </c>
      <c r="BC56" s="132">
        <f>AZ56-BB56
-(AZ56-AW56-BB56)*podatek_Belki</f>
        <v>99730</v>
      </c>
      <c r="BD56" s="132">
        <f t="shared" si="50"/>
        <v>297.00000000000392</v>
      </c>
      <c r="BE56" s="133">
        <f t="shared" si="51"/>
        <v>4.2500000000000003E-2</v>
      </c>
      <c r="BF56" s="128">
        <f t="shared" si="52"/>
        <v>3928.1615514166251</v>
      </c>
      <c r="BG56" s="132">
        <f>BF55*(1+BE56/12*(1-podatek_Belki))+BC56</f>
        <v>103361.16155141662</v>
      </c>
      <c r="BI56" s="131">
        <f>BI55+1</f>
        <v>13</v>
      </c>
      <c r="BJ56" s="133">
        <f t="shared" si="148"/>
        <v>4.1300000000000003E-2</v>
      </c>
      <c r="BK56" s="127">
        <f>IF(BQ55="tak",
ROUNDDOWN(BS55/zamiana_TOS,0),
BK55)</f>
        <v>1000</v>
      </c>
      <c r="BL56" s="132">
        <f>IF(BQ55="tak",
BK56*zamiana_TOS,
BL55)</f>
        <v>100000</v>
      </c>
      <c r="BM56" s="132">
        <f>IF(BQ55="tak",
BK56*100,
BM55)</f>
        <v>100000</v>
      </c>
      <c r="BN56" s="128">
        <f t="shared" si="127"/>
        <v>104650</v>
      </c>
      <c r="BO56" s="130">
        <f t="shared" si="54"/>
        <v>4.65E-2</v>
      </c>
      <c r="BP56" s="128">
        <f t="shared" si="55"/>
        <v>105055.51875</v>
      </c>
      <c r="BQ56" s="132" t="str">
        <f t="shared" si="56"/>
        <v>nie</v>
      </c>
      <c r="BR56" s="128">
        <f t="shared" si="57"/>
        <v>1000</v>
      </c>
      <c r="BS56" s="132">
        <f>BP56-BR56
-(BP56-BM56-BR56)*podatek_Belki</f>
        <v>103284.9701875</v>
      </c>
      <c r="BT56" s="128">
        <f t="shared" si="128"/>
        <v>0</v>
      </c>
      <c r="BU56" s="133">
        <f t="shared" si="59"/>
        <v>4.2500000000000003E-2</v>
      </c>
      <c r="BV56" s="132">
        <f>BV55*(1+BU56/12*(1-podatek_Belki))+BT56</f>
        <v>0</v>
      </c>
      <c r="BW56" s="128">
        <f>BV55*(1+BU56/12*(1-podatek_Belki))+BS56</f>
        <v>103284.9701875</v>
      </c>
      <c r="BY56" s="133">
        <f t="shared" ref="BY56:BY87" si="149">MAX(INDEX(scenariusz_I_inflacja,MATCH(ROUNDUP(AA56/12,0)-1,scenariusz_I_rok,0)),0)</f>
        <v>2.8000000000000001E-2</v>
      </c>
      <c r="BZ56" s="127">
        <f t="shared" si="129"/>
        <v>1000</v>
      </c>
      <c r="CA56" s="132">
        <f t="shared" si="130"/>
        <v>100000</v>
      </c>
      <c r="CB56" s="132">
        <f>IF(CF55="tak",
BZ56*100,
CB55)</f>
        <v>100000</v>
      </c>
      <c r="CC56" s="132">
        <f t="shared" si="131"/>
        <v>100000</v>
      </c>
      <c r="CD56" s="133">
        <f t="shared" si="62"/>
        <v>4.2999999999999997E-2</v>
      </c>
      <c r="CE56" s="132">
        <f t="shared" si="63"/>
        <v>100358.33333333333</v>
      </c>
      <c r="CF56" s="132" t="str">
        <f t="shared" si="64"/>
        <v>nie</v>
      </c>
      <c r="CG56" s="128">
        <f t="shared" si="65"/>
        <v>2000</v>
      </c>
      <c r="CH56" s="132">
        <f>CE56-CG56
-(CE56-CB56-CG56)*podatek_Belki</f>
        <v>98670.25</v>
      </c>
      <c r="CI56" s="128">
        <f t="shared" si="67"/>
        <v>0</v>
      </c>
      <c r="CJ56" s="133">
        <f t="shared" si="68"/>
        <v>4.2500000000000003E-2</v>
      </c>
      <c r="CK56" s="128">
        <f t="shared" si="69"/>
        <v>4061.6184375000003</v>
      </c>
      <c r="CL56" s="128">
        <f t="shared" si="70"/>
        <v>102731.8684375</v>
      </c>
      <c r="CN56" s="142">
        <f>IF(CT55="tak",
ROUNDDOWN(CV55/zamiana_EDO,0),
CN55)</f>
        <v>1000</v>
      </c>
      <c r="CO56" s="132">
        <f>IF(CT55="tak",
CN56*zamiana_EDO,
CO55)</f>
        <v>100000</v>
      </c>
      <c r="CP56" s="132">
        <f>IF(CT55="tak",
CN56*100,
CP55)</f>
        <v>100000</v>
      </c>
      <c r="CQ56" s="132">
        <f t="shared" si="135"/>
        <v>105600</v>
      </c>
      <c r="CR56" s="133">
        <f t="shared" si="71"/>
        <v>4.8000000000000001E-2</v>
      </c>
      <c r="CS56" s="132">
        <f t="shared" si="72"/>
        <v>106022.39999999999</v>
      </c>
      <c r="CT56" s="132" t="str">
        <f t="shared" si="73"/>
        <v>nie</v>
      </c>
      <c r="CU56" s="132">
        <f t="shared" si="74"/>
        <v>3000</v>
      </c>
      <c r="CV56" s="132">
        <f t="shared" si="75"/>
        <v>102448.144</v>
      </c>
      <c r="CW56" s="132">
        <f t="shared" si="76"/>
        <v>0</v>
      </c>
      <c r="CX56" s="133">
        <f t="shared" si="77"/>
        <v>4.2500000000000003E-2</v>
      </c>
      <c r="CY56" s="132">
        <f>CY55*(1+CX56/12*(1-podatek_Belki))+CW56</f>
        <v>0</v>
      </c>
      <c r="CZ56" s="132">
        <f>CY55*(1+CX56/12*(1-podatek_Belki))+CV56</f>
        <v>102448.144</v>
      </c>
      <c r="DB56" s="142">
        <f>IF(DH55="tak",
ROUNDDOWN(DJ55/100,0),
DB55)</f>
        <v>1000</v>
      </c>
      <c r="DC56" s="132">
        <f>IF(DH55="tak",
DB56*100,
DC55)</f>
        <v>100000</v>
      </c>
      <c r="DD56" s="132">
        <f>IF(DH55="tak",
DB56*100,
DD55)</f>
        <v>100000</v>
      </c>
      <c r="DE56" s="132">
        <f t="shared" si="137"/>
        <v>105200</v>
      </c>
      <c r="DF56" s="133">
        <f t="shared" si="80"/>
        <v>4.8000000000000001E-2</v>
      </c>
      <c r="DG56" s="132">
        <f t="shared" si="81"/>
        <v>105620.8</v>
      </c>
      <c r="DH56" s="132" t="str">
        <f t="shared" si="82"/>
        <v>nie</v>
      </c>
      <c r="DI56" s="132">
        <f t="shared" si="83"/>
        <v>2000</v>
      </c>
      <c r="DJ56" s="132">
        <f t="shared" si="84"/>
        <v>102932.848</v>
      </c>
      <c r="DK56" s="132">
        <f t="shared" si="85"/>
        <v>0</v>
      </c>
      <c r="DL56" s="133">
        <f t="shared" si="86"/>
        <v>4.2500000000000003E-2</v>
      </c>
      <c r="DM56" s="132">
        <f>DM55*(1+DL56/12*(1-podatek_Belki))+DK56</f>
        <v>0</v>
      </c>
      <c r="DN56" s="132">
        <f>DM55*(1+DL56/12*(1-podatek_Belki))+DJ56</f>
        <v>102932.848</v>
      </c>
      <c r="DP56" s="142">
        <f>IF(DV55="tak",
ROUNDDOWN(DX55/100,0),
DP55)</f>
        <v>1000</v>
      </c>
      <c r="DQ56" s="132">
        <f>IF(DV55="tak",
DP56*100,
DQ55)</f>
        <v>100000</v>
      </c>
      <c r="DR56" s="132">
        <f>IF(DV55="tak",
DP56*100,
DR55)</f>
        <v>100000</v>
      </c>
      <c r="DS56" s="132">
        <f t="shared" si="139"/>
        <v>105850</v>
      </c>
      <c r="DT56" s="133">
        <f t="shared" si="89"/>
        <v>5.3000000000000005E-2</v>
      </c>
      <c r="DU56" s="132">
        <f t="shared" si="90"/>
        <v>106317.50416666668</v>
      </c>
      <c r="DV56" s="132" t="str">
        <f t="shared" si="91"/>
        <v>nie</v>
      </c>
      <c r="DW56" s="132">
        <f t="shared" si="92"/>
        <v>3000</v>
      </c>
      <c r="DX56" s="132">
        <f t="shared" si="93"/>
        <v>102687.17837500002</v>
      </c>
      <c r="DY56" s="132">
        <f t="shared" si="94"/>
        <v>0</v>
      </c>
      <c r="DZ56" s="133">
        <f t="shared" si="95"/>
        <v>4.2500000000000003E-2</v>
      </c>
      <c r="EA56" s="132">
        <f>EA55*(1+DZ56/12*(1-podatek_Belki))+DY56</f>
        <v>0</v>
      </c>
      <c r="EB56" s="132">
        <f>EA55*(1+DZ56/12*(1-podatek_Belki))+DX56</f>
        <v>102687.17837500002</v>
      </c>
    </row>
    <row r="57" spans="1:132" ht="24">
      <c r="A57" s="224">
        <f>ROUNDUP(B68/12,0)</f>
        <v>2</v>
      </c>
      <c r="B57" s="188">
        <f t="shared" si="98"/>
        <v>13</v>
      </c>
      <c r="C57" s="128">
        <f t="shared" si="99"/>
        <v>107408.05997557286</v>
      </c>
      <c r="D57" s="128">
        <f t="shared" si="100"/>
        <v>103361.16155141662</v>
      </c>
      <c r="E57" s="128">
        <f t="shared" si="101"/>
        <v>103284.9701875</v>
      </c>
      <c r="F57" s="128">
        <f t="shared" si="102"/>
        <v>102731.8684375</v>
      </c>
      <c r="G57" s="128">
        <f t="shared" si="103"/>
        <v>102448.144</v>
      </c>
      <c r="H57" s="128">
        <f t="shared" si="104"/>
        <v>102932.848</v>
      </c>
      <c r="I57" s="128">
        <f t="shared" si="105"/>
        <v>102687.17837500002</v>
      </c>
      <c r="J57" s="128">
        <f t="shared" si="106"/>
        <v>103794.24695307278</v>
      </c>
      <c r="K57" s="128">
        <f t="shared" si="107"/>
        <v>103039.86666666667</v>
      </c>
      <c r="M57" s="36"/>
      <c r="N57" s="32">
        <f t="shared" si="108"/>
        <v>13</v>
      </c>
      <c r="O57" s="25">
        <f t="shared" si="109"/>
        <v>7.408059975572856E-2</v>
      </c>
      <c r="P57" s="25">
        <f t="shared" si="110"/>
        <v>3.3611615514166138E-2</v>
      </c>
      <c r="Q57" s="25">
        <f t="shared" si="111"/>
        <v>3.2849701875000026E-2</v>
      </c>
      <c r="R57" s="25">
        <f t="shared" si="30"/>
        <v>2.7318684374999957E-2</v>
      </c>
      <c r="S57" s="25">
        <f t="shared" si="31"/>
        <v>2.4481439999999965E-2</v>
      </c>
      <c r="T57" s="25">
        <f t="shared" si="32"/>
        <v>2.932847999999999E-2</v>
      </c>
      <c r="U57" s="25">
        <f t="shared" si="33"/>
        <v>2.68717837500001E-2</v>
      </c>
      <c r="V57" s="25">
        <f t="shared" si="34"/>
        <v>3.7942469530727774E-2</v>
      </c>
      <c r="W57" s="25">
        <f t="shared" si="112"/>
        <v>3.0398666666666685E-2</v>
      </c>
      <c r="X57" s="36"/>
      <c r="Y57" s="73"/>
      <c r="AA57" s="124">
        <f t="shared" si="113"/>
        <v>14</v>
      </c>
      <c r="AB57" s="128">
        <f t="shared" si="35"/>
        <v>103279.73333333332</v>
      </c>
      <c r="AC57" s="124">
        <f t="shared" si="114"/>
        <v>14</v>
      </c>
      <c r="AD57" s="130">
        <f t="shared" si="115"/>
        <v>4.2500000000000003E-2</v>
      </c>
      <c r="AE57" s="127">
        <f t="shared" si="116"/>
        <v>1038</v>
      </c>
      <c r="AF57" s="128">
        <f t="shared" si="117"/>
        <v>103699.70000000001</v>
      </c>
      <c r="AG57" s="128">
        <f t="shared" si="140"/>
        <v>103800</v>
      </c>
      <c r="AH57" s="128">
        <f t="shared" si="118"/>
        <v>103800</v>
      </c>
      <c r="AI57" s="130">
        <f t="shared" si="36"/>
        <v>4.2500000000000003E-2</v>
      </c>
      <c r="AJ57" s="128">
        <f t="shared" si="37"/>
        <v>104167.62500000001</v>
      </c>
      <c r="AK57" s="128" t="str">
        <f t="shared" si="38"/>
        <v>nie</v>
      </c>
      <c r="AL57" s="128">
        <f t="shared" si="39"/>
        <v>519</v>
      </c>
      <c r="AM57" s="128">
        <f t="shared" ref="AM57:AM120" si="150">AJ57-AL57
-(AJ57-AG57-AL57)*podatek_Belki</f>
        <v>103677.38625000001</v>
      </c>
      <c r="AN57" s="128">
        <f t="shared" si="41"/>
        <v>297.77625000001183</v>
      </c>
      <c r="AO57" s="130">
        <f t="shared" si="42"/>
        <v>4.2500000000000003E-2</v>
      </c>
      <c r="AP57" s="128">
        <f t="shared" si="43"/>
        <v>694.70728920203567</v>
      </c>
      <c r="AQ57" s="128">
        <f>AP56*(1+AO57/12*(1-podatek_Belki))+AM57</f>
        <v>104074.31728920204</v>
      </c>
      <c r="AS57" s="124">
        <f t="shared" si="119"/>
        <v>14</v>
      </c>
      <c r="AT57" s="130">
        <f t="shared" si="120"/>
        <v>4.2500000000000003E-2</v>
      </c>
      <c r="AU57" s="127">
        <f t="shared" si="121"/>
        <v>1000</v>
      </c>
      <c r="AV57" s="128">
        <f t="shared" si="122"/>
        <v>100000</v>
      </c>
      <c r="AW57" s="128">
        <f t="shared" ref="AW57:AW120" si="151">IF(BA56="tak",
AU57*100,
AW56)</f>
        <v>100000</v>
      </c>
      <c r="AX57" s="128">
        <f t="shared" si="123"/>
        <v>100000</v>
      </c>
      <c r="AY57" s="130">
        <f t="shared" si="45"/>
        <v>4.4000000000000004E-2</v>
      </c>
      <c r="AZ57" s="128">
        <f t="shared" si="46"/>
        <v>100366.66666666667</v>
      </c>
      <c r="BA57" s="128" t="str">
        <f t="shared" si="47"/>
        <v>nie</v>
      </c>
      <c r="BB57" s="128">
        <f t="shared" si="48"/>
        <v>700</v>
      </c>
      <c r="BC57" s="128">
        <f t="shared" ref="BC57:BC66" si="152">AZ57-BB57
-(AZ57-AW57-BB57)*podatek_Belki</f>
        <v>99730</v>
      </c>
      <c r="BD57" s="128">
        <f t="shared" si="50"/>
        <v>297.00000000000392</v>
      </c>
      <c r="BE57" s="130">
        <f t="shared" si="51"/>
        <v>4.2500000000000003E-2</v>
      </c>
      <c r="BF57" s="128">
        <f t="shared" si="52"/>
        <v>4236.4304648672551</v>
      </c>
      <c r="BG57" s="128">
        <f>BF56*(1+BE57/12*(1-podatek_Belki))+BC57</f>
        <v>103669.43046486726</v>
      </c>
      <c r="BI57" s="124">
        <f t="shared" si="124"/>
        <v>14</v>
      </c>
      <c r="BJ57" s="130">
        <f t="shared" si="148"/>
        <v>4.1300000000000003E-2</v>
      </c>
      <c r="BK57" s="127">
        <f t="shared" si="125"/>
        <v>1000</v>
      </c>
      <c r="BL57" s="128">
        <f t="shared" si="126"/>
        <v>100000</v>
      </c>
      <c r="BM57" s="128">
        <f t="shared" si="142"/>
        <v>100000</v>
      </c>
      <c r="BN57" s="128">
        <f t="shared" si="127"/>
        <v>104650</v>
      </c>
      <c r="BO57" s="130">
        <f t="shared" si="54"/>
        <v>4.65E-2</v>
      </c>
      <c r="BP57" s="128">
        <f t="shared" si="55"/>
        <v>105461.03749999999</v>
      </c>
      <c r="BQ57" s="128" t="str">
        <f t="shared" si="56"/>
        <v>nie</v>
      </c>
      <c r="BR57" s="128">
        <f t="shared" si="57"/>
        <v>1000</v>
      </c>
      <c r="BS57" s="128">
        <f t="shared" ref="BS57:BS120" si="153">BP57-BR57
-(BP57-BM57-BR57)*podatek_Belki</f>
        <v>103613.44037499999</v>
      </c>
      <c r="BT57" s="128">
        <f t="shared" si="128"/>
        <v>0</v>
      </c>
      <c r="BU57" s="130">
        <f t="shared" si="59"/>
        <v>4.2500000000000003E-2</v>
      </c>
      <c r="BV57" s="128">
        <f t="shared" si="60"/>
        <v>0</v>
      </c>
      <c r="BW57" s="128">
        <f t="shared" si="61"/>
        <v>103613.44037499999</v>
      </c>
      <c r="BY57" s="130">
        <f t="shared" si="149"/>
        <v>2.8000000000000001E-2</v>
      </c>
      <c r="BZ57" s="127">
        <f t="shared" si="129"/>
        <v>1000</v>
      </c>
      <c r="CA57" s="128">
        <f t="shared" si="130"/>
        <v>100000</v>
      </c>
      <c r="CB57" s="128">
        <f t="shared" ref="CB57:CB120" si="154">IF(CF56="tak",
BZ57*100,
CB56)</f>
        <v>100000</v>
      </c>
      <c r="CC57" s="128">
        <f t="shared" si="131"/>
        <v>100000</v>
      </c>
      <c r="CD57" s="130">
        <f t="shared" si="62"/>
        <v>4.2999999999999997E-2</v>
      </c>
      <c r="CE57" s="128">
        <f t="shared" si="63"/>
        <v>100716.66666666667</v>
      </c>
      <c r="CF57" s="128" t="str">
        <f t="shared" si="64"/>
        <v>nie</v>
      </c>
      <c r="CG57" s="128">
        <f t="shared" si="65"/>
        <v>2000</v>
      </c>
      <c r="CH57" s="128">
        <f t="shared" ref="CH57:CH66" si="155">CE57-CG57
-(CE57-CB57-CG57)*podatek_Belki</f>
        <v>98960.5</v>
      </c>
      <c r="CI57" s="128">
        <f t="shared" si="67"/>
        <v>0</v>
      </c>
      <c r="CJ57" s="130">
        <f t="shared" si="68"/>
        <v>4.2500000000000003E-2</v>
      </c>
      <c r="CK57" s="128">
        <f t="shared" si="69"/>
        <v>4073.2702053925782</v>
      </c>
      <c r="CL57" s="128">
        <f t="shared" si="70"/>
        <v>103033.77020539258</v>
      </c>
      <c r="CN57" s="127">
        <f t="shared" si="132"/>
        <v>1000</v>
      </c>
      <c r="CO57" s="128">
        <f t="shared" si="133"/>
        <v>100000</v>
      </c>
      <c r="CP57" s="128">
        <f t="shared" si="134"/>
        <v>100000</v>
      </c>
      <c r="CQ57" s="128">
        <f t="shared" si="135"/>
        <v>105600</v>
      </c>
      <c r="CR57" s="130">
        <f t="shared" si="71"/>
        <v>4.8000000000000001E-2</v>
      </c>
      <c r="CS57" s="128">
        <f t="shared" si="72"/>
        <v>106444.8</v>
      </c>
      <c r="CT57" s="128" t="str">
        <f t="shared" si="73"/>
        <v>nie</v>
      </c>
      <c r="CU57" s="128">
        <f t="shared" si="74"/>
        <v>3000</v>
      </c>
      <c r="CV57" s="128">
        <f t="shared" si="75"/>
        <v>102790.288</v>
      </c>
      <c r="CW57" s="128">
        <f t="shared" si="76"/>
        <v>0</v>
      </c>
      <c r="CX57" s="130">
        <f t="shared" si="77"/>
        <v>4.2500000000000003E-2</v>
      </c>
      <c r="CY57" s="128">
        <f t="shared" si="78"/>
        <v>0</v>
      </c>
      <c r="CZ57" s="128">
        <f t="shared" si="79"/>
        <v>102790.288</v>
      </c>
      <c r="DA57" s="20"/>
      <c r="DB57" s="127">
        <f t="shared" si="144"/>
        <v>1000</v>
      </c>
      <c r="DC57" s="128">
        <f t="shared" si="145"/>
        <v>100000</v>
      </c>
      <c r="DD57" s="128">
        <f t="shared" si="136"/>
        <v>100000</v>
      </c>
      <c r="DE57" s="128">
        <f t="shared" si="137"/>
        <v>105200</v>
      </c>
      <c r="DF57" s="130">
        <f t="shared" si="80"/>
        <v>4.8000000000000001E-2</v>
      </c>
      <c r="DG57" s="128">
        <f t="shared" si="81"/>
        <v>106041.60000000001</v>
      </c>
      <c r="DH57" s="128" t="str">
        <f t="shared" si="82"/>
        <v>nie</v>
      </c>
      <c r="DI57" s="128">
        <f t="shared" si="83"/>
        <v>2000</v>
      </c>
      <c r="DJ57" s="128">
        <f t="shared" si="84"/>
        <v>103273.69600000001</v>
      </c>
      <c r="DK57" s="128">
        <f t="shared" si="85"/>
        <v>0</v>
      </c>
      <c r="DL57" s="130">
        <f t="shared" si="86"/>
        <v>4.2500000000000003E-2</v>
      </c>
      <c r="DM57" s="128">
        <f t="shared" si="87"/>
        <v>0</v>
      </c>
      <c r="DN57" s="128">
        <f t="shared" si="88"/>
        <v>103273.69600000001</v>
      </c>
      <c r="DP57" s="127">
        <f t="shared" si="146"/>
        <v>1000</v>
      </c>
      <c r="DQ57" s="128">
        <f t="shared" si="147"/>
        <v>100000</v>
      </c>
      <c r="DR57" s="128">
        <f t="shared" si="138"/>
        <v>100000</v>
      </c>
      <c r="DS57" s="128">
        <f t="shared" si="139"/>
        <v>105850</v>
      </c>
      <c r="DT57" s="130">
        <f t="shared" si="89"/>
        <v>5.3000000000000005E-2</v>
      </c>
      <c r="DU57" s="128">
        <f t="shared" si="90"/>
        <v>106785.00833333333</v>
      </c>
      <c r="DV57" s="128" t="str">
        <f t="shared" si="91"/>
        <v>nie</v>
      </c>
      <c r="DW57" s="128">
        <f t="shared" si="92"/>
        <v>3000</v>
      </c>
      <c r="DX57" s="128">
        <f t="shared" si="93"/>
        <v>103065.85674999999</v>
      </c>
      <c r="DY57" s="128">
        <f t="shared" si="94"/>
        <v>0</v>
      </c>
      <c r="DZ57" s="130">
        <f t="shared" si="95"/>
        <v>4.2500000000000003E-2</v>
      </c>
      <c r="EA57" s="128">
        <f t="shared" si="96"/>
        <v>0</v>
      </c>
      <c r="EB57" s="128">
        <f t="shared" si="97"/>
        <v>103065.85674999999</v>
      </c>
    </row>
    <row r="58" spans="1:132">
      <c r="A58" s="224"/>
      <c r="B58" s="188">
        <f t="shared" si="98"/>
        <v>14</v>
      </c>
      <c r="C58" s="128">
        <f t="shared" si="99"/>
        <v>104074.31728920204</v>
      </c>
      <c r="D58" s="128">
        <f t="shared" si="100"/>
        <v>103669.43046486726</v>
      </c>
      <c r="E58" s="128">
        <f t="shared" si="101"/>
        <v>103613.44037499999</v>
      </c>
      <c r="F58" s="128">
        <f t="shared" si="102"/>
        <v>103033.77020539258</v>
      </c>
      <c r="G58" s="128">
        <f t="shared" si="103"/>
        <v>102790.288</v>
      </c>
      <c r="H58" s="128">
        <f t="shared" si="104"/>
        <v>103273.69600000001</v>
      </c>
      <c r="I58" s="128">
        <f t="shared" si="105"/>
        <v>103065.85674999999</v>
      </c>
      <c r="J58" s="128">
        <f t="shared" si="106"/>
        <v>104092.0066990194</v>
      </c>
      <c r="K58" s="128">
        <f t="shared" si="107"/>
        <v>103279.73333333332</v>
      </c>
      <c r="M58" s="36"/>
      <c r="N58" s="32">
        <f t="shared" si="108"/>
        <v>14</v>
      </c>
      <c r="O58" s="25">
        <f t="shared" si="109"/>
        <v>4.0743172892020452E-2</v>
      </c>
      <c r="P58" s="25">
        <f t="shared" si="110"/>
        <v>3.6694304648672516E-2</v>
      </c>
      <c r="Q58" s="25">
        <f t="shared" si="111"/>
        <v>3.6134403749999988E-2</v>
      </c>
      <c r="R58" s="25">
        <f t="shared" si="30"/>
        <v>3.0337702053925719E-2</v>
      </c>
      <c r="S58" s="25">
        <f t="shared" si="31"/>
        <v>2.7902880000000074E-2</v>
      </c>
      <c r="T58" s="25">
        <f t="shared" si="32"/>
        <v>3.2736960000000037E-2</v>
      </c>
      <c r="U58" s="25">
        <f t="shared" si="33"/>
        <v>3.0658567499999956E-2</v>
      </c>
      <c r="V58" s="25">
        <f t="shared" si="34"/>
        <v>4.0920066990194126E-2</v>
      </c>
      <c r="W58" s="25">
        <f t="shared" si="112"/>
        <v>3.2797333333333123E-2</v>
      </c>
      <c r="X58" s="36"/>
      <c r="Y58" s="74"/>
      <c r="AA58" s="124">
        <f t="shared" si="113"/>
        <v>15</v>
      </c>
      <c r="AB58" s="128">
        <f t="shared" si="35"/>
        <v>103519.59999999999</v>
      </c>
      <c r="AC58" s="124">
        <f t="shared" si="114"/>
        <v>15</v>
      </c>
      <c r="AD58" s="130">
        <f t="shared" si="115"/>
        <v>4.2500000000000003E-2</v>
      </c>
      <c r="AE58" s="127">
        <f t="shared" si="116"/>
        <v>1038</v>
      </c>
      <c r="AF58" s="128">
        <f t="shared" si="117"/>
        <v>103699.70000000001</v>
      </c>
      <c r="AG58" s="128">
        <f t="shared" si="140"/>
        <v>103800</v>
      </c>
      <c r="AH58" s="128">
        <f t="shared" si="118"/>
        <v>103800</v>
      </c>
      <c r="AI58" s="130">
        <f t="shared" si="36"/>
        <v>4.2500000000000003E-2</v>
      </c>
      <c r="AJ58" s="128">
        <f t="shared" si="37"/>
        <v>104167.62500000001</v>
      </c>
      <c r="AK58" s="128" t="str">
        <f t="shared" si="38"/>
        <v>nie</v>
      </c>
      <c r="AL58" s="128">
        <f t="shared" si="39"/>
        <v>519</v>
      </c>
      <c r="AM58" s="128">
        <f t="shared" si="150"/>
        <v>103677.38625000001</v>
      </c>
      <c r="AN58" s="128">
        <f t="shared" si="41"/>
        <v>297.77625000001183</v>
      </c>
      <c r="AO58" s="130">
        <f t="shared" si="42"/>
        <v>4.2500000000000003E-2</v>
      </c>
      <c r="AP58" s="128">
        <f t="shared" si="43"/>
        <v>994.47648073794585</v>
      </c>
      <c r="AQ58" s="128">
        <f t="shared" ref="AQ58:AQ120" si="156">AP57*(1+AO58/12*(1-podatek_Belki))+AM58</f>
        <v>104374.08648073794</v>
      </c>
      <c r="AS58" s="124">
        <f t="shared" si="119"/>
        <v>15</v>
      </c>
      <c r="AT58" s="130">
        <f t="shared" si="120"/>
        <v>4.2500000000000003E-2</v>
      </c>
      <c r="AU58" s="127">
        <f t="shared" si="121"/>
        <v>1000</v>
      </c>
      <c r="AV58" s="128">
        <f t="shared" si="122"/>
        <v>100000</v>
      </c>
      <c r="AW58" s="128">
        <f t="shared" si="151"/>
        <v>100000</v>
      </c>
      <c r="AX58" s="128">
        <f t="shared" si="123"/>
        <v>100000</v>
      </c>
      <c r="AY58" s="130">
        <f t="shared" si="45"/>
        <v>4.4000000000000004E-2</v>
      </c>
      <c r="AZ58" s="128">
        <f t="shared" si="46"/>
        <v>100366.66666666667</v>
      </c>
      <c r="BA58" s="128" t="str">
        <f t="shared" si="47"/>
        <v>nie</v>
      </c>
      <c r="BB58" s="128">
        <f t="shared" si="48"/>
        <v>700</v>
      </c>
      <c r="BC58" s="128">
        <f t="shared" si="152"/>
        <v>99730</v>
      </c>
      <c r="BD58" s="128">
        <f t="shared" si="50"/>
        <v>297.00000000000392</v>
      </c>
      <c r="BE58" s="130">
        <f t="shared" si="51"/>
        <v>4.2500000000000003E-2</v>
      </c>
      <c r="BF58" s="128">
        <f t="shared" si="52"/>
        <v>4545.5837247633463</v>
      </c>
      <c r="BG58" s="128">
        <f t="shared" ref="BG58:BG66" si="157">BF57*(1+BE58/12*(1-podatek_Belki))+BC58</f>
        <v>103978.58372476335</v>
      </c>
      <c r="BI58" s="124">
        <f t="shared" si="124"/>
        <v>15</v>
      </c>
      <c r="BJ58" s="130">
        <f t="shared" si="148"/>
        <v>4.1300000000000003E-2</v>
      </c>
      <c r="BK58" s="127">
        <f t="shared" si="125"/>
        <v>1000</v>
      </c>
      <c r="BL58" s="128">
        <f t="shared" si="126"/>
        <v>100000</v>
      </c>
      <c r="BM58" s="128">
        <f t="shared" si="142"/>
        <v>100000</v>
      </c>
      <c r="BN58" s="128">
        <f t="shared" si="127"/>
        <v>104650</v>
      </c>
      <c r="BO58" s="130">
        <f t="shared" si="54"/>
        <v>4.65E-2</v>
      </c>
      <c r="BP58" s="128">
        <f t="shared" si="55"/>
        <v>105866.55624999999</v>
      </c>
      <c r="BQ58" s="128" t="str">
        <f t="shared" si="56"/>
        <v>nie</v>
      </c>
      <c r="BR58" s="128">
        <f t="shared" si="57"/>
        <v>1000</v>
      </c>
      <c r="BS58" s="128">
        <f t="shared" si="153"/>
        <v>103941.91056249999</v>
      </c>
      <c r="BT58" s="128">
        <f t="shared" si="128"/>
        <v>0</v>
      </c>
      <c r="BU58" s="130">
        <f t="shared" si="59"/>
        <v>4.2500000000000003E-2</v>
      </c>
      <c r="BV58" s="128">
        <f t="shared" si="60"/>
        <v>0</v>
      </c>
      <c r="BW58" s="128">
        <f t="shared" si="61"/>
        <v>103941.91056249999</v>
      </c>
      <c r="BY58" s="130">
        <f t="shared" si="149"/>
        <v>2.8000000000000001E-2</v>
      </c>
      <c r="BZ58" s="127">
        <f t="shared" si="129"/>
        <v>1000</v>
      </c>
      <c r="CA58" s="128">
        <f t="shared" si="130"/>
        <v>100000</v>
      </c>
      <c r="CB58" s="128">
        <f t="shared" si="154"/>
        <v>100000</v>
      </c>
      <c r="CC58" s="128">
        <f t="shared" si="131"/>
        <v>100000</v>
      </c>
      <c r="CD58" s="130">
        <f t="shared" si="62"/>
        <v>4.2999999999999997E-2</v>
      </c>
      <c r="CE58" s="128">
        <f t="shared" si="63"/>
        <v>101075</v>
      </c>
      <c r="CF58" s="128" t="str">
        <f t="shared" si="64"/>
        <v>nie</v>
      </c>
      <c r="CG58" s="128">
        <f t="shared" si="65"/>
        <v>2000</v>
      </c>
      <c r="CH58" s="128">
        <f t="shared" si="155"/>
        <v>99250.75</v>
      </c>
      <c r="CI58" s="128">
        <f t="shared" si="67"/>
        <v>0</v>
      </c>
      <c r="CJ58" s="130">
        <f t="shared" si="68"/>
        <v>4.2500000000000003E-2</v>
      </c>
      <c r="CK58" s="128">
        <f t="shared" si="69"/>
        <v>4084.9553992942979</v>
      </c>
      <c r="CL58" s="128">
        <f t="shared" si="70"/>
        <v>103335.7053992943</v>
      </c>
      <c r="CN58" s="127">
        <f t="shared" si="132"/>
        <v>1000</v>
      </c>
      <c r="CO58" s="128">
        <f t="shared" si="133"/>
        <v>100000</v>
      </c>
      <c r="CP58" s="128">
        <f t="shared" si="134"/>
        <v>100000</v>
      </c>
      <c r="CQ58" s="128">
        <f t="shared" si="135"/>
        <v>105600</v>
      </c>
      <c r="CR58" s="130">
        <f t="shared" si="71"/>
        <v>4.8000000000000001E-2</v>
      </c>
      <c r="CS58" s="128">
        <f t="shared" si="72"/>
        <v>106867.2</v>
      </c>
      <c r="CT58" s="128" t="str">
        <f t="shared" si="73"/>
        <v>nie</v>
      </c>
      <c r="CU58" s="128">
        <f t="shared" si="74"/>
        <v>3000</v>
      </c>
      <c r="CV58" s="128">
        <f t="shared" si="75"/>
        <v>103132.432</v>
      </c>
      <c r="CW58" s="128">
        <f t="shared" si="76"/>
        <v>0</v>
      </c>
      <c r="CX58" s="130">
        <f t="shared" si="77"/>
        <v>4.2500000000000003E-2</v>
      </c>
      <c r="CY58" s="128">
        <f t="shared" si="78"/>
        <v>0</v>
      </c>
      <c r="CZ58" s="128">
        <f t="shared" si="79"/>
        <v>103132.432</v>
      </c>
      <c r="DA58" s="20"/>
      <c r="DB58" s="127">
        <f t="shared" si="144"/>
        <v>1000</v>
      </c>
      <c r="DC58" s="128">
        <f t="shared" si="145"/>
        <v>100000</v>
      </c>
      <c r="DD58" s="128">
        <f t="shared" si="136"/>
        <v>100000</v>
      </c>
      <c r="DE58" s="128">
        <f t="shared" si="137"/>
        <v>105200</v>
      </c>
      <c r="DF58" s="130">
        <f t="shared" si="80"/>
        <v>4.8000000000000001E-2</v>
      </c>
      <c r="DG58" s="128">
        <f t="shared" si="81"/>
        <v>106462.39999999999</v>
      </c>
      <c r="DH58" s="128" t="str">
        <f t="shared" si="82"/>
        <v>nie</v>
      </c>
      <c r="DI58" s="128">
        <f t="shared" si="83"/>
        <v>2000</v>
      </c>
      <c r="DJ58" s="128">
        <f t="shared" si="84"/>
        <v>103614.54399999999</v>
      </c>
      <c r="DK58" s="128">
        <f t="shared" si="85"/>
        <v>0</v>
      </c>
      <c r="DL58" s="130">
        <f t="shared" si="86"/>
        <v>4.2500000000000003E-2</v>
      </c>
      <c r="DM58" s="128">
        <f t="shared" si="87"/>
        <v>0</v>
      </c>
      <c r="DN58" s="128">
        <f t="shared" si="88"/>
        <v>103614.54399999999</v>
      </c>
      <c r="DP58" s="127">
        <f t="shared" si="146"/>
        <v>1000</v>
      </c>
      <c r="DQ58" s="128">
        <f t="shared" si="147"/>
        <v>100000</v>
      </c>
      <c r="DR58" s="128">
        <f t="shared" si="138"/>
        <v>100000</v>
      </c>
      <c r="DS58" s="128">
        <f t="shared" si="139"/>
        <v>105850</v>
      </c>
      <c r="DT58" s="130">
        <f t="shared" si="89"/>
        <v>5.3000000000000005E-2</v>
      </c>
      <c r="DU58" s="128">
        <f t="shared" si="90"/>
        <v>107252.5125</v>
      </c>
      <c r="DV58" s="128" t="str">
        <f t="shared" si="91"/>
        <v>nie</v>
      </c>
      <c r="DW58" s="128">
        <f t="shared" si="92"/>
        <v>3000</v>
      </c>
      <c r="DX58" s="128">
        <f t="shared" si="93"/>
        <v>103444.53512499999</v>
      </c>
      <c r="DY58" s="128">
        <f t="shared" si="94"/>
        <v>0</v>
      </c>
      <c r="DZ58" s="130">
        <f t="shared" si="95"/>
        <v>4.2500000000000003E-2</v>
      </c>
      <c r="EA58" s="128">
        <f t="shared" si="96"/>
        <v>0</v>
      </c>
      <c r="EB58" s="128">
        <f t="shared" si="97"/>
        <v>103444.53512499999</v>
      </c>
    </row>
    <row r="59" spans="1:132">
      <c r="A59" s="224"/>
      <c r="B59" s="188">
        <f t="shared" si="98"/>
        <v>15</v>
      </c>
      <c r="C59" s="128">
        <f t="shared" si="99"/>
        <v>104374.08648073794</v>
      </c>
      <c r="D59" s="128">
        <f t="shared" si="100"/>
        <v>103978.58372476335</v>
      </c>
      <c r="E59" s="128">
        <f t="shared" si="101"/>
        <v>103941.91056249999</v>
      </c>
      <c r="F59" s="128">
        <f t="shared" si="102"/>
        <v>103335.7053992943</v>
      </c>
      <c r="G59" s="128">
        <f t="shared" si="103"/>
        <v>103132.432</v>
      </c>
      <c r="H59" s="128">
        <f t="shared" si="104"/>
        <v>103614.54399999999</v>
      </c>
      <c r="I59" s="128">
        <f t="shared" si="105"/>
        <v>103444.53512499999</v>
      </c>
      <c r="J59" s="128">
        <f t="shared" si="106"/>
        <v>104390.62064323721</v>
      </c>
      <c r="K59" s="128">
        <f t="shared" si="107"/>
        <v>103519.59999999999</v>
      </c>
      <c r="M59" s="36"/>
      <c r="N59" s="32">
        <f t="shared" si="108"/>
        <v>15</v>
      </c>
      <c r="O59" s="25">
        <f t="shared" si="109"/>
        <v>4.3740864807379376E-2</v>
      </c>
      <c r="P59" s="25">
        <f t="shared" si="110"/>
        <v>3.9785837247633404E-2</v>
      </c>
      <c r="Q59" s="25">
        <f t="shared" si="111"/>
        <v>3.9419105624999951E-2</v>
      </c>
      <c r="R59" s="25">
        <f t="shared" si="30"/>
        <v>3.3357053992942864E-2</v>
      </c>
      <c r="S59" s="25">
        <f t="shared" si="31"/>
        <v>3.1324319999999961E-2</v>
      </c>
      <c r="T59" s="25">
        <f t="shared" si="32"/>
        <v>3.6145439999999862E-2</v>
      </c>
      <c r="U59" s="25">
        <f t="shared" si="33"/>
        <v>3.4445351250000034E-2</v>
      </c>
      <c r="V59" s="25">
        <f t="shared" si="34"/>
        <v>4.3906206432372086E-2</v>
      </c>
      <c r="W59" s="25">
        <f t="shared" si="112"/>
        <v>3.5196000000000005E-2</v>
      </c>
      <c r="X59" s="36"/>
      <c r="Y59" s="36"/>
      <c r="AA59" s="124">
        <f t="shared" si="113"/>
        <v>16</v>
      </c>
      <c r="AB59" s="128">
        <f t="shared" si="35"/>
        <v>103759.46666666667</v>
      </c>
      <c r="AC59" s="124">
        <f t="shared" si="114"/>
        <v>16</v>
      </c>
      <c r="AD59" s="130">
        <f t="shared" si="115"/>
        <v>4.2500000000000003E-2</v>
      </c>
      <c r="AE59" s="127">
        <f t="shared" si="116"/>
        <v>1038</v>
      </c>
      <c r="AF59" s="128">
        <f t="shared" si="117"/>
        <v>103699.70000000001</v>
      </c>
      <c r="AG59" s="128">
        <f t="shared" si="140"/>
        <v>103800</v>
      </c>
      <c r="AH59" s="128">
        <f t="shared" si="118"/>
        <v>103800</v>
      </c>
      <c r="AI59" s="130">
        <f t="shared" si="36"/>
        <v>4.2500000000000003E-2</v>
      </c>
      <c r="AJ59" s="128">
        <f t="shared" si="37"/>
        <v>104167.62500000001</v>
      </c>
      <c r="AK59" s="128" t="str">
        <f t="shared" si="38"/>
        <v>nie</v>
      </c>
      <c r="AL59" s="128">
        <f t="shared" si="39"/>
        <v>519</v>
      </c>
      <c r="AM59" s="128">
        <f t="shared" si="150"/>
        <v>103677.38625000001</v>
      </c>
      <c r="AN59" s="128">
        <f t="shared" si="41"/>
        <v>297.77625000001183</v>
      </c>
      <c r="AO59" s="130">
        <f t="shared" si="42"/>
        <v>4.2500000000000003E-2</v>
      </c>
      <c r="AP59" s="128">
        <f t="shared" si="43"/>
        <v>1295.1056351420748</v>
      </c>
      <c r="AQ59" s="128">
        <f t="shared" si="156"/>
        <v>104674.71563514207</v>
      </c>
      <c r="AS59" s="124">
        <f t="shared" si="119"/>
        <v>16</v>
      </c>
      <c r="AT59" s="130">
        <f t="shared" si="120"/>
        <v>4.2500000000000003E-2</v>
      </c>
      <c r="AU59" s="127">
        <f t="shared" si="121"/>
        <v>1000</v>
      </c>
      <c r="AV59" s="128">
        <f t="shared" si="122"/>
        <v>100000</v>
      </c>
      <c r="AW59" s="128">
        <f t="shared" si="151"/>
        <v>100000</v>
      </c>
      <c r="AX59" s="128">
        <f t="shared" si="123"/>
        <v>100000</v>
      </c>
      <c r="AY59" s="130">
        <f t="shared" si="45"/>
        <v>4.4000000000000004E-2</v>
      </c>
      <c r="AZ59" s="128">
        <f t="shared" si="46"/>
        <v>100366.66666666667</v>
      </c>
      <c r="BA59" s="128" t="str">
        <f t="shared" si="47"/>
        <v>nie</v>
      </c>
      <c r="BB59" s="128">
        <f t="shared" si="48"/>
        <v>700</v>
      </c>
      <c r="BC59" s="128">
        <f t="shared" si="152"/>
        <v>99730</v>
      </c>
      <c r="BD59" s="128">
        <f t="shared" si="50"/>
        <v>297.00000000000392</v>
      </c>
      <c r="BE59" s="130">
        <f t="shared" si="51"/>
        <v>4.2500000000000003E-2</v>
      </c>
      <c r="BF59" s="128">
        <f t="shared" si="52"/>
        <v>4855.6238680737642</v>
      </c>
      <c r="BG59" s="128">
        <f t="shared" si="157"/>
        <v>104288.62386807376</v>
      </c>
      <c r="BI59" s="124">
        <f t="shared" si="124"/>
        <v>16</v>
      </c>
      <c r="BJ59" s="130">
        <f t="shared" si="148"/>
        <v>4.1300000000000003E-2</v>
      </c>
      <c r="BK59" s="127">
        <f t="shared" si="125"/>
        <v>1000</v>
      </c>
      <c r="BL59" s="128">
        <f t="shared" si="126"/>
        <v>100000</v>
      </c>
      <c r="BM59" s="128">
        <f t="shared" si="142"/>
        <v>100000</v>
      </c>
      <c r="BN59" s="128">
        <f t="shared" si="127"/>
        <v>104650</v>
      </c>
      <c r="BO59" s="130">
        <f t="shared" si="54"/>
        <v>4.65E-2</v>
      </c>
      <c r="BP59" s="128">
        <f t="shared" si="55"/>
        <v>106272.07500000001</v>
      </c>
      <c r="BQ59" s="128" t="str">
        <f t="shared" si="56"/>
        <v>nie</v>
      </c>
      <c r="BR59" s="128">
        <f t="shared" si="57"/>
        <v>1000</v>
      </c>
      <c r="BS59" s="128">
        <f t="shared" si="153"/>
        <v>104270.38075000001</v>
      </c>
      <c r="BT59" s="128">
        <f t="shared" si="128"/>
        <v>0</v>
      </c>
      <c r="BU59" s="130">
        <f t="shared" si="59"/>
        <v>4.2500000000000003E-2</v>
      </c>
      <c r="BV59" s="128">
        <f t="shared" si="60"/>
        <v>0</v>
      </c>
      <c r="BW59" s="128">
        <f t="shared" si="61"/>
        <v>104270.38075000001</v>
      </c>
      <c r="BY59" s="130">
        <f t="shared" si="149"/>
        <v>2.8000000000000001E-2</v>
      </c>
      <c r="BZ59" s="127">
        <f t="shared" si="129"/>
        <v>1000</v>
      </c>
      <c r="CA59" s="128">
        <f t="shared" si="130"/>
        <v>100000</v>
      </c>
      <c r="CB59" s="128">
        <f t="shared" si="154"/>
        <v>100000</v>
      </c>
      <c r="CC59" s="128">
        <f t="shared" si="131"/>
        <v>100000</v>
      </c>
      <c r="CD59" s="130">
        <f t="shared" si="62"/>
        <v>4.2999999999999997E-2</v>
      </c>
      <c r="CE59" s="128">
        <f t="shared" si="63"/>
        <v>101433.33333333333</v>
      </c>
      <c r="CF59" s="128" t="str">
        <f t="shared" si="64"/>
        <v>nie</v>
      </c>
      <c r="CG59" s="128">
        <f t="shared" si="65"/>
        <v>2000</v>
      </c>
      <c r="CH59" s="128">
        <f t="shared" si="155"/>
        <v>99541</v>
      </c>
      <c r="CI59" s="128">
        <f t="shared" si="67"/>
        <v>0</v>
      </c>
      <c r="CJ59" s="130">
        <f t="shared" si="68"/>
        <v>4.2500000000000003E-2</v>
      </c>
      <c r="CK59" s="128">
        <f t="shared" si="69"/>
        <v>4096.6741150960233</v>
      </c>
      <c r="CL59" s="128">
        <f t="shared" si="70"/>
        <v>103637.67411509603</v>
      </c>
      <c r="CN59" s="127">
        <f t="shared" si="132"/>
        <v>1000</v>
      </c>
      <c r="CO59" s="128">
        <f t="shared" si="133"/>
        <v>100000</v>
      </c>
      <c r="CP59" s="128">
        <f t="shared" si="134"/>
        <v>100000</v>
      </c>
      <c r="CQ59" s="128">
        <f t="shared" si="135"/>
        <v>105600</v>
      </c>
      <c r="CR59" s="130">
        <f t="shared" si="71"/>
        <v>4.8000000000000001E-2</v>
      </c>
      <c r="CS59" s="128">
        <f t="shared" si="72"/>
        <v>107289.60000000001</v>
      </c>
      <c r="CT59" s="128" t="str">
        <f t="shared" si="73"/>
        <v>nie</v>
      </c>
      <c r="CU59" s="128">
        <f t="shared" si="74"/>
        <v>3000</v>
      </c>
      <c r="CV59" s="128">
        <f t="shared" si="75"/>
        <v>103474.576</v>
      </c>
      <c r="CW59" s="128">
        <f t="shared" si="76"/>
        <v>0</v>
      </c>
      <c r="CX59" s="130">
        <f t="shared" si="77"/>
        <v>4.2500000000000003E-2</v>
      </c>
      <c r="CY59" s="128">
        <f t="shared" si="78"/>
        <v>0</v>
      </c>
      <c r="CZ59" s="128">
        <f t="shared" si="79"/>
        <v>103474.576</v>
      </c>
      <c r="DA59" s="20"/>
      <c r="DB59" s="127">
        <f t="shared" si="144"/>
        <v>1000</v>
      </c>
      <c r="DC59" s="128">
        <f t="shared" si="145"/>
        <v>100000</v>
      </c>
      <c r="DD59" s="128">
        <f t="shared" si="136"/>
        <v>100000</v>
      </c>
      <c r="DE59" s="128">
        <f t="shared" si="137"/>
        <v>105200</v>
      </c>
      <c r="DF59" s="130">
        <f t="shared" si="80"/>
        <v>4.8000000000000001E-2</v>
      </c>
      <c r="DG59" s="128">
        <f t="shared" si="81"/>
        <v>106883.2</v>
      </c>
      <c r="DH59" s="128" t="str">
        <f t="shared" si="82"/>
        <v>nie</v>
      </c>
      <c r="DI59" s="128">
        <f t="shared" si="83"/>
        <v>2000</v>
      </c>
      <c r="DJ59" s="128">
        <f t="shared" si="84"/>
        <v>103955.39199999999</v>
      </c>
      <c r="DK59" s="128">
        <f t="shared" si="85"/>
        <v>0</v>
      </c>
      <c r="DL59" s="130">
        <f t="shared" si="86"/>
        <v>4.2500000000000003E-2</v>
      </c>
      <c r="DM59" s="128">
        <f t="shared" si="87"/>
        <v>0</v>
      </c>
      <c r="DN59" s="128">
        <f t="shared" si="88"/>
        <v>103955.39199999999</v>
      </c>
      <c r="DP59" s="127">
        <f t="shared" si="146"/>
        <v>1000</v>
      </c>
      <c r="DQ59" s="128">
        <f t="shared" si="147"/>
        <v>100000</v>
      </c>
      <c r="DR59" s="128">
        <f t="shared" si="138"/>
        <v>100000</v>
      </c>
      <c r="DS59" s="128">
        <f t="shared" si="139"/>
        <v>105850</v>
      </c>
      <c r="DT59" s="130">
        <f t="shared" si="89"/>
        <v>5.3000000000000005E-2</v>
      </c>
      <c r="DU59" s="128">
        <f t="shared" si="90"/>
        <v>107720.01666666668</v>
      </c>
      <c r="DV59" s="128" t="str">
        <f t="shared" si="91"/>
        <v>nie</v>
      </c>
      <c r="DW59" s="128">
        <f t="shared" si="92"/>
        <v>3000</v>
      </c>
      <c r="DX59" s="128">
        <f t="shared" si="93"/>
        <v>103823.21350000001</v>
      </c>
      <c r="DY59" s="128">
        <f t="shared" si="94"/>
        <v>0</v>
      </c>
      <c r="DZ59" s="130">
        <f t="shared" si="95"/>
        <v>4.2500000000000003E-2</v>
      </c>
      <c r="EA59" s="128">
        <f t="shared" si="96"/>
        <v>0</v>
      </c>
      <c r="EB59" s="128">
        <f t="shared" si="97"/>
        <v>103823.21350000001</v>
      </c>
    </row>
    <row r="60" spans="1:132">
      <c r="A60" s="224"/>
      <c r="B60" s="188">
        <f t="shared" si="98"/>
        <v>16</v>
      </c>
      <c r="C60" s="128">
        <f t="shared" si="99"/>
        <v>104674.71563514207</v>
      </c>
      <c r="D60" s="128">
        <f t="shared" si="100"/>
        <v>104288.62386807376</v>
      </c>
      <c r="E60" s="128">
        <f t="shared" si="101"/>
        <v>104270.38075000001</v>
      </c>
      <c r="F60" s="128">
        <f t="shared" si="102"/>
        <v>103637.67411509603</v>
      </c>
      <c r="G60" s="128">
        <f t="shared" si="103"/>
        <v>103474.576</v>
      </c>
      <c r="H60" s="128">
        <f t="shared" si="104"/>
        <v>103955.39199999999</v>
      </c>
      <c r="I60" s="128">
        <f t="shared" si="105"/>
        <v>103823.21350000001</v>
      </c>
      <c r="J60" s="128">
        <f t="shared" si="106"/>
        <v>104690.0912362075</v>
      </c>
      <c r="K60" s="128">
        <f t="shared" si="107"/>
        <v>103759.46666666667</v>
      </c>
      <c r="M60" s="36"/>
      <c r="N60" s="32">
        <f t="shared" si="108"/>
        <v>16</v>
      </c>
      <c r="O60" s="25">
        <f t="shared" si="109"/>
        <v>4.6747156351420793E-2</v>
      </c>
      <c r="P60" s="25">
        <f t="shared" si="110"/>
        <v>4.2886238680737598E-2</v>
      </c>
      <c r="Q60" s="25">
        <f t="shared" si="111"/>
        <v>4.2703807500000135E-2</v>
      </c>
      <c r="R60" s="25">
        <f t="shared" si="30"/>
        <v>3.6376741150960346E-2</v>
      </c>
      <c r="S60" s="25">
        <f t="shared" si="31"/>
        <v>3.474576000000007E-2</v>
      </c>
      <c r="T60" s="25">
        <f t="shared" si="32"/>
        <v>3.9553919999999909E-2</v>
      </c>
      <c r="U60" s="25">
        <f t="shared" si="33"/>
        <v>3.8232135000000111E-2</v>
      </c>
      <c r="V60" s="25">
        <f t="shared" si="34"/>
        <v>4.6900912362074942E-2</v>
      </c>
      <c r="W60" s="25">
        <f t="shared" si="112"/>
        <v>3.7594666666666665E-2</v>
      </c>
      <c r="X60" s="36"/>
      <c r="Y60" s="36"/>
      <c r="AA60" s="124">
        <f t="shared" si="113"/>
        <v>17</v>
      </c>
      <c r="AB60" s="128">
        <f t="shared" si="35"/>
        <v>103999.33333333334</v>
      </c>
      <c r="AC60" s="124">
        <f t="shared" si="114"/>
        <v>17</v>
      </c>
      <c r="AD60" s="130">
        <f t="shared" si="115"/>
        <v>4.2500000000000003E-2</v>
      </c>
      <c r="AE60" s="127">
        <f t="shared" si="116"/>
        <v>1038</v>
      </c>
      <c r="AF60" s="128">
        <f t="shared" si="117"/>
        <v>103699.70000000001</v>
      </c>
      <c r="AG60" s="128">
        <f t="shared" si="140"/>
        <v>103800</v>
      </c>
      <c r="AH60" s="128">
        <f t="shared" si="118"/>
        <v>103800</v>
      </c>
      <c r="AI60" s="130">
        <f t="shared" si="36"/>
        <v>4.2500000000000003E-2</v>
      </c>
      <c r="AJ60" s="128">
        <f t="shared" si="37"/>
        <v>104167.62500000001</v>
      </c>
      <c r="AK60" s="128" t="str">
        <f t="shared" si="38"/>
        <v>nie</v>
      </c>
      <c r="AL60" s="128">
        <f t="shared" si="39"/>
        <v>519</v>
      </c>
      <c r="AM60" s="128">
        <f t="shared" si="150"/>
        <v>103677.38625000001</v>
      </c>
      <c r="AN60" s="128">
        <f t="shared" si="41"/>
        <v>297.77625000001183</v>
      </c>
      <c r="AO60" s="130">
        <f t="shared" si="42"/>
        <v>4.2500000000000003E-2</v>
      </c>
      <c r="AP60" s="128">
        <f t="shared" si="43"/>
        <v>1596.5972194329006</v>
      </c>
      <c r="AQ60" s="128">
        <f t="shared" si="156"/>
        <v>104976.20721943289</v>
      </c>
      <c r="AS60" s="124">
        <f t="shared" si="119"/>
        <v>17</v>
      </c>
      <c r="AT60" s="130">
        <f t="shared" si="120"/>
        <v>4.2500000000000003E-2</v>
      </c>
      <c r="AU60" s="127">
        <f t="shared" si="121"/>
        <v>1000</v>
      </c>
      <c r="AV60" s="128">
        <f t="shared" si="122"/>
        <v>100000</v>
      </c>
      <c r="AW60" s="128">
        <f t="shared" si="151"/>
        <v>100000</v>
      </c>
      <c r="AX60" s="128">
        <f t="shared" si="123"/>
        <v>100000</v>
      </c>
      <c r="AY60" s="130">
        <f t="shared" si="45"/>
        <v>4.4000000000000004E-2</v>
      </c>
      <c r="AZ60" s="128">
        <f t="shared" si="46"/>
        <v>100366.66666666667</v>
      </c>
      <c r="BA60" s="128" t="str">
        <f t="shared" si="47"/>
        <v>nie</v>
      </c>
      <c r="BB60" s="128">
        <f t="shared" si="48"/>
        <v>700</v>
      </c>
      <c r="BC60" s="128">
        <f t="shared" si="152"/>
        <v>99730</v>
      </c>
      <c r="BD60" s="128">
        <f t="shared" si="50"/>
        <v>297.00000000000392</v>
      </c>
      <c r="BE60" s="130">
        <f t="shared" si="51"/>
        <v>4.2500000000000003E-2</v>
      </c>
      <c r="BF60" s="128">
        <f t="shared" si="52"/>
        <v>5166.553439045304</v>
      </c>
      <c r="BG60" s="128">
        <f t="shared" si="157"/>
        <v>104599.5534390453</v>
      </c>
      <c r="BI60" s="124">
        <f t="shared" si="124"/>
        <v>17</v>
      </c>
      <c r="BJ60" s="130">
        <f t="shared" si="148"/>
        <v>4.1300000000000003E-2</v>
      </c>
      <c r="BK60" s="127">
        <f t="shared" si="125"/>
        <v>1000</v>
      </c>
      <c r="BL60" s="128">
        <f t="shared" si="126"/>
        <v>100000</v>
      </c>
      <c r="BM60" s="128">
        <f t="shared" si="142"/>
        <v>100000</v>
      </c>
      <c r="BN60" s="128">
        <f t="shared" si="127"/>
        <v>104650</v>
      </c>
      <c r="BO60" s="130">
        <f t="shared" si="54"/>
        <v>4.65E-2</v>
      </c>
      <c r="BP60" s="128">
        <f t="shared" si="55"/>
        <v>106677.59374999999</v>
      </c>
      <c r="BQ60" s="128" t="str">
        <f t="shared" si="56"/>
        <v>nie</v>
      </c>
      <c r="BR60" s="128">
        <f t="shared" si="57"/>
        <v>1000</v>
      </c>
      <c r="BS60" s="128">
        <f t="shared" si="153"/>
        <v>104598.85093749998</v>
      </c>
      <c r="BT60" s="128">
        <f t="shared" si="128"/>
        <v>0</v>
      </c>
      <c r="BU60" s="130">
        <f t="shared" si="59"/>
        <v>4.2500000000000003E-2</v>
      </c>
      <c r="BV60" s="128">
        <f t="shared" si="60"/>
        <v>0</v>
      </c>
      <c r="BW60" s="128">
        <f t="shared" si="61"/>
        <v>104598.85093749998</v>
      </c>
      <c r="BY60" s="130">
        <f t="shared" si="149"/>
        <v>2.8000000000000001E-2</v>
      </c>
      <c r="BZ60" s="127">
        <f t="shared" si="129"/>
        <v>1000</v>
      </c>
      <c r="CA60" s="128">
        <f t="shared" si="130"/>
        <v>100000</v>
      </c>
      <c r="CB60" s="128">
        <f t="shared" si="154"/>
        <v>100000</v>
      </c>
      <c r="CC60" s="128">
        <f t="shared" si="131"/>
        <v>100000</v>
      </c>
      <c r="CD60" s="130">
        <f t="shared" si="62"/>
        <v>4.2999999999999997E-2</v>
      </c>
      <c r="CE60" s="128">
        <f t="shared" si="63"/>
        <v>101791.66666666666</v>
      </c>
      <c r="CF60" s="128" t="str">
        <f t="shared" si="64"/>
        <v>nie</v>
      </c>
      <c r="CG60" s="128">
        <f t="shared" si="65"/>
        <v>2000</v>
      </c>
      <c r="CH60" s="128">
        <f t="shared" si="155"/>
        <v>99831.249999999985</v>
      </c>
      <c r="CI60" s="128">
        <f t="shared" si="67"/>
        <v>0</v>
      </c>
      <c r="CJ60" s="130">
        <f t="shared" si="68"/>
        <v>4.2500000000000003E-2</v>
      </c>
      <c r="CK60" s="128">
        <f t="shared" si="69"/>
        <v>4108.4264489637053</v>
      </c>
      <c r="CL60" s="128">
        <f t="shared" si="70"/>
        <v>103939.67644896368</v>
      </c>
      <c r="CN60" s="127">
        <f t="shared" si="132"/>
        <v>1000</v>
      </c>
      <c r="CO60" s="128">
        <f t="shared" si="133"/>
        <v>100000</v>
      </c>
      <c r="CP60" s="128">
        <f t="shared" si="134"/>
        <v>100000</v>
      </c>
      <c r="CQ60" s="128">
        <f t="shared" si="135"/>
        <v>105600</v>
      </c>
      <c r="CR60" s="130">
        <f t="shared" si="71"/>
        <v>4.8000000000000001E-2</v>
      </c>
      <c r="CS60" s="128">
        <f t="shared" si="72"/>
        <v>107712</v>
      </c>
      <c r="CT60" s="128" t="str">
        <f t="shared" si="73"/>
        <v>nie</v>
      </c>
      <c r="CU60" s="128">
        <f t="shared" si="74"/>
        <v>3000</v>
      </c>
      <c r="CV60" s="128">
        <f t="shared" si="75"/>
        <v>103816.72</v>
      </c>
      <c r="CW60" s="128">
        <f t="shared" si="76"/>
        <v>0</v>
      </c>
      <c r="CX60" s="130">
        <f t="shared" si="77"/>
        <v>4.2500000000000003E-2</v>
      </c>
      <c r="CY60" s="128">
        <f t="shared" si="78"/>
        <v>0</v>
      </c>
      <c r="CZ60" s="128">
        <f t="shared" si="79"/>
        <v>103816.72</v>
      </c>
      <c r="DA60" s="20"/>
      <c r="DB60" s="127">
        <f t="shared" si="144"/>
        <v>1000</v>
      </c>
      <c r="DC60" s="128">
        <f t="shared" si="145"/>
        <v>100000</v>
      </c>
      <c r="DD60" s="128">
        <f t="shared" si="136"/>
        <v>100000</v>
      </c>
      <c r="DE60" s="128">
        <f t="shared" si="137"/>
        <v>105200</v>
      </c>
      <c r="DF60" s="130">
        <f t="shared" si="80"/>
        <v>4.8000000000000001E-2</v>
      </c>
      <c r="DG60" s="128">
        <f t="shared" si="81"/>
        <v>107304</v>
      </c>
      <c r="DH60" s="128" t="str">
        <f t="shared" si="82"/>
        <v>nie</v>
      </c>
      <c r="DI60" s="128">
        <f t="shared" si="83"/>
        <v>2000</v>
      </c>
      <c r="DJ60" s="128">
        <f t="shared" si="84"/>
        <v>104296.24</v>
      </c>
      <c r="DK60" s="128">
        <f t="shared" si="85"/>
        <v>0</v>
      </c>
      <c r="DL60" s="130">
        <f t="shared" si="86"/>
        <v>4.2500000000000003E-2</v>
      </c>
      <c r="DM60" s="128">
        <f t="shared" si="87"/>
        <v>0</v>
      </c>
      <c r="DN60" s="128">
        <f t="shared" si="88"/>
        <v>104296.24</v>
      </c>
      <c r="DP60" s="127">
        <f t="shared" si="146"/>
        <v>1000</v>
      </c>
      <c r="DQ60" s="128">
        <f t="shared" si="147"/>
        <v>100000</v>
      </c>
      <c r="DR60" s="128">
        <f t="shared" si="138"/>
        <v>100000</v>
      </c>
      <c r="DS60" s="128">
        <f t="shared" si="139"/>
        <v>105850</v>
      </c>
      <c r="DT60" s="130">
        <f t="shared" si="89"/>
        <v>5.3000000000000005E-2</v>
      </c>
      <c r="DU60" s="128">
        <f t="shared" si="90"/>
        <v>108187.52083333333</v>
      </c>
      <c r="DV60" s="128" t="str">
        <f t="shared" si="91"/>
        <v>nie</v>
      </c>
      <c r="DW60" s="128">
        <f t="shared" si="92"/>
        <v>3000</v>
      </c>
      <c r="DX60" s="128">
        <f t="shared" si="93"/>
        <v>104201.891875</v>
      </c>
      <c r="DY60" s="128">
        <f t="shared" si="94"/>
        <v>0</v>
      </c>
      <c r="DZ60" s="130">
        <f t="shared" si="95"/>
        <v>4.2500000000000003E-2</v>
      </c>
      <c r="EA60" s="128">
        <f t="shared" si="96"/>
        <v>0</v>
      </c>
      <c r="EB60" s="128">
        <f t="shared" si="97"/>
        <v>104201.891875</v>
      </c>
    </row>
    <row r="61" spans="1:132">
      <c r="A61" s="224"/>
      <c r="B61" s="188">
        <f t="shared" si="98"/>
        <v>17</v>
      </c>
      <c r="C61" s="128">
        <f t="shared" si="99"/>
        <v>104976.20721943289</v>
      </c>
      <c r="D61" s="128">
        <f t="shared" si="100"/>
        <v>104599.5534390453</v>
      </c>
      <c r="E61" s="128">
        <f t="shared" si="101"/>
        <v>104598.85093749998</v>
      </c>
      <c r="F61" s="128">
        <f t="shared" si="102"/>
        <v>103939.67644896368</v>
      </c>
      <c r="G61" s="128">
        <f t="shared" si="103"/>
        <v>103816.72</v>
      </c>
      <c r="H61" s="128">
        <f t="shared" si="104"/>
        <v>104296.24</v>
      </c>
      <c r="I61" s="128">
        <f t="shared" si="105"/>
        <v>104201.891875</v>
      </c>
      <c r="J61" s="128">
        <f t="shared" si="106"/>
        <v>104990.42093544138</v>
      </c>
      <c r="K61" s="128">
        <f t="shared" si="107"/>
        <v>103999.33333333334</v>
      </c>
      <c r="M61" s="36"/>
      <c r="N61" s="32">
        <f t="shared" si="108"/>
        <v>17</v>
      </c>
      <c r="O61" s="25">
        <f t="shared" si="109"/>
        <v>4.9762072194329043E-2</v>
      </c>
      <c r="P61" s="25">
        <f t="shared" si="110"/>
        <v>4.5995534390453008E-2</v>
      </c>
      <c r="Q61" s="25">
        <f t="shared" si="111"/>
        <v>4.5988509374999875E-2</v>
      </c>
      <c r="R61" s="25">
        <f t="shared" si="30"/>
        <v>3.9396764489636915E-2</v>
      </c>
      <c r="S61" s="25">
        <f t="shared" si="31"/>
        <v>3.8167199999999957E-2</v>
      </c>
      <c r="T61" s="25">
        <f t="shared" si="32"/>
        <v>4.2962399999999956E-2</v>
      </c>
      <c r="U61" s="25">
        <f t="shared" si="33"/>
        <v>4.2018918749999967E-2</v>
      </c>
      <c r="V61" s="25">
        <f t="shared" si="34"/>
        <v>4.9904209354413753E-2</v>
      </c>
      <c r="W61" s="25">
        <f t="shared" si="112"/>
        <v>3.9993333333333325E-2</v>
      </c>
      <c r="X61" s="36"/>
      <c r="Y61" s="36"/>
      <c r="AA61" s="124">
        <f t="shared" si="113"/>
        <v>18</v>
      </c>
      <c r="AB61" s="128">
        <f t="shared" si="35"/>
        <v>104239.2</v>
      </c>
      <c r="AC61" s="124">
        <f t="shared" si="114"/>
        <v>18</v>
      </c>
      <c r="AD61" s="130">
        <f t="shared" si="115"/>
        <v>4.2500000000000003E-2</v>
      </c>
      <c r="AE61" s="127">
        <f t="shared" si="116"/>
        <v>1038</v>
      </c>
      <c r="AF61" s="128">
        <f t="shared" si="117"/>
        <v>103699.70000000001</v>
      </c>
      <c r="AG61" s="128">
        <f t="shared" si="140"/>
        <v>103800</v>
      </c>
      <c r="AH61" s="128">
        <f t="shared" si="118"/>
        <v>103800</v>
      </c>
      <c r="AI61" s="130">
        <f t="shared" si="36"/>
        <v>4.2500000000000003E-2</v>
      </c>
      <c r="AJ61" s="128">
        <f t="shared" si="37"/>
        <v>104167.62500000001</v>
      </c>
      <c r="AK61" s="128" t="str">
        <f t="shared" si="38"/>
        <v>nie</v>
      </c>
      <c r="AL61" s="128">
        <f t="shared" si="39"/>
        <v>519</v>
      </c>
      <c r="AM61" s="128">
        <f t="shared" si="150"/>
        <v>103677.38625000001</v>
      </c>
      <c r="AN61" s="128">
        <f t="shared" si="41"/>
        <v>297.77625000001183</v>
      </c>
      <c r="AO61" s="130">
        <f t="shared" si="42"/>
        <v>4.2500000000000003E-2</v>
      </c>
      <c r="AP61" s="128">
        <f t="shared" si="43"/>
        <v>1898.9537077061605</v>
      </c>
      <c r="AQ61" s="128">
        <f t="shared" si="156"/>
        <v>105278.56370770615</v>
      </c>
      <c r="AS61" s="124">
        <f t="shared" si="119"/>
        <v>18</v>
      </c>
      <c r="AT61" s="130">
        <f t="shared" si="120"/>
        <v>4.2500000000000003E-2</v>
      </c>
      <c r="AU61" s="127">
        <f t="shared" si="121"/>
        <v>1000</v>
      </c>
      <c r="AV61" s="128">
        <f t="shared" si="122"/>
        <v>100000</v>
      </c>
      <c r="AW61" s="128">
        <f t="shared" si="151"/>
        <v>100000</v>
      </c>
      <c r="AX61" s="128">
        <f t="shared" si="123"/>
        <v>100000</v>
      </c>
      <c r="AY61" s="130">
        <f t="shared" si="45"/>
        <v>4.4000000000000004E-2</v>
      </c>
      <c r="AZ61" s="128">
        <f t="shared" si="46"/>
        <v>100366.66666666667</v>
      </c>
      <c r="BA61" s="128" t="str">
        <f t="shared" si="47"/>
        <v>nie</v>
      </c>
      <c r="BB61" s="128">
        <f t="shared" si="48"/>
        <v>700</v>
      </c>
      <c r="BC61" s="128">
        <f t="shared" si="152"/>
        <v>99730</v>
      </c>
      <c r="BD61" s="128">
        <f t="shared" si="50"/>
        <v>297.00000000000392</v>
      </c>
      <c r="BE61" s="130">
        <f t="shared" si="51"/>
        <v>4.2500000000000003E-2</v>
      </c>
      <c r="BF61" s="128">
        <f t="shared" si="52"/>
        <v>5478.3749892235692</v>
      </c>
      <c r="BG61" s="128">
        <f t="shared" si="157"/>
        <v>104911.37498922356</v>
      </c>
      <c r="BI61" s="124">
        <f t="shared" si="124"/>
        <v>18</v>
      </c>
      <c r="BJ61" s="130">
        <f t="shared" si="148"/>
        <v>4.1300000000000003E-2</v>
      </c>
      <c r="BK61" s="127">
        <f t="shared" si="125"/>
        <v>1000</v>
      </c>
      <c r="BL61" s="128">
        <f t="shared" si="126"/>
        <v>100000</v>
      </c>
      <c r="BM61" s="128">
        <f t="shared" si="142"/>
        <v>100000</v>
      </c>
      <c r="BN61" s="128">
        <f t="shared" si="127"/>
        <v>104650</v>
      </c>
      <c r="BO61" s="130">
        <f t="shared" si="54"/>
        <v>4.65E-2</v>
      </c>
      <c r="BP61" s="128">
        <f t="shared" si="55"/>
        <v>107083.1125</v>
      </c>
      <c r="BQ61" s="128" t="str">
        <f t="shared" si="56"/>
        <v>nie</v>
      </c>
      <c r="BR61" s="128">
        <f t="shared" si="57"/>
        <v>1000</v>
      </c>
      <c r="BS61" s="128">
        <f t="shared" si="153"/>
        <v>104927.321125</v>
      </c>
      <c r="BT61" s="128">
        <f t="shared" si="128"/>
        <v>0</v>
      </c>
      <c r="BU61" s="130">
        <f t="shared" si="59"/>
        <v>4.2500000000000003E-2</v>
      </c>
      <c r="BV61" s="128">
        <f t="shared" si="60"/>
        <v>0</v>
      </c>
      <c r="BW61" s="128">
        <f t="shared" si="61"/>
        <v>104927.321125</v>
      </c>
      <c r="BY61" s="130">
        <f t="shared" si="149"/>
        <v>2.8000000000000001E-2</v>
      </c>
      <c r="BZ61" s="127">
        <f t="shared" si="129"/>
        <v>1000</v>
      </c>
      <c r="CA61" s="128">
        <f t="shared" si="130"/>
        <v>100000</v>
      </c>
      <c r="CB61" s="128">
        <f t="shared" si="154"/>
        <v>100000</v>
      </c>
      <c r="CC61" s="128">
        <f t="shared" si="131"/>
        <v>100000</v>
      </c>
      <c r="CD61" s="130">
        <f t="shared" si="62"/>
        <v>4.2999999999999997E-2</v>
      </c>
      <c r="CE61" s="128">
        <f t="shared" si="63"/>
        <v>102150.00000000001</v>
      </c>
      <c r="CF61" s="128" t="str">
        <f t="shared" si="64"/>
        <v>nie</v>
      </c>
      <c r="CG61" s="128">
        <f t="shared" si="65"/>
        <v>2000</v>
      </c>
      <c r="CH61" s="128">
        <f t="shared" si="155"/>
        <v>100121.50000000001</v>
      </c>
      <c r="CI61" s="128">
        <f t="shared" si="67"/>
        <v>0</v>
      </c>
      <c r="CJ61" s="130">
        <f t="shared" si="68"/>
        <v>4.2500000000000003E-2</v>
      </c>
      <c r="CK61" s="128">
        <f t="shared" si="69"/>
        <v>4120.2124973391701</v>
      </c>
      <c r="CL61" s="128">
        <f t="shared" si="70"/>
        <v>104241.71249733919</v>
      </c>
      <c r="CN61" s="127">
        <f t="shared" si="132"/>
        <v>1000</v>
      </c>
      <c r="CO61" s="128">
        <f t="shared" si="133"/>
        <v>100000</v>
      </c>
      <c r="CP61" s="128">
        <f t="shared" si="134"/>
        <v>100000</v>
      </c>
      <c r="CQ61" s="128">
        <f t="shared" si="135"/>
        <v>105600</v>
      </c>
      <c r="CR61" s="130">
        <f t="shared" si="71"/>
        <v>4.8000000000000001E-2</v>
      </c>
      <c r="CS61" s="128">
        <f t="shared" si="72"/>
        <v>108134.40000000001</v>
      </c>
      <c r="CT61" s="128" t="str">
        <f t="shared" si="73"/>
        <v>nie</v>
      </c>
      <c r="CU61" s="128">
        <f t="shared" si="74"/>
        <v>3000</v>
      </c>
      <c r="CV61" s="128">
        <f t="shared" si="75"/>
        <v>104158.864</v>
      </c>
      <c r="CW61" s="128">
        <f t="shared" si="76"/>
        <v>0</v>
      </c>
      <c r="CX61" s="130">
        <f t="shared" si="77"/>
        <v>4.2500000000000003E-2</v>
      </c>
      <c r="CY61" s="128">
        <f t="shared" si="78"/>
        <v>0</v>
      </c>
      <c r="CZ61" s="128">
        <f t="shared" si="79"/>
        <v>104158.864</v>
      </c>
      <c r="DA61" s="20"/>
      <c r="DB61" s="127">
        <f t="shared" si="144"/>
        <v>1000</v>
      </c>
      <c r="DC61" s="128">
        <f t="shared" si="145"/>
        <v>100000</v>
      </c>
      <c r="DD61" s="128">
        <f t="shared" si="136"/>
        <v>100000</v>
      </c>
      <c r="DE61" s="128">
        <f t="shared" si="137"/>
        <v>105200</v>
      </c>
      <c r="DF61" s="130">
        <f t="shared" si="80"/>
        <v>4.8000000000000001E-2</v>
      </c>
      <c r="DG61" s="128">
        <f t="shared" si="81"/>
        <v>107724.8</v>
      </c>
      <c r="DH61" s="128" t="str">
        <f t="shared" si="82"/>
        <v>nie</v>
      </c>
      <c r="DI61" s="128">
        <f t="shared" si="83"/>
        <v>2000</v>
      </c>
      <c r="DJ61" s="128">
        <f t="shared" si="84"/>
        <v>104637.088</v>
      </c>
      <c r="DK61" s="128">
        <f t="shared" si="85"/>
        <v>0</v>
      </c>
      <c r="DL61" s="130">
        <f t="shared" si="86"/>
        <v>4.2500000000000003E-2</v>
      </c>
      <c r="DM61" s="128">
        <f t="shared" si="87"/>
        <v>0</v>
      </c>
      <c r="DN61" s="128">
        <f t="shared" si="88"/>
        <v>104637.088</v>
      </c>
      <c r="DP61" s="127">
        <f t="shared" si="146"/>
        <v>1000</v>
      </c>
      <c r="DQ61" s="128">
        <f t="shared" si="147"/>
        <v>100000</v>
      </c>
      <c r="DR61" s="128">
        <f t="shared" si="138"/>
        <v>100000</v>
      </c>
      <c r="DS61" s="128">
        <f t="shared" si="139"/>
        <v>105850</v>
      </c>
      <c r="DT61" s="130">
        <f t="shared" si="89"/>
        <v>5.3000000000000005E-2</v>
      </c>
      <c r="DU61" s="128">
        <f t="shared" si="90"/>
        <v>108655.02499999999</v>
      </c>
      <c r="DV61" s="128" t="str">
        <f t="shared" si="91"/>
        <v>nie</v>
      </c>
      <c r="DW61" s="128">
        <f t="shared" si="92"/>
        <v>3000</v>
      </c>
      <c r="DX61" s="128">
        <f t="shared" si="93"/>
        <v>104580.57024999999</v>
      </c>
      <c r="DY61" s="128">
        <f t="shared" si="94"/>
        <v>0</v>
      </c>
      <c r="DZ61" s="130">
        <f t="shared" si="95"/>
        <v>4.2500000000000003E-2</v>
      </c>
      <c r="EA61" s="128">
        <f t="shared" si="96"/>
        <v>0</v>
      </c>
      <c r="EB61" s="128">
        <f t="shared" si="97"/>
        <v>104580.57024999999</v>
      </c>
    </row>
    <row r="62" spans="1:132" ht="13" customHeight="1">
      <c r="A62" s="224"/>
      <c r="B62" s="188">
        <f t="shared" si="98"/>
        <v>18</v>
      </c>
      <c r="C62" s="128">
        <f t="shared" si="99"/>
        <v>105278.56370770615</v>
      </c>
      <c r="D62" s="128">
        <f t="shared" si="100"/>
        <v>104911.37498922356</v>
      </c>
      <c r="E62" s="128">
        <f t="shared" si="101"/>
        <v>104927.321125</v>
      </c>
      <c r="F62" s="128">
        <f t="shared" si="102"/>
        <v>104241.71249733919</v>
      </c>
      <c r="G62" s="128">
        <f t="shared" si="103"/>
        <v>104158.864</v>
      </c>
      <c r="H62" s="128">
        <f t="shared" si="104"/>
        <v>104637.088</v>
      </c>
      <c r="I62" s="128">
        <f t="shared" si="105"/>
        <v>104580.57024999999</v>
      </c>
      <c r="J62" s="128">
        <f t="shared" si="106"/>
        <v>105291.61220549991</v>
      </c>
      <c r="K62" s="128">
        <f t="shared" si="107"/>
        <v>104239.2</v>
      </c>
      <c r="M62" s="36"/>
      <c r="N62" s="32">
        <f t="shared" si="108"/>
        <v>18</v>
      </c>
      <c r="O62" s="25">
        <f t="shared" si="109"/>
        <v>5.2785637077061631E-2</v>
      </c>
      <c r="P62" s="25">
        <f t="shared" si="110"/>
        <v>4.9113749892235603E-2</v>
      </c>
      <c r="Q62" s="25">
        <f t="shared" si="111"/>
        <v>4.927321125000006E-2</v>
      </c>
      <c r="R62" s="25">
        <f t="shared" si="30"/>
        <v>4.2417124973392006E-2</v>
      </c>
      <c r="S62" s="25">
        <f t="shared" si="31"/>
        <v>4.1588640000000066E-2</v>
      </c>
      <c r="T62" s="25">
        <f t="shared" si="32"/>
        <v>4.6370880000000003E-2</v>
      </c>
      <c r="U62" s="25">
        <f t="shared" si="33"/>
        <v>4.5805702499999823E-2</v>
      </c>
      <c r="V62" s="25">
        <f t="shared" si="34"/>
        <v>5.2916122054999182E-2</v>
      </c>
      <c r="W62" s="25">
        <f t="shared" si="112"/>
        <v>4.2391999999999985E-2</v>
      </c>
      <c r="X62" s="36"/>
      <c r="Y62" s="36"/>
      <c r="AA62" s="124">
        <f t="shared" si="113"/>
        <v>19</v>
      </c>
      <c r="AB62" s="128">
        <f t="shared" si="35"/>
        <v>104479.06666666667</v>
      </c>
      <c r="AC62" s="124">
        <f t="shared" si="114"/>
        <v>19</v>
      </c>
      <c r="AD62" s="130">
        <f t="shared" si="115"/>
        <v>4.2500000000000003E-2</v>
      </c>
      <c r="AE62" s="127">
        <f t="shared" si="116"/>
        <v>1038</v>
      </c>
      <c r="AF62" s="128">
        <f t="shared" si="117"/>
        <v>103699.70000000001</v>
      </c>
      <c r="AG62" s="128">
        <f t="shared" si="140"/>
        <v>103800</v>
      </c>
      <c r="AH62" s="128">
        <f t="shared" si="118"/>
        <v>103800</v>
      </c>
      <c r="AI62" s="130">
        <f t="shared" si="36"/>
        <v>4.2500000000000003E-2</v>
      </c>
      <c r="AJ62" s="128">
        <f t="shared" si="37"/>
        <v>104167.62500000001</v>
      </c>
      <c r="AK62" s="128" t="str">
        <f t="shared" si="38"/>
        <v>nie</v>
      </c>
      <c r="AL62" s="128">
        <f t="shared" si="39"/>
        <v>519</v>
      </c>
      <c r="AM62" s="128">
        <f t="shared" si="150"/>
        <v>103677.38625000001</v>
      </c>
      <c r="AN62" s="128">
        <f t="shared" si="41"/>
        <v>297.77625000001183</v>
      </c>
      <c r="AO62" s="130">
        <f t="shared" si="42"/>
        <v>4.2500000000000003E-2</v>
      </c>
      <c r="AP62" s="128">
        <f t="shared" si="43"/>
        <v>2202.1775811551543</v>
      </c>
      <c r="AQ62" s="128">
        <f t="shared" si="156"/>
        <v>105581.78758115515</v>
      </c>
      <c r="AS62" s="124">
        <f t="shared" si="119"/>
        <v>19</v>
      </c>
      <c r="AT62" s="130">
        <f t="shared" si="120"/>
        <v>4.2500000000000003E-2</v>
      </c>
      <c r="AU62" s="127">
        <f t="shared" si="121"/>
        <v>1000</v>
      </c>
      <c r="AV62" s="128">
        <f t="shared" si="122"/>
        <v>100000</v>
      </c>
      <c r="AW62" s="128">
        <f t="shared" si="151"/>
        <v>100000</v>
      </c>
      <c r="AX62" s="128">
        <f t="shared" si="123"/>
        <v>100000</v>
      </c>
      <c r="AY62" s="130">
        <f t="shared" si="45"/>
        <v>4.4000000000000004E-2</v>
      </c>
      <c r="AZ62" s="128">
        <f t="shared" si="46"/>
        <v>100366.66666666667</v>
      </c>
      <c r="BA62" s="128" t="str">
        <f t="shared" si="47"/>
        <v>nie</v>
      </c>
      <c r="BB62" s="128">
        <f t="shared" si="48"/>
        <v>700</v>
      </c>
      <c r="BC62" s="128">
        <f t="shared" si="152"/>
        <v>99730</v>
      </c>
      <c r="BD62" s="128">
        <f t="shared" si="50"/>
        <v>297.00000000000392</v>
      </c>
      <c r="BE62" s="130">
        <f t="shared" si="51"/>
        <v>4.2500000000000003E-2</v>
      </c>
      <c r="BF62" s="128">
        <f t="shared" si="52"/>
        <v>5791.0910774739077</v>
      </c>
      <c r="BG62" s="128">
        <f t="shared" si="157"/>
        <v>105224.0910774739</v>
      </c>
      <c r="BI62" s="124">
        <f t="shared" si="124"/>
        <v>19</v>
      </c>
      <c r="BJ62" s="130">
        <f t="shared" si="148"/>
        <v>4.1300000000000003E-2</v>
      </c>
      <c r="BK62" s="127">
        <f t="shared" si="125"/>
        <v>1000</v>
      </c>
      <c r="BL62" s="128">
        <f t="shared" si="126"/>
        <v>100000</v>
      </c>
      <c r="BM62" s="128">
        <f t="shared" si="142"/>
        <v>100000</v>
      </c>
      <c r="BN62" s="128">
        <f t="shared" si="127"/>
        <v>104650</v>
      </c>
      <c r="BO62" s="130">
        <f t="shared" si="54"/>
        <v>4.65E-2</v>
      </c>
      <c r="BP62" s="128">
        <f t="shared" si="55"/>
        <v>107488.63125000001</v>
      </c>
      <c r="BQ62" s="128" t="str">
        <f t="shared" si="56"/>
        <v>nie</v>
      </c>
      <c r="BR62" s="128">
        <f t="shared" si="57"/>
        <v>1000</v>
      </c>
      <c r="BS62" s="128">
        <f t="shared" si="153"/>
        <v>105255.79131250001</v>
      </c>
      <c r="BT62" s="128">
        <f t="shared" si="128"/>
        <v>0</v>
      </c>
      <c r="BU62" s="130">
        <f t="shared" si="59"/>
        <v>4.2500000000000003E-2</v>
      </c>
      <c r="BV62" s="128">
        <f t="shared" si="60"/>
        <v>0</v>
      </c>
      <c r="BW62" s="128">
        <f t="shared" si="61"/>
        <v>105255.79131250001</v>
      </c>
      <c r="BY62" s="130">
        <f t="shared" si="149"/>
        <v>2.8000000000000001E-2</v>
      </c>
      <c r="BZ62" s="127">
        <f t="shared" si="129"/>
        <v>1000</v>
      </c>
      <c r="CA62" s="128">
        <f t="shared" si="130"/>
        <v>100000</v>
      </c>
      <c r="CB62" s="128">
        <f t="shared" si="154"/>
        <v>100000</v>
      </c>
      <c r="CC62" s="128">
        <f t="shared" si="131"/>
        <v>100000</v>
      </c>
      <c r="CD62" s="130">
        <f t="shared" si="62"/>
        <v>4.2999999999999997E-2</v>
      </c>
      <c r="CE62" s="128">
        <f t="shared" si="63"/>
        <v>102508.33333333333</v>
      </c>
      <c r="CF62" s="128" t="str">
        <f t="shared" si="64"/>
        <v>nie</v>
      </c>
      <c r="CG62" s="128">
        <f t="shared" si="65"/>
        <v>2000</v>
      </c>
      <c r="CH62" s="128">
        <f t="shared" si="155"/>
        <v>100411.75</v>
      </c>
      <c r="CI62" s="128">
        <f t="shared" si="67"/>
        <v>0</v>
      </c>
      <c r="CJ62" s="130">
        <f t="shared" si="68"/>
        <v>4.2500000000000003E-2</v>
      </c>
      <c r="CK62" s="128">
        <f t="shared" si="69"/>
        <v>4132.032356940912</v>
      </c>
      <c r="CL62" s="128">
        <f t="shared" si="70"/>
        <v>104543.78235694091</v>
      </c>
      <c r="CN62" s="127">
        <f t="shared" si="132"/>
        <v>1000</v>
      </c>
      <c r="CO62" s="128">
        <f t="shared" si="133"/>
        <v>100000</v>
      </c>
      <c r="CP62" s="128">
        <f t="shared" si="134"/>
        <v>100000</v>
      </c>
      <c r="CQ62" s="128">
        <f t="shared" si="135"/>
        <v>105600</v>
      </c>
      <c r="CR62" s="130">
        <f t="shared" si="71"/>
        <v>4.8000000000000001E-2</v>
      </c>
      <c r="CS62" s="128">
        <f t="shared" si="72"/>
        <v>108556.8</v>
      </c>
      <c r="CT62" s="128" t="str">
        <f t="shared" si="73"/>
        <v>nie</v>
      </c>
      <c r="CU62" s="128">
        <f t="shared" si="74"/>
        <v>3000</v>
      </c>
      <c r="CV62" s="128">
        <f t="shared" si="75"/>
        <v>104501.008</v>
      </c>
      <c r="CW62" s="128">
        <f t="shared" si="76"/>
        <v>0</v>
      </c>
      <c r="CX62" s="130">
        <f t="shared" si="77"/>
        <v>4.2500000000000003E-2</v>
      </c>
      <c r="CY62" s="128">
        <f t="shared" si="78"/>
        <v>0</v>
      </c>
      <c r="CZ62" s="128">
        <f t="shared" si="79"/>
        <v>104501.008</v>
      </c>
      <c r="DA62" s="20"/>
      <c r="DB62" s="127">
        <f t="shared" si="144"/>
        <v>1000</v>
      </c>
      <c r="DC62" s="128">
        <f t="shared" si="145"/>
        <v>100000</v>
      </c>
      <c r="DD62" s="128">
        <f t="shared" si="136"/>
        <v>100000</v>
      </c>
      <c r="DE62" s="128">
        <f t="shared" si="137"/>
        <v>105200</v>
      </c>
      <c r="DF62" s="130">
        <f t="shared" si="80"/>
        <v>4.8000000000000001E-2</v>
      </c>
      <c r="DG62" s="128">
        <f t="shared" si="81"/>
        <v>108145.60000000001</v>
      </c>
      <c r="DH62" s="128" t="str">
        <f t="shared" si="82"/>
        <v>nie</v>
      </c>
      <c r="DI62" s="128">
        <f t="shared" si="83"/>
        <v>2000</v>
      </c>
      <c r="DJ62" s="128">
        <f t="shared" si="84"/>
        <v>104977.936</v>
      </c>
      <c r="DK62" s="128">
        <f t="shared" si="85"/>
        <v>0</v>
      </c>
      <c r="DL62" s="130">
        <f t="shared" si="86"/>
        <v>4.2500000000000003E-2</v>
      </c>
      <c r="DM62" s="128">
        <f t="shared" si="87"/>
        <v>0</v>
      </c>
      <c r="DN62" s="128">
        <f t="shared" si="88"/>
        <v>104977.936</v>
      </c>
      <c r="DP62" s="127">
        <f t="shared" si="146"/>
        <v>1000</v>
      </c>
      <c r="DQ62" s="128">
        <f t="shared" si="147"/>
        <v>100000</v>
      </c>
      <c r="DR62" s="128">
        <f t="shared" si="138"/>
        <v>100000</v>
      </c>
      <c r="DS62" s="128">
        <f t="shared" si="139"/>
        <v>105850</v>
      </c>
      <c r="DT62" s="130">
        <f t="shared" si="89"/>
        <v>5.3000000000000005E-2</v>
      </c>
      <c r="DU62" s="128">
        <f t="shared" si="90"/>
        <v>109122.52916666667</v>
      </c>
      <c r="DV62" s="128" t="str">
        <f t="shared" si="91"/>
        <v>nie</v>
      </c>
      <c r="DW62" s="128">
        <f t="shared" si="92"/>
        <v>3000</v>
      </c>
      <c r="DX62" s="128">
        <f t="shared" si="93"/>
        <v>104959.24862500001</v>
      </c>
      <c r="DY62" s="128">
        <f t="shared" si="94"/>
        <v>0</v>
      </c>
      <c r="DZ62" s="130">
        <f t="shared" si="95"/>
        <v>4.2500000000000003E-2</v>
      </c>
      <c r="EA62" s="128">
        <f t="shared" si="96"/>
        <v>0</v>
      </c>
      <c r="EB62" s="128">
        <f t="shared" si="97"/>
        <v>104959.24862500001</v>
      </c>
    </row>
    <row r="63" spans="1:132">
      <c r="A63" s="224"/>
      <c r="B63" s="188">
        <f t="shared" si="98"/>
        <v>19</v>
      </c>
      <c r="C63" s="128">
        <f t="shared" si="99"/>
        <v>105581.78758115515</v>
      </c>
      <c r="D63" s="128">
        <f t="shared" si="100"/>
        <v>105224.0910774739</v>
      </c>
      <c r="E63" s="128">
        <f t="shared" si="101"/>
        <v>105255.79131250001</v>
      </c>
      <c r="F63" s="128">
        <f t="shared" si="102"/>
        <v>104543.78235694091</v>
      </c>
      <c r="G63" s="128">
        <f t="shared" si="103"/>
        <v>104501.008</v>
      </c>
      <c r="H63" s="128">
        <f t="shared" si="104"/>
        <v>104977.936</v>
      </c>
      <c r="I63" s="128">
        <f t="shared" si="105"/>
        <v>104959.24862500001</v>
      </c>
      <c r="J63" s="128">
        <f t="shared" si="106"/>
        <v>105593.66751801444</v>
      </c>
      <c r="K63" s="128">
        <f t="shared" si="107"/>
        <v>104479.06666666667</v>
      </c>
      <c r="M63" s="36"/>
      <c r="N63" s="32">
        <f t="shared" si="108"/>
        <v>19</v>
      </c>
      <c r="O63" s="25">
        <f t="shared" si="109"/>
        <v>5.5817875811551509E-2</v>
      </c>
      <c r="P63" s="25">
        <f t="shared" si="110"/>
        <v>5.2240910774739024E-2</v>
      </c>
      <c r="Q63" s="25">
        <f t="shared" si="111"/>
        <v>5.2557913125000022E-2</v>
      </c>
      <c r="R63" s="25">
        <f t="shared" si="30"/>
        <v>4.5437823569409064E-2</v>
      </c>
      <c r="S63" s="25">
        <f t="shared" si="31"/>
        <v>4.5010079999999952E-2</v>
      </c>
      <c r="T63" s="25">
        <f t="shared" si="32"/>
        <v>4.977936000000005E-2</v>
      </c>
      <c r="U63" s="25">
        <f t="shared" si="33"/>
        <v>4.9592486250000123E-2</v>
      </c>
      <c r="V63" s="25">
        <f t="shared" si="34"/>
        <v>5.5936675180144446E-2</v>
      </c>
      <c r="W63" s="25">
        <f t="shared" si="112"/>
        <v>4.4790666666666645E-2</v>
      </c>
      <c r="X63" s="36"/>
      <c r="Y63" s="36"/>
      <c r="AA63" s="124">
        <f t="shared" si="113"/>
        <v>20</v>
      </c>
      <c r="AB63" s="128">
        <f t="shared" si="35"/>
        <v>104718.93333333333</v>
      </c>
      <c r="AC63" s="124">
        <f t="shared" si="114"/>
        <v>20</v>
      </c>
      <c r="AD63" s="130">
        <f t="shared" si="115"/>
        <v>4.2500000000000003E-2</v>
      </c>
      <c r="AE63" s="127">
        <f t="shared" si="116"/>
        <v>1038</v>
      </c>
      <c r="AF63" s="128">
        <f t="shared" si="117"/>
        <v>103699.70000000001</v>
      </c>
      <c r="AG63" s="128">
        <f t="shared" si="140"/>
        <v>103800</v>
      </c>
      <c r="AH63" s="128">
        <f t="shared" si="118"/>
        <v>103800</v>
      </c>
      <c r="AI63" s="130">
        <f t="shared" si="36"/>
        <v>4.2500000000000003E-2</v>
      </c>
      <c r="AJ63" s="128">
        <f t="shared" si="37"/>
        <v>104167.62500000001</v>
      </c>
      <c r="AK63" s="128" t="str">
        <f t="shared" si="38"/>
        <v>nie</v>
      </c>
      <c r="AL63" s="128">
        <f t="shared" si="39"/>
        <v>519</v>
      </c>
      <c r="AM63" s="128">
        <f t="shared" si="150"/>
        <v>103677.38625000001</v>
      </c>
      <c r="AN63" s="128">
        <f t="shared" si="41"/>
        <v>297.77625000001183</v>
      </c>
      <c r="AO63" s="130">
        <f t="shared" si="42"/>
        <v>4.2500000000000003E-2</v>
      </c>
      <c r="AP63" s="128">
        <f t="shared" si="43"/>
        <v>2506.2713280911048</v>
      </c>
      <c r="AQ63" s="128">
        <f t="shared" si="156"/>
        <v>105885.8813280911</v>
      </c>
      <c r="AS63" s="124">
        <f t="shared" si="119"/>
        <v>20</v>
      </c>
      <c r="AT63" s="130">
        <f t="shared" si="120"/>
        <v>4.2500000000000003E-2</v>
      </c>
      <c r="AU63" s="127">
        <f t="shared" si="121"/>
        <v>1000</v>
      </c>
      <c r="AV63" s="128">
        <f t="shared" si="122"/>
        <v>100000</v>
      </c>
      <c r="AW63" s="128">
        <f t="shared" si="151"/>
        <v>100000</v>
      </c>
      <c r="AX63" s="128">
        <f t="shared" si="123"/>
        <v>100000</v>
      </c>
      <c r="AY63" s="130">
        <f t="shared" si="45"/>
        <v>4.4000000000000004E-2</v>
      </c>
      <c r="AZ63" s="128">
        <f t="shared" si="46"/>
        <v>100366.66666666667</v>
      </c>
      <c r="BA63" s="128" t="str">
        <f t="shared" si="47"/>
        <v>nie</v>
      </c>
      <c r="BB63" s="128">
        <f t="shared" si="48"/>
        <v>700</v>
      </c>
      <c r="BC63" s="128">
        <f t="shared" si="152"/>
        <v>99730</v>
      </c>
      <c r="BD63" s="128">
        <f t="shared" si="50"/>
        <v>297.00000000000392</v>
      </c>
      <c r="BE63" s="130">
        <f t="shared" si="51"/>
        <v>4.2500000000000003E-2</v>
      </c>
      <c r="BF63" s="128">
        <f t="shared" si="52"/>
        <v>6104.7042700024149</v>
      </c>
      <c r="BG63" s="128">
        <f t="shared" si="157"/>
        <v>105537.70427000242</v>
      </c>
      <c r="BI63" s="124">
        <f t="shared" si="124"/>
        <v>20</v>
      </c>
      <c r="BJ63" s="130">
        <f t="shared" si="148"/>
        <v>4.1300000000000003E-2</v>
      </c>
      <c r="BK63" s="127">
        <f t="shared" si="125"/>
        <v>1000</v>
      </c>
      <c r="BL63" s="128">
        <f t="shared" si="126"/>
        <v>100000</v>
      </c>
      <c r="BM63" s="128">
        <f t="shared" si="142"/>
        <v>100000</v>
      </c>
      <c r="BN63" s="128">
        <f t="shared" si="127"/>
        <v>104650</v>
      </c>
      <c r="BO63" s="130">
        <f t="shared" si="54"/>
        <v>4.65E-2</v>
      </c>
      <c r="BP63" s="128">
        <f t="shared" si="55"/>
        <v>107894.15</v>
      </c>
      <c r="BQ63" s="128" t="str">
        <f t="shared" si="56"/>
        <v>nie</v>
      </c>
      <c r="BR63" s="128">
        <f t="shared" si="57"/>
        <v>1000</v>
      </c>
      <c r="BS63" s="128">
        <f t="shared" si="153"/>
        <v>105584.26149999999</v>
      </c>
      <c r="BT63" s="128">
        <f t="shared" si="128"/>
        <v>0</v>
      </c>
      <c r="BU63" s="130">
        <f t="shared" si="59"/>
        <v>4.2500000000000003E-2</v>
      </c>
      <c r="BV63" s="128">
        <f t="shared" si="60"/>
        <v>0</v>
      </c>
      <c r="BW63" s="128">
        <f t="shared" si="61"/>
        <v>105584.26149999999</v>
      </c>
      <c r="BY63" s="130">
        <f t="shared" si="149"/>
        <v>2.8000000000000001E-2</v>
      </c>
      <c r="BZ63" s="127">
        <f t="shared" si="129"/>
        <v>1000</v>
      </c>
      <c r="CA63" s="128">
        <f t="shared" si="130"/>
        <v>100000</v>
      </c>
      <c r="CB63" s="128">
        <f t="shared" si="154"/>
        <v>100000</v>
      </c>
      <c r="CC63" s="128">
        <f t="shared" si="131"/>
        <v>100000</v>
      </c>
      <c r="CD63" s="130">
        <f t="shared" si="62"/>
        <v>4.2999999999999997E-2</v>
      </c>
      <c r="CE63" s="128">
        <f t="shared" si="63"/>
        <v>102866.66666666666</v>
      </c>
      <c r="CF63" s="128" t="str">
        <f t="shared" si="64"/>
        <v>nie</v>
      </c>
      <c r="CG63" s="128">
        <f t="shared" si="65"/>
        <v>2000</v>
      </c>
      <c r="CH63" s="128">
        <f t="shared" si="155"/>
        <v>100701.99999999999</v>
      </c>
      <c r="CI63" s="128">
        <f t="shared" si="67"/>
        <v>0</v>
      </c>
      <c r="CJ63" s="130">
        <f t="shared" si="68"/>
        <v>4.2500000000000003E-2</v>
      </c>
      <c r="CK63" s="128">
        <f t="shared" si="69"/>
        <v>4143.8861247648865</v>
      </c>
      <c r="CL63" s="128">
        <f t="shared" si="70"/>
        <v>104845.88612476487</v>
      </c>
      <c r="CN63" s="127">
        <f t="shared" si="132"/>
        <v>1000</v>
      </c>
      <c r="CO63" s="128">
        <f t="shared" si="133"/>
        <v>100000</v>
      </c>
      <c r="CP63" s="128">
        <f t="shared" si="134"/>
        <v>100000</v>
      </c>
      <c r="CQ63" s="128">
        <f t="shared" si="135"/>
        <v>105600</v>
      </c>
      <c r="CR63" s="130">
        <f t="shared" si="71"/>
        <v>4.8000000000000001E-2</v>
      </c>
      <c r="CS63" s="128">
        <f t="shared" si="72"/>
        <v>108979.2</v>
      </c>
      <c r="CT63" s="128" t="str">
        <f t="shared" si="73"/>
        <v>nie</v>
      </c>
      <c r="CU63" s="128">
        <f t="shared" si="74"/>
        <v>3000</v>
      </c>
      <c r="CV63" s="128">
        <f t="shared" si="75"/>
        <v>104843.152</v>
      </c>
      <c r="CW63" s="128">
        <f t="shared" si="76"/>
        <v>0</v>
      </c>
      <c r="CX63" s="130">
        <f t="shared" si="77"/>
        <v>4.2500000000000003E-2</v>
      </c>
      <c r="CY63" s="128">
        <f t="shared" si="78"/>
        <v>0</v>
      </c>
      <c r="CZ63" s="128">
        <f t="shared" si="79"/>
        <v>104843.152</v>
      </c>
      <c r="DA63" s="20"/>
      <c r="DB63" s="127">
        <f t="shared" si="144"/>
        <v>1000</v>
      </c>
      <c r="DC63" s="128">
        <f t="shared" si="145"/>
        <v>100000</v>
      </c>
      <c r="DD63" s="128">
        <f t="shared" si="136"/>
        <v>100000</v>
      </c>
      <c r="DE63" s="128">
        <f t="shared" si="137"/>
        <v>105200</v>
      </c>
      <c r="DF63" s="130">
        <f t="shared" si="80"/>
        <v>4.8000000000000001E-2</v>
      </c>
      <c r="DG63" s="128">
        <f t="shared" si="81"/>
        <v>108566.40000000001</v>
      </c>
      <c r="DH63" s="128" t="str">
        <f t="shared" si="82"/>
        <v>nie</v>
      </c>
      <c r="DI63" s="128">
        <f t="shared" si="83"/>
        <v>2000</v>
      </c>
      <c r="DJ63" s="128">
        <f t="shared" si="84"/>
        <v>105318.78400000001</v>
      </c>
      <c r="DK63" s="128">
        <f t="shared" si="85"/>
        <v>0</v>
      </c>
      <c r="DL63" s="130">
        <f t="shared" si="86"/>
        <v>4.2500000000000003E-2</v>
      </c>
      <c r="DM63" s="128">
        <f t="shared" si="87"/>
        <v>0</v>
      </c>
      <c r="DN63" s="128">
        <f t="shared" si="88"/>
        <v>105318.78400000001</v>
      </c>
      <c r="DP63" s="127">
        <f t="shared" si="146"/>
        <v>1000</v>
      </c>
      <c r="DQ63" s="128">
        <f t="shared" si="147"/>
        <v>100000</v>
      </c>
      <c r="DR63" s="128">
        <f t="shared" si="138"/>
        <v>100000</v>
      </c>
      <c r="DS63" s="128">
        <f t="shared" si="139"/>
        <v>105850</v>
      </c>
      <c r="DT63" s="130">
        <f t="shared" si="89"/>
        <v>5.3000000000000005E-2</v>
      </c>
      <c r="DU63" s="128">
        <f t="shared" si="90"/>
        <v>109590.03333333334</v>
      </c>
      <c r="DV63" s="128" t="str">
        <f t="shared" si="91"/>
        <v>nie</v>
      </c>
      <c r="DW63" s="128">
        <f t="shared" si="92"/>
        <v>3000</v>
      </c>
      <c r="DX63" s="128">
        <f t="shared" si="93"/>
        <v>105337.92700000001</v>
      </c>
      <c r="DY63" s="128">
        <f t="shared" si="94"/>
        <v>0</v>
      </c>
      <c r="DZ63" s="130">
        <f t="shared" si="95"/>
        <v>4.2500000000000003E-2</v>
      </c>
      <c r="EA63" s="128">
        <f t="shared" si="96"/>
        <v>0</v>
      </c>
      <c r="EB63" s="128">
        <f t="shared" si="97"/>
        <v>105337.92700000001</v>
      </c>
    </row>
    <row r="64" spans="1:132">
      <c r="A64" s="224"/>
      <c r="B64" s="188">
        <f t="shared" si="98"/>
        <v>20</v>
      </c>
      <c r="C64" s="128">
        <f t="shared" si="99"/>
        <v>105885.8813280911</v>
      </c>
      <c r="D64" s="128">
        <f t="shared" si="100"/>
        <v>105537.70427000242</v>
      </c>
      <c r="E64" s="128">
        <f t="shared" si="101"/>
        <v>105584.26149999999</v>
      </c>
      <c r="F64" s="128">
        <f t="shared" si="102"/>
        <v>104845.88612476487</v>
      </c>
      <c r="G64" s="128">
        <f t="shared" si="103"/>
        <v>104843.152</v>
      </c>
      <c r="H64" s="128">
        <f t="shared" si="104"/>
        <v>105318.78400000001</v>
      </c>
      <c r="I64" s="128">
        <f t="shared" si="105"/>
        <v>105337.92700000001</v>
      </c>
      <c r="J64" s="128">
        <f t="shared" si="106"/>
        <v>105896.58935170675</v>
      </c>
      <c r="K64" s="128">
        <f t="shared" si="107"/>
        <v>104718.93333333333</v>
      </c>
      <c r="M64" s="36"/>
      <c r="N64" s="32">
        <f t="shared" si="108"/>
        <v>20</v>
      </c>
      <c r="O64" s="25">
        <f t="shared" si="109"/>
        <v>5.8858813280910915E-2</v>
      </c>
      <c r="P64" s="25">
        <f t="shared" si="110"/>
        <v>5.5377042700024193E-2</v>
      </c>
      <c r="Q64" s="25">
        <f t="shared" si="111"/>
        <v>5.5842614999999984E-2</v>
      </c>
      <c r="R64" s="25">
        <f t="shared" si="30"/>
        <v>4.8458861247648644E-2</v>
      </c>
      <c r="S64" s="25">
        <f t="shared" si="31"/>
        <v>4.8431520000000061E-2</v>
      </c>
      <c r="T64" s="25">
        <f t="shared" si="32"/>
        <v>5.3187840000000097E-2</v>
      </c>
      <c r="U64" s="25">
        <f t="shared" si="33"/>
        <v>5.3379270000000201E-2</v>
      </c>
      <c r="V64" s="25">
        <f t="shared" si="34"/>
        <v>5.896589351706738E-2</v>
      </c>
      <c r="W64" s="25">
        <f t="shared" si="112"/>
        <v>4.7189333333333305E-2</v>
      </c>
      <c r="X64" s="36"/>
      <c r="Y64" s="36"/>
      <c r="AA64" s="124">
        <f t="shared" si="113"/>
        <v>21</v>
      </c>
      <c r="AB64" s="128">
        <f t="shared" si="35"/>
        <v>104958.79999999999</v>
      </c>
      <c r="AC64" s="124">
        <f t="shared" si="114"/>
        <v>21</v>
      </c>
      <c r="AD64" s="130">
        <f t="shared" si="115"/>
        <v>4.2500000000000003E-2</v>
      </c>
      <c r="AE64" s="127">
        <f t="shared" si="116"/>
        <v>1038</v>
      </c>
      <c r="AF64" s="128">
        <f t="shared" si="117"/>
        <v>103699.70000000001</v>
      </c>
      <c r="AG64" s="128">
        <f t="shared" si="140"/>
        <v>103800</v>
      </c>
      <c r="AH64" s="128">
        <f t="shared" si="118"/>
        <v>103800</v>
      </c>
      <c r="AI64" s="130">
        <f t="shared" si="36"/>
        <v>4.2500000000000003E-2</v>
      </c>
      <c r="AJ64" s="128">
        <f t="shared" si="37"/>
        <v>104167.62500000001</v>
      </c>
      <c r="AK64" s="128" t="str">
        <f t="shared" si="38"/>
        <v>nie</v>
      </c>
      <c r="AL64" s="128">
        <f t="shared" si="39"/>
        <v>519</v>
      </c>
      <c r="AM64" s="128">
        <f t="shared" si="150"/>
        <v>103677.38625000001</v>
      </c>
      <c r="AN64" s="128">
        <f t="shared" si="41"/>
        <v>297.77625000001183</v>
      </c>
      <c r="AO64" s="130">
        <f t="shared" si="42"/>
        <v>4.2500000000000003E-2</v>
      </c>
      <c r="AP64" s="128">
        <f t="shared" si="43"/>
        <v>2811.2374439635778</v>
      </c>
      <c r="AQ64" s="128">
        <f t="shared" si="156"/>
        <v>106190.84744396358</v>
      </c>
      <c r="AS64" s="124">
        <f t="shared" si="119"/>
        <v>21</v>
      </c>
      <c r="AT64" s="130">
        <f t="shared" si="120"/>
        <v>4.2500000000000003E-2</v>
      </c>
      <c r="AU64" s="127">
        <f t="shared" si="121"/>
        <v>1000</v>
      </c>
      <c r="AV64" s="128">
        <f t="shared" si="122"/>
        <v>100000</v>
      </c>
      <c r="AW64" s="128">
        <f t="shared" si="151"/>
        <v>100000</v>
      </c>
      <c r="AX64" s="128">
        <f t="shared" si="123"/>
        <v>100000</v>
      </c>
      <c r="AY64" s="130">
        <f t="shared" si="45"/>
        <v>4.4000000000000004E-2</v>
      </c>
      <c r="AZ64" s="128">
        <f t="shared" si="46"/>
        <v>100366.66666666667</v>
      </c>
      <c r="BA64" s="128" t="str">
        <f t="shared" si="47"/>
        <v>nie</v>
      </c>
      <c r="BB64" s="128">
        <f t="shared" si="48"/>
        <v>700</v>
      </c>
      <c r="BC64" s="128">
        <f t="shared" si="152"/>
        <v>99730</v>
      </c>
      <c r="BD64" s="128">
        <f t="shared" si="50"/>
        <v>297.00000000000392</v>
      </c>
      <c r="BE64" s="130">
        <f t="shared" si="51"/>
        <v>4.2500000000000003E-2</v>
      </c>
      <c r="BF64" s="128">
        <f t="shared" si="52"/>
        <v>6419.217140376988</v>
      </c>
      <c r="BG64" s="128">
        <f t="shared" si="157"/>
        <v>105852.21714037699</v>
      </c>
      <c r="BI64" s="124">
        <f t="shared" si="124"/>
        <v>21</v>
      </c>
      <c r="BJ64" s="130">
        <f t="shared" si="148"/>
        <v>4.1300000000000003E-2</v>
      </c>
      <c r="BK64" s="127">
        <f t="shared" si="125"/>
        <v>1000</v>
      </c>
      <c r="BL64" s="128">
        <f t="shared" si="126"/>
        <v>100000</v>
      </c>
      <c r="BM64" s="128">
        <f t="shared" si="142"/>
        <v>100000</v>
      </c>
      <c r="BN64" s="128">
        <f t="shared" si="127"/>
        <v>104650</v>
      </c>
      <c r="BO64" s="130">
        <f t="shared" si="54"/>
        <v>4.65E-2</v>
      </c>
      <c r="BP64" s="128">
        <f t="shared" si="55"/>
        <v>108299.66875</v>
      </c>
      <c r="BQ64" s="128" t="str">
        <f t="shared" si="56"/>
        <v>nie</v>
      </c>
      <c r="BR64" s="128">
        <f t="shared" si="57"/>
        <v>1000</v>
      </c>
      <c r="BS64" s="128">
        <f t="shared" si="153"/>
        <v>105912.7316875</v>
      </c>
      <c r="BT64" s="128">
        <f t="shared" si="128"/>
        <v>0</v>
      </c>
      <c r="BU64" s="130">
        <f t="shared" si="59"/>
        <v>4.2500000000000003E-2</v>
      </c>
      <c r="BV64" s="128">
        <f t="shared" si="60"/>
        <v>0</v>
      </c>
      <c r="BW64" s="128">
        <f t="shared" si="61"/>
        <v>105912.7316875</v>
      </c>
      <c r="BY64" s="130">
        <f t="shared" si="149"/>
        <v>2.8000000000000001E-2</v>
      </c>
      <c r="BZ64" s="127">
        <f t="shared" si="129"/>
        <v>1000</v>
      </c>
      <c r="CA64" s="128">
        <f t="shared" si="130"/>
        <v>100000</v>
      </c>
      <c r="CB64" s="128">
        <f t="shared" si="154"/>
        <v>100000</v>
      </c>
      <c r="CC64" s="128">
        <f t="shared" si="131"/>
        <v>100000</v>
      </c>
      <c r="CD64" s="130">
        <f t="shared" si="62"/>
        <v>4.2999999999999997E-2</v>
      </c>
      <c r="CE64" s="128">
        <f t="shared" si="63"/>
        <v>103224.99999999999</v>
      </c>
      <c r="CF64" s="128" t="str">
        <f t="shared" si="64"/>
        <v>nie</v>
      </c>
      <c r="CG64" s="128">
        <f t="shared" si="65"/>
        <v>2000</v>
      </c>
      <c r="CH64" s="128">
        <f t="shared" si="155"/>
        <v>100992.24999999999</v>
      </c>
      <c r="CI64" s="128">
        <f t="shared" si="67"/>
        <v>0</v>
      </c>
      <c r="CJ64" s="130">
        <f t="shared" si="68"/>
        <v>4.2500000000000003E-2</v>
      </c>
      <c r="CK64" s="128">
        <f t="shared" si="69"/>
        <v>4155.7738980853055</v>
      </c>
      <c r="CL64" s="128">
        <f t="shared" si="70"/>
        <v>105148.02389808529</v>
      </c>
      <c r="CN64" s="127">
        <f t="shared" si="132"/>
        <v>1000</v>
      </c>
      <c r="CO64" s="128">
        <f t="shared" si="133"/>
        <v>100000</v>
      </c>
      <c r="CP64" s="128">
        <f t="shared" si="134"/>
        <v>100000</v>
      </c>
      <c r="CQ64" s="128">
        <f t="shared" si="135"/>
        <v>105600</v>
      </c>
      <c r="CR64" s="130">
        <f t="shared" si="71"/>
        <v>4.8000000000000001E-2</v>
      </c>
      <c r="CS64" s="128">
        <f t="shared" si="72"/>
        <v>109401.60000000001</v>
      </c>
      <c r="CT64" s="128" t="str">
        <f t="shared" si="73"/>
        <v>nie</v>
      </c>
      <c r="CU64" s="128">
        <f t="shared" si="74"/>
        <v>3000</v>
      </c>
      <c r="CV64" s="128">
        <f t="shared" si="75"/>
        <v>105185.296</v>
      </c>
      <c r="CW64" s="128">
        <f t="shared" si="76"/>
        <v>0</v>
      </c>
      <c r="CX64" s="130">
        <f t="shared" si="77"/>
        <v>4.2500000000000003E-2</v>
      </c>
      <c r="CY64" s="128">
        <f t="shared" si="78"/>
        <v>0</v>
      </c>
      <c r="CZ64" s="128">
        <f t="shared" si="79"/>
        <v>105185.296</v>
      </c>
      <c r="DA64" s="20"/>
      <c r="DB64" s="127">
        <f t="shared" si="144"/>
        <v>1000</v>
      </c>
      <c r="DC64" s="128">
        <f t="shared" si="145"/>
        <v>100000</v>
      </c>
      <c r="DD64" s="128">
        <f t="shared" si="136"/>
        <v>100000</v>
      </c>
      <c r="DE64" s="128">
        <f t="shared" si="137"/>
        <v>105200</v>
      </c>
      <c r="DF64" s="130">
        <f t="shared" si="80"/>
        <v>4.8000000000000001E-2</v>
      </c>
      <c r="DG64" s="128">
        <f t="shared" si="81"/>
        <v>108987.2</v>
      </c>
      <c r="DH64" s="128" t="str">
        <f t="shared" si="82"/>
        <v>nie</v>
      </c>
      <c r="DI64" s="128">
        <f t="shared" si="83"/>
        <v>2000</v>
      </c>
      <c r="DJ64" s="128">
        <f t="shared" si="84"/>
        <v>105659.632</v>
      </c>
      <c r="DK64" s="128">
        <f t="shared" si="85"/>
        <v>0</v>
      </c>
      <c r="DL64" s="130">
        <f t="shared" si="86"/>
        <v>4.2500000000000003E-2</v>
      </c>
      <c r="DM64" s="128">
        <f t="shared" si="87"/>
        <v>0</v>
      </c>
      <c r="DN64" s="128">
        <f t="shared" si="88"/>
        <v>105659.632</v>
      </c>
      <c r="DP64" s="127">
        <f t="shared" si="146"/>
        <v>1000</v>
      </c>
      <c r="DQ64" s="128">
        <f t="shared" si="147"/>
        <v>100000</v>
      </c>
      <c r="DR64" s="128">
        <f t="shared" si="138"/>
        <v>100000</v>
      </c>
      <c r="DS64" s="128">
        <f t="shared" si="139"/>
        <v>105850</v>
      </c>
      <c r="DT64" s="130">
        <f t="shared" si="89"/>
        <v>5.3000000000000005E-2</v>
      </c>
      <c r="DU64" s="128">
        <f t="shared" si="90"/>
        <v>110057.53749999999</v>
      </c>
      <c r="DV64" s="128" t="str">
        <f t="shared" si="91"/>
        <v>nie</v>
      </c>
      <c r="DW64" s="128">
        <f t="shared" si="92"/>
        <v>3000</v>
      </c>
      <c r="DX64" s="128">
        <f t="shared" si="93"/>
        <v>105716.605375</v>
      </c>
      <c r="DY64" s="128">
        <f t="shared" si="94"/>
        <v>0</v>
      </c>
      <c r="DZ64" s="130">
        <f t="shared" si="95"/>
        <v>4.2500000000000003E-2</v>
      </c>
      <c r="EA64" s="128">
        <f t="shared" si="96"/>
        <v>0</v>
      </c>
      <c r="EB64" s="128">
        <f t="shared" si="97"/>
        <v>105716.605375</v>
      </c>
    </row>
    <row r="65" spans="1:137">
      <c r="A65" s="224"/>
      <c r="B65" s="188">
        <f t="shared" si="98"/>
        <v>21</v>
      </c>
      <c r="C65" s="128">
        <f t="shared" si="99"/>
        <v>106190.84744396358</v>
      </c>
      <c r="D65" s="128">
        <f t="shared" si="100"/>
        <v>105852.21714037699</v>
      </c>
      <c r="E65" s="128">
        <f t="shared" si="101"/>
        <v>105912.7316875</v>
      </c>
      <c r="F65" s="128">
        <f t="shared" si="102"/>
        <v>105148.02389808529</v>
      </c>
      <c r="G65" s="128">
        <f t="shared" si="103"/>
        <v>105185.296</v>
      </c>
      <c r="H65" s="128">
        <f t="shared" si="104"/>
        <v>105659.632</v>
      </c>
      <c r="I65" s="128">
        <f t="shared" si="105"/>
        <v>105716.605375</v>
      </c>
      <c r="J65" s="128">
        <f t="shared" si="106"/>
        <v>106200.38019240944</v>
      </c>
      <c r="K65" s="128">
        <f t="shared" si="107"/>
        <v>104958.79999999999</v>
      </c>
      <c r="M65" s="36"/>
      <c r="N65" s="32">
        <f t="shared" si="108"/>
        <v>21</v>
      </c>
      <c r="O65" s="25">
        <f t="shared" si="109"/>
        <v>6.1908474439635652E-2</v>
      </c>
      <c r="P65" s="25">
        <f t="shared" si="110"/>
        <v>5.8522171403769807E-2</v>
      </c>
      <c r="Q65" s="25">
        <f t="shared" si="111"/>
        <v>5.9127316874999947E-2</v>
      </c>
      <c r="R65" s="25">
        <f t="shared" si="30"/>
        <v>5.1480238980852855E-2</v>
      </c>
      <c r="S65" s="25">
        <f t="shared" si="31"/>
        <v>5.1852959999999948E-2</v>
      </c>
      <c r="T65" s="25">
        <f t="shared" si="32"/>
        <v>5.6596319999999922E-2</v>
      </c>
      <c r="U65" s="25">
        <f t="shared" si="33"/>
        <v>5.7166053750000057E-2</v>
      </c>
      <c r="V65" s="25">
        <f t="shared" si="34"/>
        <v>6.2003801924094493E-2</v>
      </c>
      <c r="W65" s="25">
        <f t="shared" si="112"/>
        <v>4.9587999999999965E-2</v>
      </c>
      <c r="X65" s="36"/>
      <c r="Y65" s="36"/>
      <c r="AA65" s="124">
        <f t="shared" si="113"/>
        <v>22</v>
      </c>
      <c r="AB65" s="128">
        <f t="shared" si="35"/>
        <v>105198.66666666667</v>
      </c>
      <c r="AC65" s="124">
        <f t="shared" si="114"/>
        <v>22</v>
      </c>
      <c r="AD65" s="130">
        <f t="shared" si="115"/>
        <v>4.2500000000000003E-2</v>
      </c>
      <c r="AE65" s="127">
        <f t="shared" si="116"/>
        <v>1038</v>
      </c>
      <c r="AF65" s="128">
        <f t="shared" si="117"/>
        <v>103699.70000000001</v>
      </c>
      <c r="AG65" s="128">
        <f t="shared" si="140"/>
        <v>103800</v>
      </c>
      <c r="AH65" s="128">
        <f t="shared" si="118"/>
        <v>103800</v>
      </c>
      <c r="AI65" s="130">
        <f t="shared" si="36"/>
        <v>4.2500000000000003E-2</v>
      </c>
      <c r="AJ65" s="128">
        <f t="shared" si="37"/>
        <v>104167.62500000001</v>
      </c>
      <c r="AK65" s="128" t="str">
        <f t="shared" si="38"/>
        <v>nie</v>
      </c>
      <c r="AL65" s="128">
        <f t="shared" si="39"/>
        <v>519</v>
      </c>
      <c r="AM65" s="128">
        <f t="shared" si="150"/>
        <v>103677.38625000001</v>
      </c>
      <c r="AN65" s="128">
        <f t="shared" si="41"/>
        <v>297.77625000001183</v>
      </c>
      <c r="AO65" s="130">
        <f t="shared" si="42"/>
        <v>4.2500000000000003E-2</v>
      </c>
      <c r="AP65" s="128">
        <f t="shared" si="43"/>
        <v>3117.07843138096</v>
      </c>
      <c r="AQ65" s="128">
        <f t="shared" si="156"/>
        <v>106496.68843138096</v>
      </c>
      <c r="AS65" s="124">
        <f t="shared" si="119"/>
        <v>22</v>
      </c>
      <c r="AT65" s="130">
        <f t="shared" si="120"/>
        <v>4.2500000000000003E-2</v>
      </c>
      <c r="AU65" s="127">
        <f t="shared" si="121"/>
        <v>1000</v>
      </c>
      <c r="AV65" s="128">
        <f t="shared" si="122"/>
        <v>100000</v>
      </c>
      <c r="AW65" s="128">
        <f t="shared" si="151"/>
        <v>100000</v>
      </c>
      <c r="AX65" s="128">
        <f t="shared" si="123"/>
        <v>100000</v>
      </c>
      <c r="AY65" s="130">
        <f t="shared" si="45"/>
        <v>4.4000000000000004E-2</v>
      </c>
      <c r="AZ65" s="128">
        <f t="shared" si="46"/>
        <v>100366.66666666667</v>
      </c>
      <c r="BA65" s="128" t="str">
        <f t="shared" si="47"/>
        <v>nie</v>
      </c>
      <c r="BB65" s="128">
        <f t="shared" si="48"/>
        <v>700</v>
      </c>
      <c r="BC65" s="128">
        <f t="shared" si="152"/>
        <v>99730</v>
      </c>
      <c r="BD65" s="128">
        <f t="shared" si="50"/>
        <v>297.00000000000392</v>
      </c>
      <c r="BE65" s="130">
        <f t="shared" si="51"/>
        <v>4.2500000000000003E-2</v>
      </c>
      <c r="BF65" s="128">
        <f t="shared" si="52"/>
        <v>6734.6322695484478</v>
      </c>
      <c r="BG65" s="128">
        <f t="shared" si="157"/>
        <v>106167.63226954844</v>
      </c>
      <c r="BI65" s="124">
        <f t="shared" si="124"/>
        <v>22</v>
      </c>
      <c r="BJ65" s="130">
        <f t="shared" si="148"/>
        <v>4.1300000000000003E-2</v>
      </c>
      <c r="BK65" s="127">
        <f t="shared" si="125"/>
        <v>1000</v>
      </c>
      <c r="BL65" s="128">
        <f t="shared" si="126"/>
        <v>100000</v>
      </c>
      <c r="BM65" s="128">
        <f t="shared" si="142"/>
        <v>100000</v>
      </c>
      <c r="BN65" s="128">
        <f t="shared" si="127"/>
        <v>104650</v>
      </c>
      <c r="BO65" s="130">
        <f t="shared" si="54"/>
        <v>4.65E-2</v>
      </c>
      <c r="BP65" s="128">
        <f t="shared" si="55"/>
        <v>108705.1875</v>
      </c>
      <c r="BQ65" s="128" t="str">
        <f t="shared" si="56"/>
        <v>nie</v>
      </c>
      <c r="BR65" s="128">
        <f t="shared" si="57"/>
        <v>1000</v>
      </c>
      <c r="BS65" s="128">
        <f t="shared" si="153"/>
        <v>106241.201875</v>
      </c>
      <c r="BT65" s="128">
        <f t="shared" si="128"/>
        <v>0</v>
      </c>
      <c r="BU65" s="130">
        <f t="shared" si="59"/>
        <v>4.2500000000000003E-2</v>
      </c>
      <c r="BV65" s="128">
        <f t="shared" si="60"/>
        <v>0</v>
      </c>
      <c r="BW65" s="128">
        <f t="shared" si="61"/>
        <v>106241.201875</v>
      </c>
      <c r="BY65" s="130">
        <f t="shared" si="149"/>
        <v>2.8000000000000001E-2</v>
      </c>
      <c r="BZ65" s="127">
        <f t="shared" si="129"/>
        <v>1000</v>
      </c>
      <c r="CA65" s="128">
        <f t="shared" si="130"/>
        <v>100000</v>
      </c>
      <c r="CB65" s="128">
        <f t="shared" si="154"/>
        <v>100000</v>
      </c>
      <c r="CC65" s="128">
        <f t="shared" si="131"/>
        <v>100000</v>
      </c>
      <c r="CD65" s="130">
        <f t="shared" si="62"/>
        <v>4.2999999999999997E-2</v>
      </c>
      <c r="CE65" s="128">
        <f t="shared" si="63"/>
        <v>103583.33333333334</v>
      </c>
      <c r="CF65" s="128" t="str">
        <f t="shared" si="64"/>
        <v>nie</v>
      </c>
      <c r="CG65" s="128">
        <f t="shared" si="65"/>
        <v>2000</v>
      </c>
      <c r="CH65" s="128">
        <f t="shared" si="155"/>
        <v>101282.50000000001</v>
      </c>
      <c r="CI65" s="128">
        <f t="shared" si="67"/>
        <v>0</v>
      </c>
      <c r="CJ65" s="130">
        <f t="shared" si="68"/>
        <v>4.2500000000000003E-2</v>
      </c>
      <c r="CK65" s="128">
        <f t="shared" si="69"/>
        <v>4167.6957744554375</v>
      </c>
      <c r="CL65" s="128">
        <f t="shared" si="70"/>
        <v>105450.19577445545</v>
      </c>
      <c r="CN65" s="127">
        <f t="shared" si="132"/>
        <v>1000</v>
      </c>
      <c r="CO65" s="128">
        <f t="shared" si="133"/>
        <v>100000</v>
      </c>
      <c r="CP65" s="128">
        <f t="shared" si="134"/>
        <v>100000</v>
      </c>
      <c r="CQ65" s="128">
        <f t="shared" si="135"/>
        <v>105600</v>
      </c>
      <c r="CR65" s="130">
        <f t="shared" si="71"/>
        <v>4.8000000000000001E-2</v>
      </c>
      <c r="CS65" s="128">
        <f t="shared" si="72"/>
        <v>109824</v>
      </c>
      <c r="CT65" s="128" t="str">
        <f t="shared" si="73"/>
        <v>nie</v>
      </c>
      <c r="CU65" s="128">
        <f t="shared" si="74"/>
        <v>3000</v>
      </c>
      <c r="CV65" s="128">
        <f t="shared" si="75"/>
        <v>105527.44</v>
      </c>
      <c r="CW65" s="128">
        <f t="shared" si="76"/>
        <v>0</v>
      </c>
      <c r="CX65" s="130">
        <f t="shared" si="77"/>
        <v>4.2500000000000003E-2</v>
      </c>
      <c r="CY65" s="128">
        <f t="shared" si="78"/>
        <v>0</v>
      </c>
      <c r="CZ65" s="128">
        <f t="shared" si="79"/>
        <v>105527.44</v>
      </c>
      <c r="DA65" s="20"/>
      <c r="DB65" s="127">
        <f t="shared" si="144"/>
        <v>1000</v>
      </c>
      <c r="DC65" s="128">
        <f t="shared" si="145"/>
        <v>100000</v>
      </c>
      <c r="DD65" s="128">
        <f t="shared" si="136"/>
        <v>100000</v>
      </c>
      <c r="DE65" s="128">
        <f t="shared" si="137"/>
        <v>105200</v>
      </c>
      <c r="DF65" s="130">
        <f t="shared" si="80"/>
        <v>4.8000000000000001E-2</v>
      </c>
      <c r="DG65" s="128">
        <f t="shared" si="81"/>
        <v>109408</v>
      </c>
      <c r="DH65" s="128" t="str">
        <f t="shared" si="82"/>
        <v>nie</v>
      </c>
      <c r="DI65" s="128">
        <f t="shared" si="83"/>
        <v>2000</v>
      </c>
      <c r="DJ65" s="128">
        <f t="shared" si="84"/>
        <v>106000.48</v>
      </c>
      <c r="DK65" s="128">
        <f t="shared" si="85"/>
        <v>0</v>
      </c>
      <c r="DL65" s="130">
        <f t="shared" si="86"/>
        <v>4.2500000000000003E-2</v>
      </c>
      <c r="DM65" s="128">
        <f t="shared" si="87"/>
        <v>0</v>
      </c>
      <c r="DN65" s="128">
        <f t="shared" si="88"/>
        <v>106000.48</v>
      </c>
      <c r="DP65" s="127">
        <f t="shared" si="146"/>
        <v>1000</v>
      </c>
      <c r="DQ65" s="128">
        <f t="shared" si="147"/>
        <v>100000</v>
      </c>
      <c r="DR65" s="128">
        <f t="shared" si="138"/>
        <v>100000</v>
      </c>
      <c r="DS65" s="128">
        <f t="shared" si="139"/>
        <v>105850</v>
      </c>
      <c r="DT65" s="130">
        <f t="shared" si="89"/>
        <v>5.3000000000000005E-2</v>
      </c>
      <c r="DU65" s="128">
        <f t="shared" si="90"/>
        <v>110525.04166666667</v>
      </c>
      <c r="DV65" s="128" t="str">
        <f t="shared" si="91"/>
        <v>nie</v>
      </c>
      <c r="DW65" s="128">
        <f t="shared" si="92"/>
        <v>3000</v>
      </c>
      <c r="DX65" s="128">
        <f t="shared" si="93"/>
        <v>106095.28375</v>
      </c>
      <c r="DY65" s="128">
        <f t="shared" si="94"/>
        <v>0</v>
      </c>
      <c r="DZ65" s="130">
        <f t="shared" si="95"/>
        <v>4.2500000000000003E-2</v>
      </c>
      <c r="EA65" s="128">
        <f t="shared" si="96"/>
        <v>0</v>
      </c>
      <c r="EB65" s="128">
        <f t="shared" si="97"/>
        <v>106095.28375</v>
      </c>
    </row>
    <row r="66" spans="1:137">
      <c r="A66" s="224"/>
      <c r="B66" s="188">
        <f t="shared" si="98"/>
        <v>22</v>
      </c>
      <c r="C66" s="128">
        <f t="shared" si="99"/>
        <v>106496.68843138096</v>
      </c>
      <c r="D66" s="128">
        <f t="shared" si="100"/>
        <v>106167.63226954844</v>
      </c>
      <c r="E66" s="128">
        <f t="shared" si="101"/>
        <v>106241.201875</v>
      </c>
      <c r="F66" s="128">
        <f t="shared" si="102"/>
        <v>105450.19577445545</v>
      </c>
      <c r="G66" s="128">
        <f t="shared" si="103"/>
        <v>105527.44</v>
      </c>
      <c r="H66" s="128">
        <f t="shared" si="104"/>
        <v>106000.48</v>
      </c>
      <c r="I66" s="128">
        <f t="shared" si="105"/>
        <v>106095.28375</v>
      </c>
      <c r="J66" s="128">
        <f t="shared" si="106"/>
        <v>106505.04253308641</v>
      </c>
      <c r="K66" s="128">
        <f t="shared" si="107"/>
        <v>105198.66666666667</v>
      </c>
      <c r="M66" s="36"/>
      <c r="N66" s="32">
        <f t="shared" si="108"/>
        <v>22</v>
      </c>
      <c r="O66" s="25">
        <f t="shared" si="109"/>
        <v>6.4966884313809592E-2</v>
      </c>
      <c r="P66" s="25">
        <f t="shared" si="110"/>
        <v>6.1676322695484398E-2</v>
      </c>
      <c r="Q66" s="25">
        <f t="shared" si="111"/>
        <v>6.2412018749999909E-2</v>
      </c>
      <c r="R66" s="25">
        <f t="shared" si="30"/>
        <v>5.4501957744554463E-2</v>
      </c>
      <c r="S66" s="25">
        <f t="shared" si="31"/>
        <v>5.5274400000000057E-2</v>
      </c>
      <c r="T66" s="25">
        <f t="shared" si="32"/>
        <v>6.0004799999999969E-2</v>
      </c>
      <c r="U66" s="25">
        <f t="shared" si="33"/>
        <v>6.0952837499999912E-2</v>
      </c>
      <c r="V66" s="25">
        <f t="shared" si="34"/>
        <v>6.5050425330864137E-2</v>
      </c>
      <c r="W66" s="25">
        <f t="shared" si="112"/>
        <v>5.1986666666666626E-2</v>
      </c>
      <c r="X66" s="36"/>
      <c r="Y66" s="36"/>
      <c r="AA66" s="124">
        <f t="shared" si="113"/>
        <v>23</v>
      </c>
      <c r="AB66" s="128">
        <f t="shared" si="35"/>
        <v>105438.53333333334</v>
      </c>
      <c r="AC66" s="124">
        <f t="shared" si="114"/>
        <v>23</v>
      </c>
      <c r="AD66" s="130">
        <f t="shared" si="115"/>
        <v>4.2500000000000003E-2</v>
      </c>
      <c r="AE66" s="127">
        <f t="shared" si="116"/>
        <v>1038</v>
      </c>
      <c r="AF66" s="128">
        <f t="shared" si="117"/>
        <v>103699.70000000001</v>
      </c>
      <c r="AG66" s="128">
        <f t="shared" si="140"/>
        <v>103800</v>
      </c>
      <c r="AH66" s="128">
        <f t="shared" si="118"/>
        <v>103800</v>
      </c>
      <c r="AI66" s="130">
        <f t="shared" si="36"/>
        <v>4.2500000000000003E-2</v>
      </c>
      <c r="AJ66" s="128">
        <f t="shared" si="37"/>
        <v>104167.62500000001</v>
      </c>
      <c r="AK66" s="128" t="str">
        <f t="shared" si="38"/>
        <v>nie</v>
      </c>
      <c r="AL66" s="128">
        <f t="shared" si="39"/>
        <v>519</v>
      </c>
      <c r="AM66" s="128">
        <f t="shared" si="150"/>
        <v>103677.38625000001</v>
      </c>
      <c r="AN66" s="128">
        <f t="shared" si="41"/>
        <v>297.77625000001183</v>
      </c>
      <c r="AO66" s="130">
        <f t="shared" si="42"/>
        <v>4.2500000000000003E-2</v>
      </c>
      <c r="AP66" s="128">
        <f t="shared" si="43"/>
        <v>3423.7968001309955</v>
      </c>
      <c r="AQ66" s="128">
        <f t="shared" si="156"/>
        <v>106803.40680013099</v>
      </c>
      <c r="AS66" s="124">
        <f t="shared" si="119"/>
        <v>23</v>
      </c>
      <c r="AT66" s="130">
        <f t="shared" si="120"/>
        <v>4.2500000000000003E-2</v>
      </c>
      <c r="AU66" s="127">
        <f t="shared" si="121"/>
        <v>1000</v>
      </c>
      <c r="AV66" s="128">
        <f t="shared" si="122"/>
        <v>100000</v>
      </c>
      <c r="AW66" s="128">
        <f t="shared" si="151"/>
        <v>100000</v>
      </c>
      <c r="AX66" s="128">
        <f t="shared" si="123"/>
        <v>100000</v>
      </c>
      <c r="AY66" s="130">
        <f t="shared" si="45"/>
        <v>4.4000000000000004E-2</v>
      </c>
      <c r="AZ66" s="128">
        <f t="shared" si="46"/>
        <v>100366.66666666667</v>
      </c>
      <c r="BA66" s="128" t="str">
        <f t="shared" si="47"/>
        <v>nie</v>
      </c>
      <c r="BB66" s="128">
        <f t="shared" si="48"/>
        <v>700</v>
      </c>
      <c r="BC66" s="128">
        <f t="shared" si="152"/>
        <v>99730</v>
      </c>
      <c r="BD66" s="128">
        <f t="shared" si="50"/>
        <v>297.00000000000392</v>
      </c>
      <c r="BE66" s="130">
        <f t="shared" si="51"/>
        <v>4.2500000000000003E-2</v>
      </c>
      <c r="BF66" s="128">
        <f t="shared" si="52"/>
        <v>7050.9522458717183</v>
      </c>
      <c r="BG66" s="128">
        <f t="shared" si="157"/>
        <v>106483.95224587171</v>
      </c>
      <c r="BI66" s="124">
        <f t="shared" si="124"/>
        <v>23</v>
      </c>
      <c r="BJ66" s="130">
        <f t="shared" si="148"/>
        <v>4.1300000000000003E-2</v>
      </c>
      <c r="BK66" s="127">
        <f t="shared" si="125"/>
        <v>1000</v>
      </c>
      <c r="BL66" s="128">
        <f t="shared" si="126"/>
        <v>100000</v>
      </c>
      <c r="BM66" s="128">
        <f t="shared" si="142"/>
        <v>100000</v>
      </c>
      <c r="BN66" s="128">
        <f t="shared" si="127"/>
        <v>104650</v>
      </c>
      <c r="BO66" s="130">
        <f t="shared" si="54"/>
        <v>4.65E-2</v>
      </c>
      <c r="BP66" s="128">
        <f t="shared" si="55"/>
        <v>109110.70624999999</v>
      </c>
      <c r="BQ66" s="128" t="str">
        <f t="shared" si="56"/>
        <v>nie</v>
      </c>
      <c r="BR66" s="128">
        <f t="shared" si="57"/>
        <v>1000</v>
      </c>
      <c r="BS66" s="128">
        <f t="shared" si="153"/>
        <v>106569.67206249999</v>
      </c>
      <c r="BT66" s="128">
        <f t="shared" si="128"/>
        <v>0</v>
      </c>
      <c r="BU66" s="130">
        <f t="shared" si="59"/>
        <v>4.2500000000000003E-2</v>
      </c>
      <c r="BV66" s="128">
        <f t="shared" si="60"/>
        <v>0</v>
      </c>
      <c r="BW66" s="128">
        <f t="shared" si="61"/>
        <v>106569.67206249999</v>
      </c>
      <c r="BY66" s="130">
        <f t="shared" si="149"/>
        <v>2.8000000000000001E-2</v>
      </c>
      <c r="BZ66" s="127">
        <f t="shared" si="129"/>
        <v>1000</v>
      </c>
      <c r="CA66" s="128">
        <f t="shared" si="130"/>
        <v>100000</v>
      </c>
      <c r="CB66" s="128">
        <f t="shared" si="154"/>
        <v>100000</v>
      </c>
      <c r="CC66" s="128">
        <f t="shared" si="131"/>
        <v>100000</v>
      </c>
      <c r="CD66" s="130">
        <f t="shared" si="62"/>
        <v>4.2999999999999997E-2</v>
      </c>
      <c r="CE66" s="128">
        <f t="shared" si="63"/>
        <v>103941.66666666667</v>
      </c>
      <c r="CF66" s="128" t="str">
        <f t="shared" si="64"/>
        <v>nie</v>
      </c>
      <c r="CG66" s="128">
        <f t="shared" si="65"/>
        <v>2000</v>
      </c>
      <c r="CH66" s="128">
        <f t="shared" si="155"/>
        <v>101572.75</v>
      </c>
      <c r="CI66" s="128">
        <f t="shared" si="67"/>
        <v>0</v>
      </c>
      <c r="CJ66" s="130">
        <f t="shared" si="68"/>
        <v>4.2500000000000003E-2</v>
      </c>
      <c r="CK66" s="128">
        <f t="shared" si="69"/>
        <v>4179.651851708406</v>
      </c>
      <c r="CL66" s="128">
        <f t="shared" si="70"/>
        <v>105752.4018517084</v>
      </c>
      <c r="CN66" s="127">
        <f t="shared" si="132"/>
        <v>1000</v>
      </c>
      <c r="CO66" s="128">
        <f t="shared" si="133"/>
        <v>100000</v>
      </c>
      <c r="CP66" s="128">
        <f t="shared" si="134"/>
        <v>100000</v>
      </c>
      <c r="CQ66" s="128">
        <f t="shared" si="135"/>
        <v>105600</v>
      </c>
      <c r="CR66" s="130">
        <f t="shared" si="71"/>
        <v>4.8000000000000001E-2</v>
      </c>
      <c r="CS66" s="128">
        <f t="shared" si="72"/>
        <v>110246.40000000001</v>
      </c>
      <c r="CT66" s="128" t="str">
        <f t="shared" si="73"/>
        <v>nie</v>
      </c>
      <c r="CU66" s="128">
        <f t="shared" si="74"/>
        <v>3000</v>
      </c>
      <c r="CV66" s="128">
        <f t="shared" si="75"/>
        <v>105869.584</v>
      </c>
      <c r="CW66" s="128">
        <f t="shared" si="76"/>
        <v>0</v>
      </c>
      <c r="CX66" s="130">
        <f t="shared" si="77"/>
        <v>4.2500000000000003E-2</v>
      </c>
      <c r="CY66" s="128">
        <f t="shared" si="78"/>
        <v>0</v>
      </c>
      <c r="CZ66" s="128">
        <f t="shared" si="79"/>
        <v>105869.584</v>
      </c>
      <c r="DA66" s="20"/>
      <c r="DB66" s="127">
        <f t="shared" si="144"/>
        <v>1000</v>
      </c>
      <c r="DC66" s="128">
        <f t="shared" si="145"/>
        <v>100000</v>
      </c>
      <c r="DD66" s="128">
        <f t="shared" si="136"/>
        <v>100000</v>
      </c>
      <c r="DE66" s="128">
        <f t="shared" si="137"/>
        <v>105200</v>
      </c>
      <c r="DF66" s="130">
        <f t="shared" si="80"/>
        <v>4.8000000000000001E-2</v>
      </c>
      <c r="DG66" s="128">
        <f t="shared" si="81"/>
        <v>109828.8</v>
      </c>
      <c r="DH66" s="128" t="str">
        <f t="shared" si="82"/>
        <v>nie</v>
      </c>
      <c r="DI66" s="128">
        <f t="shared" si="83"/>
        <v>2000</v>
      </c>
      <c r="DJ66" s="128">
        <f t="shared" si="84"/>
        <v>106341.32800000001</v>
      </c>
      <c r="DK66" s="128">
        <f t="shared" si="85"/>
        <v>0</v>
      </c>
      <c r="DL66" s="130">
        <f t="shared" si="86"/>
        <v>4.2500000000000003E-2</v>
      </c>
      <c r="DM66" s="128">
        <f t="shared" si="87"/>
        <v>0</v>
      </c>
      <c r="DN66" s="128">
        <f t="shared" si="88"/>
        <v>106341.32800000001</v>
      </c>
      <c r="DP66" s="127">
        <f t="shared" si="146"/>
        <v>1000</v>
      </c>
      <c r="DQ66" s="128">
        <f t="shared" si="147"/>
        <v>100000</v>
      </c>
      <c r="DR66" s="128">
        <f t="shared" si="138"/>
        <v>100000</v>
      </c>
      <c r="DS66" s="128">
        <f t="shared" si="139"/>
        <v>105850</v>
      </c>
      <c r="DT66" s="130">
        <f t="shared" si="89"/>
        <v>5.3000000000000005E-2</v>
      </c>
      <c r="DU66" s="128">
        <f t="shared" si="90"/>
        <v>110992.54583333334</v>
      </c>
      <c r="DV66" s="128" t="str">
        <f t="shared" si="91"/>
        <v>nie</v>
      </c>
      <c r="DW66" s="128">
        <f t="shared" si="92"/>
        <v>3000</v>
      </c>
      <c r="DX66" s="128">
        <f t="shared" si="93"/>
        <v>106473.96212500001</v>
      </c>
      <c r="DY66" s="128">
        <f t="shared" si="94"/>
        <v>0</v>
      </c>
      <c r="DZ66" s="130">
        <f t="shared" si="95"/>
        <v>4.2500000000000003E-2</v>
      </c>
      <c r="EA66" s="128">
        <f t="shared" si="96"/>
        <v>0</v>
      </c>
      <c r="EB66" s="128">
        <f t="shared" si="97"/>
        <v>106473.96212500001</v>
      </c>
    </row>
    <row r="67" spans="1:137" ht="14.25" customHeight="1">
      <c r="A67" s="224"/>
      <c r="B67" s="188">
        <f t="shared" si="98"/>
        <v>23</v>
      </c>
      <c r="C67" s="128">
        <f t="shared" si="99"/>
        <v>106803.40680013099</v>
      </c>
      <c r="D67" s="128">
        <f t="shared" si="100"/>
        <v>106483.95224587171</v>
      </c>
      <c r="E67" s="128">
        <f t="shared" si="101"/>
        <v>106569.67206249999</v>
      </c>
      <c r="F67" s="128">
        <f t="shared" si="102"/>
        <v>105752.4018517084</v>
      </c>
      <c r="G67" s="128">
        <f t="shared" si="103"/>
        <v>105869.584</v>
      </c>
      <c r="H67" s="128">
        <f t="shared" si="104"/>
        <v>106341.32800000001</v>
      </c>
      <c r="I67" s="128">
        <f t="shared" si="105"/>
        <v>106473.96212500001</v>
      </c>
      <c r="J67" s="128">
        <f t="shared" si="106"/>
        <v>106810.5788738532</v>
      </c>
      <c r="K67" s="128">
        <f t="shared" si="107"/>
        <v>105438.53333333334</v>
      </c>
      <c r="M67" s="36"/>
      <c r="N67" s="32">
        <f t="shared" si="108"/>
        <v>23</v>
      </c>
      <c r="O67" s="25">
        <f t="shared" si="109"/>
        <v>6.8034068001309844E-2</v>
      </c>
      <c r="P67" s="25">
        <f t="shared" si="110"/>
        <v>6.4839522458717047E-2</v>
      </c>
      <c r="Q67" s="25">
        <f t="shared" si="111"/>
        <v>6.5696720624999871E-2</v>
      </c>
      <c r="R67" s="25">
        <f t="shared" si="30"/>
        <v>5.7524018517083997E-2</v>
      </c>
      <c r="S67" s="25">
        <f t="shared" si="31"/>
        <v>5.8695839999999944E-2</v>
      </c>
      <c r="T67" s="25">
        <f t="shared" si="32"/>
        <v>6.3413280000000016E-2</v>
      </c>
      <c r="U67" s="25">
        <f t="shared" si="33"/>
        <v>6.473962124999999E-2</v>
      </c>
      <c r="V67" s="25">
        <f t="shared" si="34"/>
        <v>6.8105788738531903E-2</v>
      </c>
      <c r="W67" s="25">
        <f t="shared" si="112"/>
        <v>5.4385333333333508E-2</v>
      </c>
      <c r="X67" s="36"/>
      <c r="Y67" s="36"/>
      <c r="AA67" s="124">
        <f t="shared" si="113"/>
        <v>24</v>
      </c>
      <c r="AB67" s="128">
        <f t="shared" si="35"/>
        <v>105678.39999999999</v>
      </c>
      <c r="AC67" s="124">
        <f t="shared" si="114"/>
        <v>24</v>
      </c>
      <c r="AD67" s="130">
        <f t="shared" si="115"/>
        <v>4.2500000000000003E-2</v>
      </c>
      <c r="AE67" s="127">
        <f t="shared" si="116"/>
        <v>1038</v>
      </c>
      <c r="AF67" s="128">
        <f t="shared" si="117"/>
        <v>103699.70000000001</v>
      </c>
      <c r="AG67" s="128">
        <f t="shared" si="140"/>
        <v>103800</v>
      </c>
      <c r="AH67" s="128">
        <f t="shared" si="118"/>
        <v>103800</v>
      </c>
      <c r="AI67" s="130">
        <f t="shared" si="36"/>
        <v>4.2500000000000003E-2</v>
      </c>
      <c r="AJ67" s="128">
        <f t="shared" si="37"/>
        <v>104167.62500000001</v>
      </c>
      <c r="AK67" s="128" t="str">
        <f t="shared" si="38"/>
        <v>tak</v>
      </c>
      <c r="AL67" s="128">
        <f t="shared" si="39"/>
        <v>0</v>
      </c>
      <c r="AM67" s="128">
        <f>AJ67-AL67
-(AJ67-AG67-AL67)*podatek_Belki</f>
        <v>104097.77625000001</v>
      </c>
      <c r="AN67" s="128">
        <f t="shared" si="41"/>
        <v>401.9762500000059</v>
      </c>
      <c r="AO67" s="130">
        <f t="shared" si="42"/>
        <v>4.2500000000000003E-2</v>
      </c>
      <c r="AP67" s="128">
        <f t="shared" si="43"/>
        <v>3835.5950672013773</v>
      </c>
      <c r="AQ67" s="128">
        <f>AP66*(1+AO67/12*(1-podatek_Belki))+AM67</f>
        <v>107531.39506720137</v>
      </c>
      <c r="AS67" s="124">
        <f t="shared" si="119"/>
        <v>24</v>
      </c>
      <c r="AT67" s="130">
        <f t="shared" si="120"/>
        <v>4.2500000000000003E-2</v>
      </c>
      <c r="AU67" s="127">
        <f t="shared" si="121"/>
        <v>1000</v>
      </c>
      <c r="AV67" s="128">
        <f t="shared" si="122"/>
        <v>100000</v>
      </c>
      <c r="AW67" s="128">
        <f t="shared" si="151"/>
        <v>100000</v>
      </c>
      <c r="AX67" s="128">
        <f t="shared" si="123"/>
        <v>100000</v>
      </c>
      <c r="AY67" s="130">
        <f t="shared" si="45"/>
        <v>4.4000000000000004E-2</v>
      </c>
      <c r="AZ67" s="128">
        <f t="shared" si="46"/>
        <v>100366.66666666667</v>
      </c>
      <c r="BA67" s="128" t="str">
        <f t="shared" si="47"/>
        <v>tak</v>
      </c>
      <c r="BB67" s="128">
        <f t="shared" si="48"/>
        <v>0</v>
      </c>
      <c r="BC67" s="128">
        <f>AZ67-BB67
-(AZ67-AW67-BB67)*podatek_Belki</f>
        <v>100297</v>
      </c>
      <c r="BD67" s="128">
        <f t="shared" si="50"/>
        <v>397.39999999999822</v>
      </c>
      <c r="BE67" s="130">
        <f t="shared" si="51"/>
        <v>4.2500000000000003E-2</v>
      </c>
      <c r="BF67" s="128">
        <f t="shared" si="52"/>
        <v>7468.5796651270603</v>
      </c>
      <c r="BG67" s="128">
        <f>BF66*(1+BE67/12*(1-podatek_Belki))+BC67</f>
        <v>107368.17966512706</v>
      </c>
      <c r="BI67" s="124">
        <f t="shared" si="124"/>
        <v>24</v>
      </c>
      <c r="BJ67" s="130">
        <f t="shared" si="148"/>
        <v>4.1300000000000003E-2</v>
      </c>
      <c r="BK67" s="127">
        <f t="shared" si="125"/>
        <v>1000</v>
      </c>
      <c r="BL67" s="128">
        <f t="shared" si="126"/>
        <v>100000</v>
      </c>
      <c r="BM67" s="128">
        <f t="shared" si="142"/>
        <v>100000</v>
      </c>
      <c r="BN67" s="128">
        <f t="shared" si="127"/>
        <v>104650</v>
      </c>
      <c r="BO67" s="130">
        <f t="shared" si="54"/>
        <v>4.65E-2</v>
      </c>
      <c r="BP67" s="128">
        <f t="shared" si="55"/>
        <v>109516.22499999999</v>
      </c>
      <c r="BQ67" s="128" t="str">
        <f t="shared" si="56"/>
        <v>nie</v>
      </c>
      <c r="BR67" s="128">
        <f t="shared" si="57"/>
        <v>1000</v>
      </c>
      <c r="BS67" s="128">
        <f t="shared" si="153"/>
        <v>106898.14224999999</v>
      </c>
      <c r="BT67" s="128">
        <f t="shared" si="128"/>
        <v>0</v>
      </c>
      <c r="BU67" s="130">
        <f t="shared" si="59"/>
        <v>4.2500000000000003E-2</v>
      </c>
      <c r="BV67" s="128">
        <f t="shared" si="60"/>
        <v>0</v>
      </c>
      <c r="BW67" s="128">
        <f t="shared" si="61"/>
        <v>106898.14224999999</v>
      </c>
      <c r="BY67" s="130">
        <f t="shared" si="149"/>
        <v>2.8000000000000001E-2</v>
      </c>
      <c r="BZ67" s="127">
        <f t="shared" si="129"/>
        <v>1000</v>
      </c>
      <c r="CA67" s="128">
        <f t="shared" si="130"/>
        <v>100000</v>
      </c>
      <c r="CB67" s="128">
        <f t="shared" si="154"/>
        <v>100000</v>
      </c>
      <c r="CC67" s="128">
        <f t="shared" si="131"/>
        <v>100000</v>
      </c>
      <c r="CD67" s="130">
        <f t="shared" si="62"/>
        <v>4.2999999999999997E-2</v>
      </c>
      <c r="CE67" s="128">
        <f t="shared" si="63"/>
        <v>104299.99999999999</v>
      </c>
      <c r="CF67" s="128" t="str">
        <f t="shared" si="64"/>
        <v>nie</v>
      </c>
      <c r="CG67" s="128">
        <f t="shared" si="65"/>
        <v>2000</v>
      </c>
      <c r="CH67" s="128">
        <f>CE67-CG67
-(CE67-CB67-CG67)*podatek_Belki</f>
        <v>101862.99999999999</v>
      </c>
      <c r="CI67" s="128">
        <f t="shared" si="67"/>
        <v>3482.9999999999886</v>
      </c>
      <c r="CJ67" s="130">
        <f t="shared" si="68"/>
        <v>4.2500000000000003E-2</v>
      </c>
      <c r="CK67" s="128">
        <f t="shared" si="69"/>
        <v>7674.6422279579838</v>
      </c>
      <c r="CL67" s="128">
        <f t="shared" si="70"/>
        <v>106054.64222795799</v>
      </c>
      <c r="CN67" s="127">
        <f t="shared" si="132"/>
        <v>1000</v>
      </c>
      <c r="CO67" s="128">
        <f t="shared" si="133"/>
        <v>100000</v>
      </c>
      <c r="CP67" s="128">
        <f t="shared" si="134"/>
        <v>100000</v>
      </c>
      <c r="CQ67" s="128">
        <f t="shared" si="135"/>
        <v>105600</v>
      </c>
      <c r="CR67" s="130">
        <f t="shared" si="71"/>
        <v>4.8000000000000001E-2</v>
      </c>
      <c r="CS67" s="128">
        <f t="shared" si="72"/>
        <v>110668.8</v>
      </c>
      <c r="CT67" s="128" t="str">
        <f t="shared" si="73"/>
        <v>nie</v>
      </c>
      <c r="CU67" s="128">
        <f t="shared" si="74"/>
        <v>3000</v>
      </c>
      <c r="CV67" s="128">
        <f t="shared" si="75"/>
        <v>106211.728</v>
      </c>
      <c r="CW67" s="128">
        <f t="shared" si="76"/>
        <v>0</v>
      </c>
      <c r="CX67" s="130">
        <f t="shared" si="77"/>
        <v>4.2500000000000003E-2</v>
      </c>
      <c r="CY67" s="128">
        <f t="shared" si="78"/>
        <v>0</v>
      </c>
      <c r="CZ67" s="128">
        <f t="shared" si="79"/>
        <v>106211.728</v>
      </c>
      <c r="DA67" s="20"/>
      <c r="DB67" s="127">
        <f t="shared" si="144"/>
        <v>1000</v>
      </c>
      <c r="DC67" s="128">
        <f t="shared" si="145"/>
        <v>100000</v>
      </c>
      <c r="DD67" s="128">
        <f t="shared" si="136"/>
        <v>100000</v>
      </c>
      <c r="DE67" s="128">
        <f t="shared" si="137"/>
        <v>105200</v>
      </c>
      <c r="DF67" s="130">
        <f t="shared" si="80"/>
        <v>4.8000000000000001E-2</v>
      </c>
      <c r="DG67" s="128">
        <f t="shared" si="81"/>
        <v>110249.60000000001</v>
      </c>
      <c r="DH67" s="128" t="str">
        <f t="shared" si="82"/>
        <v>nie</v>
      </c>
      <c r="DI67" s="128">
        <f t="shared" si="83"/>
        <v>2000</v>
      </c>
      <c r="DJ67" s="128">
        <f t="shared" si="84"/>
        <v>106682.17600000001</v>
      </c>
      <c r="DK67" s="128">
        <f t="shared" si="85"/>
        <v>0</v>
      </c>
      <c r="DL67" s="130">
        <f t="shared" si="86"/>
        <v>4.2500000000000003E-2</v>
      </c>
      <c r="DM67" s="128">
        <f t="shared" si="87"/>
        <v>0</v>
      </c>
      <c r="DN67" s="128">
        <f t="shared" si="88"/>
        <v>106682.17600000001</v>
      </c>
      <c r="DP67" s="127">
        <f t="shared" si="146"/>
        <v>1000</v>
      </c>
      <c r="DQ67" s="128">
        <f t="shared" si="147"/>
        <v>100000</v>
      </c>
      <c r="DR67" s="128">
        <f t="shared" si="138"/>
        <v>100000</v>
      </c>
      <c r="DS67" s="128">
        <f t="shared" si="139"/>
        <v>105850</v>
      </c>
      <c r="DT67" s="130">
        <f t="shared" si="89"/>
        <v>5.3000000000000005E-2</v>
      </c>
      <c r="DU67" s="128">
        <f t="shared" si="90"/>
        <v>111460.04999999999</v>
      </c>
      <c r="DV67" s="128" t="str">
        <f t="shared" si="91"/>
        <v>nie</v>
      </c>
      <c r="DW67" s="128">
        <f t="shared" si="92"/>
        <v>3000</v>
      </c>
      <c r="DX67" s="128">
        <f t="shared" si="93"/>
        <v>106852.64049999999</v>
      </c>
      <c r="DY67" s="128">
        <f t="shared" si="94"/>
        <v>0</v>
      </c>
      <c r="DZ67" s="130">
        <f t="shared" si="95"/>
        <v>4.2500000000000003E-2</v>
      </c>
      <c r="EA67" s="128">
        <f t="shared" si="96"/>
        <v>0</v>
      </c>
      <c r="EB67" s="128">
        <f t="shared" si="97"/>
        <v>106852.64049999999</v>
      </c>
    </row>
    <row r="68" spans="1:137">
      <c r="A68" s="224"/>
      <c r="B68" s="188">
        <f t="shared" si="98"/>
        <v>24</v>
      </c>
      <c r="C68" s="128">
        <f t="shared" si="99"/>
        <v>107531.39506720137</v>
      </c>
      <c r="D68" s="128">
        <f t="shared" si="100"/>
        <v>107368.17966512706</v>
      </c>
      <c r="E68" s="128">
        <f t="shared" si="101"/>
        <v>106898.14224999999</v>
      </c>
      <c r="F68" s="128">
        <f t="shared" si="102"/>
        <v>106054.64222795799</v>
      </c>
      <c r="G68" s="128">
        <f t="shared" si="103"/>
        <v>106211.728</v>
      </c>
      <c r="H68" s="128">
        <f t="shared" si="104"/>
        <v>106682.17600000001</v>
      </c>
      <c r="I68" s="128">
        <f t="shared" si="105"/>
        <v>106852.64049999999</v>
      </c>
      <c r="J68" s="128">
        <f t="shared" si="106"/>
        <v>107116.99172199756</v>
      </c>
      <c r="K68" s="128">
        <f t="shared" si="107"/>
        <v>105678.39999999999</v>
      </c>
      <c r="M68" s="36"/>
      <c r="N68" s="32">
        <f t="shared" si="108"/>
        <v>24</v>
      </c>
      <c r="O68" s="25">
        <f t="shared" si="109"/>
        <v>7.5313950672013741E-2</v>
      </c>
      <c r="P68" s="25">
        <f t="shared" si="110"/>
        <v>7.3681796651270615E-2</v>
      </c>
      <c r="Q68" s="25">
        <f t="shared" si="111"/>
        <v>6.8981422499999834E-2</v>
      </c>
      <c r="R68" s="25">
        <f t="shared" si="30"/>
        <v>6.0546422279579959E-2</v>
      </c>
      <c r="S68" s="25">
        <f t="shared" si="31"/>
        <v>6.2117280000000052E-2</v>
      </c>
      <c r="T68" s="25">
        <f t="shared" si="32"/>
        <v>6.6821760000000063E-2</v>
      </c>
      <c r="U68" s="25">
        <f t="shared" si="33"/>
        <v>6.8526404999999846E-2</v>
      </c>
      <c r="V68" s="25">
        <f t="shared" si="34"/>
        <v>7.1169917219975565E-2</v>
      </c>
      <c r="W68" s="25">
        <f t="shared" si="112"/>
        <v>5.6783999999999946E-2</v>
      </c>
      <c r="X68" s="36"/>
      <c r="Y68" s="36"/>
      <c r="AA68" s="124">
        <f t="shared" si="113"/>
        <v>25</v>
      </c>
      <c r="AB68" s="128">
        <f t="shared" si="35"/>
        <v>105924.98293333332</v>
      </c>
      <c r="AC68" s="124">
        <f t="shared" si="114"/>
        <v>25</v>
      </c>
      <c r="AD68" s="130">
        <f t="shared" si="115"/>
        <v>4.2500000000000003E-2</v>
      </c>
      <c r="AE68" s="127">
        <f t="shared" si="116"/>
        <v>1080</v>
      </c>
      <c r="AF68" s="128">
        <f t="shared" si="117"/>
        <v>107895.8</v>
      </c>
      <c r="AG68" s="128">
        <f t="shared" si="140"/>
        <v>108000</v>
      </c>
      <c r="AH68" s="128">
        <f t="shared" si="118"/>
        <v>108000</v>
      </c>
      <c r="AI68" s="130">
        <f t="shared" si="36"/>
        <v>4.2500000000000003E-2</v>
      </c>
      <c r="AJ68" s="128">
        <f t="shared" si="37"/>
        <v>108382.50000000001</v>
      </c>
      <c r="AK68" s="128" t="str">
        <f t="shared" si="38"/>
        <v>nie</v>
      </c>
      <c r="AL68" s="128">
        <f t="shared" si="39"/>
        <v>382.50000000001455</v>
      </c>
      <c r="AM68" s="128">
        <f t="shared" si="150"/>
        <v>108000</v>
      </c>
      <c r="AN68" s="128">
        <f t="shared" si="41"/>
        <v>309.82500000001181</v>
      </c>
      <c r="AO68" s="130">
        <f t="shared" si="42"/>
        <v>4.2500000000000003E-2</v>
      </c>
      <c r="AP68" s="128">
        <f t="shared" si="43"/>
        <v>345.52218055042312</v>
      </c>
      <c r="AQ68" s="128">
        <f t="shared" si="156"/>
        <v>111846.59843055041</v>
      </c>
      <c r="AS68" s="124">
        <f t="shared" si="119"/>
        <v>25</v>
      </c>
      <c r="AT68" s="130">
        <f t="shared" si="120"/>
        <v>4.2500000000000003E-2</v>
      </c>
      <c r="AU68" s="127">
        <f t="shared" si="121"/>
        <v>1077</v>
      </c>
      <c r="AV68" s="128">
        <f t="shared" si="122"/>
        <v>107599.70000000001</v>
      </c>
      <c r="AW68" s="128">
        <f t="shared" si="151"/>
        <v>107700</v>
      </c>
      <c r="AX68" s="128">
        <f t="shared" si="123"/>
        <v>107700</v>
      </c>
      <c r="AY68" s="130">
        <f t="shared" si="45"/>
        <v>4.3999999999999997E-2</v>
      </c>
      <c r="AZ68" s="128">
        <f t="shared" si="46"/>
        <v>108094.90000000001</v>
      </c>
      <c r="BA68" s="128" t="str">
        <f t="shared" si="47"/>
        <v>nie</v>
      </c>
      <c r="BB68" s="128">
        <f t="shared" si="48"/>
        <v>394.90000000000873</v>
      </c>
      <c r="BC68" s="128">
        <f t="shared" ref="BC68:BC131" si="158">AZ68-BB68
-(AZ68-AW68-BB68)*podatek_Belki</f>
        <v>107700</v>
      </c>
      <c r="BD68" s="128">
        <f t="shared" si="50"/>
        <v>319.86900000000708</v>
      </c>
      <c r="BE68" s="130">
        <f t="shared" si="51"/>
        <v>4.2500000000000003E-2</v>
      </c>
      <c r="BF68" s="128">
        <f t="shared" si="52"/>
        <v>388.64540304140058</v>
      </c>
      <c r="BG68" s="128">
        <f t="shared" ref="BG68:BG131" si="159">BF67*(1+BE68/12*(1-podatek_Belki))+BC68</f>
        <v>115190.00515304139</v>
      </c>
      <c r="BI68" s="124">
        <f t="shared" si="124"/>
        <v>25</v>
      </c>
      <c r="BJ68" s="130">
        <f t="shared" si="148"/>
        <v>4.1300000000000003E-2</v>
      </c>
      <c r="BK68" s="127">
        <f t="shared" si="125"/>
        <v>1000</v>
      </c>
      <c r="BL68" s="128">
        <f t="shared" si="126"/>
        <v>100000</v>
      </c>
      <c r="BM68" s="128">
        <f t="shared" si="142"/>
        <v>100000</v>
      </c>
      <c r="BN68" s="128">
        <f t="shared" si="127"/>
        <v>109516.22499999999</v>
      </c>
      <c r="BO68" s="130">
        <f t="shared" si="54"/>
        <v>4.65E-2</v>
      </c>
      <c r="BP68" s="128">
        <f t="shared" si="55"/>
        <v>109940.600371875</v>
      </c>
      <c r="BQ68" s="128" t="str">
        <f t="shared" si="56"/>
        <v>nie</v>
      </c>
      <c r="BR68" s="128">
        <f t="shared" si="57"/>
        <v>1000</v>
      </c>
      <c r="BS68" s="128">
        <f t="shared" si="153"/>
        <v>107241.88630121875</v>
      </c>
      <c r="BT68" s="128">
        <f>IF(AND(BQ68="tak",BL69&lt;&gt;""),
 BS68-BL69,
0)</f>
        <v>0</v>
      </c>
      <c r="BU68" s="130">
        <f t="shared" si="59"/>
        <v>4.2500000000000003E-2</v>
      </c>
      <c r="BV68" s="128">
        <f t="shared" si="60"/>
        <v>0</v>
      </c>
      <c r="BW68" s="128">
        <f t="shared" si="61"/>
        <v>107241.88630121875</v>
      </c>
      <c r="BY68" s="130">
        <f t="shared" si="149"/>
        <v>2.8000000000000001E-2</v>
      </c>
      <c r="BZ68" s="127">
        <f t="shared" si="129"/>
        <v>1000</v>
      </c>
      <c r="CA68" s="128">
        <f t="shared" si="130"/>
        <v>100000</v>
      </c>
      <c r="CB68" s="128">
        <f t="shared" si="154"/>
        <v>100000</v>
      </c>
      <c r="CC68" s="128">
        <f t="shared" si="131"/>
        <v>100000</v>
      </c>
      <c r="CD68" s="130">
        <f t="shared" si="62"/>
        <v>4.2999999999999997E-2</v>
      </c>
      <c r="CE68" s="128">
        <f t="shared" si="63"/>
        <v>100358.33333333333</v>
      </c>
      <c r="CF68" s="128" t="str">
        <f t="shared" si="64"/>
        <v>nie</v>
      </c>
      <c r="CG68" s="128">
        <f t="shared" si="65"/>
        <v>2000</v>
      </c>
      <c r="CH68" s="128">
        <f t="shared" ref="CH68:CH131" si="160">CE68-CG68
-(CE68-CB68-CG68)*podatek_Belki</f>
        <v>98670.25</v>
      </c>
      <c r="CI68" s="128">
        <f t="shared" si="67"/>
        <v>0</v>
      </c>
      <c r="CJ68" s="130">
        <f t="shared" si="68"/>
        <v>4.2500000000000003E-2</v>
      </c>
      <c r="CK68" s="128">
        <f t="shared" si="69"/>
        <v>7696.6588578494384</v>
      </c>
      <c r="CL68" s="128">
        <f t="shared" si="70"/>
        <v>106366.90885784944</v>
      </c>
      <c r="CN68" s="127">
        <f t="shared" si="132"/>
        <v>1000</v>
      </c>
      <c r="CO68" s="128">
        <f t="shared" si="133"/>
        <v>100000</v>
      </c>
      <c r="CP68" s="128">
        <f t="shared" si="134"/>
        <v>100000</v>
      </c>
      <c r="CQ68" s="128">
        <f t="shared" si="135"/>
        <v>110668.8</v>
      </c>
      <c r="CR68" s="130">
        <f t="shared" si="71"/>
        <v>4.8000000000000001E-2</v>
      </c>
      <c r="CS68" s="128">
        <f t="shared" si="72"/>
        <v>111111.4752</v>
      </c>
      <c r="CT68" s="128" t="str">
        <f t="shared" si="73"/>
        <v>nie</v>
      </c>
      <c r="CU68" s="128">
        <f t="shared" si="74"/>
        <v>3000</v>
      </c>
      <c r="CV68" s="128">
        <f t="shared" si="75"/>
        <v>106570.294912</v>
      </c>
      <c r="CW68" s="128">
        <f t="shared" si="76"/>
        <v>0</v>
      </c>
      <c r="CX68" s="130">
        <f t="shared" si="77"/>
        <v>4.2500000000000003E-2</v>
      </c>
      <c r="CY68" s="128">
        <f t="shared" si="78"/>
        <v>0</v>
      </c>
      <c r="CZ68" s="128">
        <f t="shared" si="79"/>
        <v>106570.294912</v>
      </c>
      <c r="DA68" s="20"/>
      <c r="DB68" s="127">
        <f t="shared" si="144"/>
        <v>1000</v>
      </c>
      <c r="DC68" s="128">
        <f t="shared" si="145"/>
        <v>100000</v>
      </c>
      <c r="DD68" s="128">
        <f t="shared" si="136"/>
        <v>100000</v>
      </c>
      <c r="DE68" s="128">
        <f t="shared" si="137"/>
        <v>110249.60000000001</v>
      </c>
      <c r="DF68" s="130">
        <f t="shared" si="80"/>
        <v>4.8000000000000001E-2</v>
      </c>
      <c r="DG68" s="128">
        <f t="shared" si="81"/>
        <v>110690.5984</v>
      </c>
      <c r="DH68" s="128" t="str">
        <f t="shared" si="82"/>
        <v>nie</v>
      </c>
      <c r="DI68" s="128">
        <f t="shared" si="83"/>
        <v>2000</v>
      </c>
      <c r="DJ68" s="128">
        <f t="shared" si="84"/>
        <v>107039.384704</v>
      </c>
      <c r="DK68" s="128">
        <f t="shared" si="85"/>
        <v>0</v>
      </c>
      <c r="DL68" s="130">
        <f t="shared" si="86"/>
        <v>4.2500000000000003E-2</v>
      </c>
      <c r="DM68" s="128">
        <f t="shared" si="87"/>
        <v>0</v>
      </c>
      <c r="DN68" s="128">
        <f t="shared" si="88"/>
        <v>107039.384704</v>
      </c>
      <c r="DP68" s="127">
        <f t="shared" si="146"/>
        <v>1000</v>
      </c>
      <c r="DQ68" s="128">
        <f t="shared" si="147"/>
        <v>100000</v>
      </c>
      <c r="DR68" s="128">
        <f t="shared" si="138"/>
        <v>100000</v>
      </c>
      <c r="DS68" s="128">
        <f t="shared" si="139"/>
        <v>111460.04999999999</v>
      </c>
      <c r="DT68" s="130">
        <f t="shared" si="89"/>
        <v>5.3000000000000005E-2</v>
      </c>
      <c r="DU68" s="128">
        <f t="shared" si="90"/>
        <v>111952.3318875</v>
      </c>
      <c r="DV68" s="128" t="str">
        <f t="shared" si="91"/>
        <v>nie</v>
      </c>
      <c r="DW68" s="128">
        <f t="shared" si="92"/>
        <v>3000</v>
      </c>
      <c r="DX68" s="128">
        <f t="shared" si="93"/>
        <v>107251.388828875</v>
      </c>
      <c r="DY68" s="128">
        <f t="shared" si="94"/>
        <v>0</v>
      </c>
      <c r="DZ68" s="130">
        <f t="shared" si="95"/>
        <v>4.2500000000000003E-2</v>
      </c>
      <c r="EA68" s="128">
        <f t="shared" si="96"/>
        <v>0</v>
      </c>
      <c r="EB68" s="128">
        <f t="shared" si="97"/>
        <v>107251.388828875</v>
      </c>
    </row>
    <row r="69" spans="1:137">
      <c r="A69" s="224">
        <f>ROUNDUP(B80/12,0)</f>
        <v>3</v>
      </c>
      <c r="B69" s="188">
        <f t="shared" si="98"/>
        <v>25</v>
      </c>
      <c r="C69" s="128">
        <f t="shared" si="99"/>
        <v>111846.59843055041</v>
      </c>
      <c r="D69" s="128">
        <f t="shared" si="100"/>
        <v>115190.00515304139</v>
      </c>
      <c r="E69" s="128">
        <f t="shared" si="101"/>
        <v>107241.88630121875</v>
      </c>
      <c r="F69" s="128">
        <f t="shared" si="102"/>
        <v>106366.90885784944</v>
      </c>
      <c r="G69" s="128">
        <f t="shared" si="103"/>
        <v>106570.294912</v>
      </c>
      <c r="H69" s="128">
        <f t="shared" si="104"/>
        <v>107039.384704</v>
      </c>
      <c r="I69" s="128">
        <f t="shared" si="105"/>
        <v>107251.388828875</v>
      </c>
      <c r="J69" s="128">
        <f t="shared" si="106"/>
        <v>107424.28359200004</v>
      </c>
      <c r="K69" s="128">
        <f t="shared" si="107"/>
        <v>105924.98293333332</v>
      </c>
      <c r="M69" s="36"/>
      <c r="N69" s="32">
        <f t="shared" si="108"/>
        <v>25</v>
      </c>
      <c r="O69" s="25">
        <f t="shared" si="109"/>
        <v>0.11846598430550404</v>
      </c>
      <c r="P69" s="25">
        <f t="shared" si="110"/>
        <v>0.15190005153041386</v>
      </c>
      <c r="Q69" s="25">
        <f t="shared" si="111"/>
        <v>7.2418863012187584E-2</v>
      </c>
      <c r="R69" s="25">
        <f t="shared" si="30"/>
        <v>6.3669088578494515E-2</v>
      </c>
      <c r="S69" s="25">
        <f t="shared" si="31"/>
        <v>6.5702949120000076E-2</v>
      </c>
      <c r="T69" s="25">
        <f t="shared" si="32"/>
        <v>7.0393847040000068E-2</v>
      </c>
      <c r="U69" s="25">
        <f t="shared" si="33"/>
        <v>7.2513888288749939E-2</v>
      </c>
      <c r="V69" s="25">
        <f t="shared" si="34"/>
        <v>7.4242835920000472E-2</v>
      </c>
      <c r="W69" s="25">
        <f t="shared" si="112"/>
        <v>5.9249829333333226E-2</v>
      </c>
      <c r="X69" s="36"/>
      <c r="Y69" s="36"/>
      <c r="AA69" s="124">
        <f t="shared" si="113"/>
        <v>26</v>
      </c>
      <c r="AB69" s="128">
        <f t="shared" si="35"/>
        <v>106171.56586666666</v>
      </c>
      <c r="AC69" s="124">
        <f t="shared" si="114"/>
        <v>26</v>
      </c>
      <c r="AD69" s="130">
        <f t="shared" si="115"/>
        <v>4.2500000000000003E-2</v>
      </c>
      <c r="AE69" s="127">
        <f t="shared" si="116"/>
        <v>1080</v>
      </c>
      <c r="AF69" s="128">
        <f t="shared" si="117"/>
        <v>107895.8</v>
      </c>
      <c r="AG69" s="128">
        <f t="shared" si="140"/>
        <v>108000</v>
      </c>
      <c r="AH69" s="128">
        <f t="shared" si="118"/>
        <v>108000</v>
      </c>
      <c r="AI69" s="130">
        <f t="shared" si="36"/>
        <v>4.2500000000000003E-2</v>
      </c>
      <c r="AJ69" s="128">
        <f t="shared" si="37"/>
        <v>108382.50000000001</v>
      </c>
      <c r="AK69" s="128" t="str">
        <f t="shared" si="38"/>
        <v>nie</v>
      </c>
      <c r="AL69" s="128">
        <f t="shared" si="39"/>
        <v>540</v>
      </c>
      <c r="AM69" s="128">
        <f t="shared" si="150"/>
        <v>107872.42500000002</v>
      </c>
      <c r="AN69" s="128">
        <f t="shared" si="41"/>
        <v>309.82500000001181</v>
      </c>
      <c r="AO69" s="130">
        <f t="shared" si="42"/>
        <v>4.2500000000000003E-2</v>
      </c>
      <c r="AP69" s="128">
        <f t="shared" si="43"/>
        <v>656.33839730588898</v>
      </c>
      <c r="AQ69" s="128">
        <f t="shared" si="156"/>
        <v>108218.9383973059</v>
      </c>
      <c r="AS69" s="124">
        <f t="shared" si="119"/>
        <v>26</v>
      </c>
      <c r="AT69" s="130">
        <f t="shared" si="120"/>
        <v>4.2500000000000003E-2</v>
      </c>
      <c r="AU69" s="127">
        <f t="shared" si="121"/>
        <v>1077</v>
      </c>
      <c r="AV69" s="128">
        <f t="shared" si="122"/>
        <v>107599.70000000001</v>
      </c>
      <c r="AW69" s="128">
        <f t="shared" si="151"/>
        <v>107700</v>
      </c>
      <c r="AX69" s="128">
        <f t="shared" si="123"/>
        <v>107700</v>
      </c>
      <c r="AY69" s="130">
        <f t="shared" si="45"/>
        <v>4.4000000000000004E-2</v>
      </c>
      <c r="AZ69" s="128">
        <f t="shared" si="46"/>
        <v>108094.90000000001</v>
      </c>
      <c r="BA69" s="128" t="str">
        <f t="shared" si="47"/>
        <v>nie</v>
      </c>
      <c r="BB69" s="128">
        <f t="shared" si="48"/>
        <v>753.9</v>
      </c>
      <c r="BC69" s="128">
        <f t="shared" si="158"/>
        <v>107409.21</v>
      </c>
      <c r="BD69" s="128">
        <f t="shared" si="50"/>
        <v>319.86900000000708</v>
      </c>
      <c r="BE69" s="130">
        <f t="shared" si="51"/>
        <v>4.2500000000000003E-2</v>
      </c>
      <c r="BF69" s="128">
        <f t="shared" si="52"/>
        <v>709.62932954138273</v>
      </c>
      <c r="BG69" s="128">
        <f t="shared" si="159"/>
        <v>107798.97032954138</v>
      </c>
      <c r="BI69" s="124">
        <f t="shared" si="124"/>
        <v>26</v>
      </c>
      <c r="BJ69" s="130">
        <f t="shared" si="148"/>
        <v>4.1300000000000003E-2</v>
      </c>
      <c r="BK69" s="127">
        <f t="shared" si="125"/>
        <v>1000</v>
      </c>
      <c r="BL69" s="128">
        <f t="shared" si="126"/>
        <v>100000</v>
      </c>
      <c r="BM69" s="128">
        <f t="shared" si="142"/>
        <v>100000</v>
      </c>
      <c r="BN69" s="128">
        <f t="shared" si="127"/>
        <v>109516.22499999999</v>
      </c>
      <c r="BO69" s="130">
        <f t="shared" si="54"/>
        <v>4.65E-2</v>
      </c>
      <c r="BP69" s="128">
        <f t="shared" si="55"/>
        <v>110364.97574374998</v>
      </c>
      <c r="BQ69" s="128" t="str">
        <f t="shared" si="56"/>
        <v>nie</v>
      </c>
      <c r="BR69" s="128">
        <f t="shared" si="57"/>
        <v>1000</v>
      </c>
      <c r="BS69" s="128">
        <f t="shared" si="153"/>
        <v>107585.63035243748</v>
      </c>
      <c r="BT69" s="128">
        <f t="shared" si="128"/>
        <v>0</v>
      </c>
      <c r="BU69" s="130">
        <f t="shared" si="59"/>
        <v>4.2500000000000003E-2</v>
      </c>
      <c r="BV69" s="128">
        <f t="shared" si="60"/>
        <v>0</v>
      </c>
      <c r="BW69" s="128">
        <f t="shared" si="61"/>
        <v>107585.63035243748</v>
      </c>
      <c r="BY69" s="130">
        <f t="shared" si="149"/>
        <v>2.8000000000000001E-2</v>
      </c>
      <c r="BZ69" s="127">
        <f t="shared" si="129"/>
        <v>1000</v>
      </c>
      <c r="CA69" s="128">
        <f t="shared" si="130"/>
        <v>100000</v>
      </c>
      <c r="CB69" s="128">
        <f t="shared" si="154"/>
        <v>100000</v>
      </c>
      <c r="CC69" s="128">
        <f t="shared" si="131"/>
        <v>100000</v>
      </c>
      <c r="CD69" s="130">
        <f t="shared" si="62"/>
        <v>4.2999999999999997E-2</v>
      </c>
      <c r="CE69" s="128">
        <f t="shared" si="63"/>
        <v>100716.66666666667</v>
      </c>
      <c r="CF69" s="128" t="str">
        <f t="shared" si="64"/>
        <v>nie</v>
      </c>
      <c r="CG69" s="128">
        <f t="shared" si="65"/>
        <v>2000</v>
      </c>
      <c r="CH69" s="128">
        <f t="shared" si="160"/>
        <v>98960.5</v>
      </c>
      <c r="CI69" s="128">
        <f t="shared" si="67"/>
        <v>0</v>
      </c>
      <c r="CJ69" s="130">
        <f t="shared" si="68"/>
        <v>4.2500000000000003E-2</v>
      </c>
      <c r="CK69" s="128">
        <f t="shared" si="69"/>
        <v>7718.7386479478937</v>
      </c>
      <c r="CL69" s="128">
        <f t="shared" si="70"/>
        <v>106679.23864794789</v>
      </c>
      <c r="CN69" s="127">
        <f t="shared" si="132"/>
        <v>1000</v>
      </c>
      <c r="CO69" s="128">
        <f t="shared" si="133"/>
        <v>100000</v>
      </c>
      <c r="CP69" s="128">
        <f t="shared" si="134"/>
        <v>100000</v>
      </c>
      <c r="CQ69" s="128">
        <f t="shared" si="135"/>
        <v>110668.8</v>
      </c>
      <c r="CR69" s="130">
        <f t="shared" si="71"/>
        <v>4.8000000000000001E-2</v>
      </c>
      <c r="CS69" s="128">
        <f t="shared" si="72"/>
        <v>111554.1504</v>
      </c>
      <c r="CT69" s="128" t="str">
        <f t="shared" si="73"/>
        <v>nie</v>
      </c>
      <c r="CU69" s="128">
        <f t="shared" si="74"/>
        <v>3000</v>
      </c>
      <c r="CV69" s="128">
        <f t="shared" si="75"/>
        <v>106928.86182399999</v>
      </c>
      <c r="CW69" s="128">
        <f t="shared" si="76"/>
        <v>0</v>
      </c>
      <c r="CX69" s="130">
        <f t="shared" si="77"/>
        <v>4.2500000000000003E-2</v>
      </c>
      <c r="CY69" s="128">
        <f t="shared" si="78"/>
        <v>0</v>
      </c>
      <c r="CZ69" s="128">
        <f t="shared" si="79"/>
        <v>106928.86182399999</v>
      </c>
      <c r="DA69" s="20"/>
      <c r="DB69" s="127">
        <f t="shared" si="144"/>
        <v>1000</v>
      </c>
      <c r="DC69" s="128">
        <f t="shared" si="145"/>
        <v>100000</v>
      </c>
      <c r="DD69" s="128">
        <f t="shared" si="136"/>
        <v>100000</v>
      </c>
      <c r="DE69" s="128">
        <f t="shared" si="137"/>
        <v>110249.60000000001</v>
      </c>
      <c r="DF69" s="130">
        <f t="shared" si="80"/>
        <v>4.8000000000000001E-2</v>
      </c>
      <c r="DG69" s="128">
        <f t="shared" si="81"/>
        <v>111131.59680000001</v>
      </c>
      <c r="DH69" s="128" t="str">
        <f t="shared" si="82"/>
        <v>nie</v>
      </c>
      <c r="DI69" s="128">
        <f t="shared" si="83"/>
        <v>2000</v>
      </c>
      <c r="DJ69" s="128">
        <f t="shared" si="84"/>
        <v>107396.59340800002</v>
      </c>
      <c r="DK69" s="128">
        <f t="shared" si="85"/>
        <v>0</v>
      </c>
      <c r="DL69" s="130">
        <f t="shared" si="86"/>
        <v>4.2500000000000003E-2</v>
      </c>
      <c r="DM69" s="128">
        <f t="shared" si="87"/>
        <v>0</v>
      </c>
      <c r="DN69" s="128">
        <f t="shared" si="88"/>
        <v>107396.59340800002</v>
      </c>
      <c r="DP69" s="127">
        <f t="shared" si="146"/>
        <v>1000</v>
      </c>
      <c r="DQ69" s="128">
        <f t="shared" si="147"/>
        <v>100000</v>
      </c>
      <c r="DR69" s="128">
        <f t="shared" si="138"/>
        <v>100000</v>
      </c>
      <c r="DS69" s="128">
        <f t="shared" si="139"/>
        <v>111460.04999999999</v>
      </c>
      <c r="DT69" s="130">
        <f t="shared" si="89"/>
        <v>5.3000000000000005E-2</v>
      </c>
      <c r="DU69" s="128">
        <f t="shared" si="90"/>
        <v>112444.61377499998</v>
      </c>
      <c r="DV69" s="128" t="str">
        <f t="shared" si="91"/>
        <v>nie</v>
      </c>
      <c r="DW69" s="128">
        <f t="shared" si="92"/>
        <v>3000</v>
      </c>
      <c r="DX69" s="128">
        <f t="shared" si="93"/>
        <v>107650.13715774998</v>
      </c>
      <c r="DY69" s="128">
        <f t="shared" si="94"/>
        <v>0</v>
      </c>
      <c r="DZ69" s="130">
        <f t="shared" si="95"/>
        <v>4.2500000000000003E-2</v>
      </c>
      <c r="EA69" s="128">
        <f t="shared" si="96"/>
        <v>0</v>
      </c>
      <c r="EB69" s="128">
        <f t="shared" si="97"/>
        <v>107650.13715774998</v>
      </c>
    </row>
    <row r="70" spans="1:137">
      <c r="A70" s="224"/>
      <c r="B70" s="188">
        <f t="shared" si="98"/>
        <v>26</v>
      </c>
      <c r="C70" s="128">
        <f t="shared" si="99"/>
        <v>108218.9383973059</v>
      </c>
      <c r="D70" s="128">
        <f t="shared" si="100"/>
        <v>107798.97032954138</v>
      </c>
      <c r="E70" s="128">
        <f t="shared" si="101"/>
        <v>107585.63035243748</v>
      </c>
      <c r="F70" s="128">
        <f t="shared" si="102"/>
        <v>106679.23864794789</v>
      </c>
      <c r="G70" s="128">
        <f t="shared" si="103"/>
        <v>106928.86182399999</v>
      </c>
      <c r="H70" s="128">
        <f t="shared" si="104"/>
        <v>107396.59340800002</v>
      </c>
      <c r="I70" s="128">
        <f t="shared" si="105"/>
        <v>107650.13715774998</v>
      </c>
      <c r="J70" s="128">
        <f t="shared" si="106"/>
        <v>107732.45700555458</v>
      </c>
      <c r="K70" s="128">
        <f t="shared" si="107"/>
        <v>106171.56586666666</v>
      </c>
      <c r="M70" s="36"/>
      <c r="N70" s="32">
        <f t="shared" si="108"/>
        <v>26</v>
      </c>
      <c r="O70" s="25">
        <f t="shared" si="109"/>
        <v>8.2189383973058971E-2</v>
      </c>
      <c r="P70" s="25">
        <f t="shared" si="110"/>
        <v>7.798970329541377E-2</v>
      </c>
      <c r="Q70" s="25">
        <f t="shared" si="111"/>
        <v>7.5856303524374891E-2</v>
      </c>
      <c r="R70" s="25">
        <f t="shared" si="30"/>
        <v>6.6792386479478827E-2</v>
      </c>
      <c r="S70" s="25">
        <f t="shared" si="31"/>
        <v>6.9288618239999877E-2</v>
      </c>
      <c r="T70" s="25">
        <f t="shared" si="32"/>
        <v>7.3965934080000073E-2</v>
      </c>
      <c r="U70" s="25">
        <f t="shared" si="33"/>
        <v>7.650137157749981E-2</v>
      </c>
      <c r="V70" s="25">
        <f t="shared" si="34"/>
        <v>7.7324570055545827E-2</v>
      </c>
      <c r="W70" s="25">
        <f t="shared" si="112"/>
        <v>6.1715658666666506E-2</v>
      </c>
      <c r="X70" s="36"/>
      <c r="Y70" s="36"/>
      <c r="AA70" s="124">
        <f t="shared" si="113"/>
        <v>27</v>
      </c>
      <c r="AB70" s="128">
        <f t="shared" si="35"/>
        <v>106418.14879999998</v>
      </c>
      <c r="AC70" s="124">
        <f t="shared" si="114"/>
        <v>27</v>
      </c>
      <c r="AD70" s="130">
        <f t="shared" si="115"/>
        <v>4.2500000000000003E-2</v>
      </c>
      <c r="AE70" s="127">
        <f t="shared" si="116"/>
        <v>1080</v>
      </c>
      <c r="AF70" s="128">
        <f t="shared" si="117"/>
        <v>107895.8</v>
      </c>
      <c r="AG70" s="128">
        <f t="shared" si="140"/>
        <v>108000</v>
      </c>
      <c r="AH70" s="128">
        <f t="shared" si="118"/>
        <v>108000</v>
      </c>
      <c r="AI70" s="130">
        <f t="shared" si="36"/>
        <v>4.2500000000000003E-2</v>
      </c>
      <c r="AJ70" s="128">
        <f t="shared" si="37"/>
        <v>108382.50000000001</v>
      </c>
      <c r="AK70" s="128" t="str">
        <f t="shared" si="38"/>
        <v>nie</v>
      </c>
      <c r="AL70" s="128">
        <f t="shared" si="39"/>
        <v>540</v>
      </c>
      <c r="AM70" s="128">
        <f t="shared" si="150"/>
        <v>107872.42500000002</v>
      </c>
      <c r="AN70" s="128">
        <f t="shared" si="41"/>
        <v>309.82500000001181</v>
      </c>
      <c r="AO70" s="130">
        <f t="shared" si="42"/>
        <v>4.2500000000000003E-2</v>
      </c>
      <c r="AP70" s="128">
        <f t="shared" si="43"/>
        <v>968.04626808317198</v>
      </c>
      <c r="AQ70" s="128">
        <f t="shared" si="156"/>
        <v>108530.64626808318</v>
      </c>
      <c r="AS70" s="124">
        <f t="shared" si="119"/>
        <v>27</v>
      </c>
      <c r="AT70" s="130">
        <f t="shared" si="120"/>
        <v>4.2500000000000003E-2</v>
      </c>
      <c r="AU70" s="127">
        <f t="shared" si="121"/>
        <v>1077</v>
      </c>
      <c r="AV70" s="128">
        <f t="shared" si="122"/>
        <v>107599.70000000001</v>
      </c>
      <c r="AW70" s="128">
        <f t="shared" si="151"/>
        <v>107700</v>
      </c>
      <c r="AX70" s="128">
        <f t="shared" si="123"/>
        <v>107700</v>
      </c>
      <c r="AY70" s="130">
        <f t="shared" si="45"/>
        <v>4.4000000000000004E-2</v>
      </c>
      <c r="AZ70" s="128">
        <f t="shared" si="46"/>
        <v>108094.90000000001</v>
      </c>
      <c r="BA70" s="128" t="str">
        <f t="shared" si="47"/>
        <v>nie</v>
      </c>
      <c r="BB70" s="128">
        <f t="shared" si="48"/>
        <v>753.9</v>
      </c>
      <c r="BC70" s="128">
        <f t="shared" si="158"/>
        <v>107409.21</v>
      </c>
      <c r="BD70" s="128">
        <f t="shared" si="50"/>
        <v>319.86900000000708</v>
      </c>
      <c r="BE70" s="130">
        <f t="shared" si="51"/>
        <v>4.2500000000000003E-2</v>
      </c>
      <c r="BF70" s="128">
        <f t="shared" si="52"/>
        <v>1031.5340786805116</v>
      </c>
      <c r="BG70" s="128">
        <f t="shared" si="159"/>
        <v>108120.87507868052</v>
      </c>
      <c r="BI70" s="124">
        <f t="shared" si="124"/>
        <v>27</v>
      </c>
      <c r="BJ70" s="130">
        <f t="shared" si="148"/>
        <v>4.1300000000000003E-2</v>
      </c>
      <c r="BK70" s="127">
        <f t="shared" si="125"/>
        <v>1000</v>
      </c>
      <c r="BL70" s="128">
        <f t="shared" si="126"/>
        <v>100000</v>
      </c>
      <c r="BM70" s="128">
        <f t="shared" si="142"/>
        <v>100000</v>
      </c>
      <c r="BN70" s="128">
        <f t="shared" si="127"/>
        <v>109516.22499999999</v>
      </c>
      <c r="BO70" s="130">
        <f t="shared" si="54"/>
        <v>4.65E-2</v>
      </c>
      <c r="BP70" s="128">
        <f t="shared" si="55"/>
        <v>110789.35111562499</v>
      </c>
      <c r="BQ70" s="128" t="str">
        <f t="shared" si="56"/>
        <v>nie</v>
      </c>
      <c r="BR70" s="128">
        <f t="shared" si="57"/>
        <v>1000</v>
      </c>
      <c r="BS70" s="128">
        <f t="shared" si="153"/>
        <v>107929.37440365624</v>
      </c>
      <c r="BT70" s="128">
        <f t="shared" si="128"/>
        <v>0</v>
      </c>
      <c r="BU70" s="130">
        <f t="shared" si="59"/>
        <v>4.2500000000000003E-2</v>
      </c>
      <c r="BV70" s="128">
        <f t="shared" si="60"/>
        <v>0</v>
      </c>
      <c r="BW70" s="128">
        <f t="shared" si="61"/>
        <v>107929.37440365624</v>
      </c>
      <c r="BY70" s="130">
        <f t="shared" si="149"/>
        <v>2.8000000000000001E-2</v>
      </c>
      <c r="BZ70" s="127">
        <f t="shared" si="129"/>
        <v>1000</v>
      </c>
      <c r="CA70" s="128">
        <f t="shared" si="130"/>
        <v>100000</v>
      </c>
      <c r="CB70" s="128">
        <f t="shared" si="154"/>
        <v>100000</v>
      </c>
      <c r="CC70" s="128">
        <f t="shared" si="131"/>
        <v>100000</v>
      </c>
      <c r="CD70" s="130">
        <f t="shared" si="62"/>
        <v>4.2999999999999997E-2</v>
      </c>
      <c r="CE70" s="128">
        <f t="shared" si="63"/>
        <v>101075</v>
      </c>
      <c r="CF70" s="128" t="str">
        <f t="shared" si="64"/>
        <v>nie</v>
      </c>
      <c r="CG70" s="128">
        <f t="shared" si="65"/>
        <v>2000</v>
      </c>
      <c r="CH70" s="128">
        <f t="shared" si="160"/>
        <v>99250.75</v>
      </c>
      <c r="CI70" s="128">
        <f t="shared" si="67"/>
        <v>0</v>
      </c>
      <c r="CJ70" s="130">
        <f t="shared" si="68"/>
        <v>4.2500000000000003E-2</v>
      </c>
      <c r="CK70" s="128">
        <f t="shared" si="69"/>
        <v>7740.8817794441939</v>
      </c>
      <c r="CL70" s="128">
        <f t="shared" si="70"/>
        <v>106991.6317794442</v>
      </c>
      <c r="CN70" s="127">
        <f t="shared" si="132"/>
        <v>1000</v>
      </c>
      <c r="CO70" s="128">
        <f t="shared" si="133"/>
        <v>100000</v>
      </c>
      <c r="CP70" s="128">
        <f t="shared" si="134"/>
        <v>100000</v>
      </c>
      <c r="CQ70" s="128">
        <f t="shared" si="135"/>
        <v>110668.8</v>
      </c>
      <c r="CR70" s="130">
        <f t="shared" si="71"/>
        <v>4.8000000000000001E-2</v>
      </c>
      <c r="CS70" s="128">
        <f t="shared" si="72"/>
        <v>111996.82560000001</v>
      </c>
      <c r="CT70" s="128" t="str">
        <f t="shared" si="73"/>
        <v>nie</v>
      </c>
      <c r="CU70" s="128">
        <f t="shared" si="74"/>
        <v>3000</v>
      </c>
      <c r="CV70" s="128">
        <f t="shared" si="75"/>
        <v>107287.428736</v>
      </c>
      <c r="CW70" s="128">
        <f t="shared" si="76"/>
        <v>0</v>
      </c>
      <c r="CX70" s="130">
        <f t="shared" si="77"/>
        <v>4.2500000000000003E-2</v>
      </c>
      <c r="CY70" s="128">
        <f t="shared" si="78"/>
        <v>0</v>
      </c>
      <c r="CZ70" s="128">
        <f t="shared" si="79"/>
        <v>107287.428736</v>
      </c>
      <c r="DA70" s="20"/>
      <c r="DB70" s="127">
        <f t="shared" si="144"/>
        <v>1000</v>
      </c>
      <c r="DC70" s="128">
        <f t="shared" si="145"/>
        <v>100000</v>
      </c>
      <c r="DD70" s="128">
        <f t="shared" si="136"/>
        <v>100000</v>
      </c>
      <c r="DE70" s="128">
        <f t="shared" si="137"/>
        <v>110249.60000000001</v>
      </c>
      <c r="DF70" s="130">
        <f t="shared" si="80"/>
        <v>4.8000000000000001E-2</v>
      </c>
      <c r="DG70" s="128">
        <f t="shared" si="81"/>
        <v>111572.59520000001</v>
      </c>
      <c r="DH70" s="128" t="str">
        <f t="shared" si="82"/>
        <v>nie</v>
      </c>
      <c r="DI70" s="128">
        <f t="shared" si="83"/>
        <v>2000</v>
      </c>
      <c r="DJ70" s="128">
        <f t="shared" si="84"/>
        <v>107753.802112</v>
      </c>
      <c r="DK70" s="128">
        <f t="shared" si="85"/>
        <v>0</v>
      </c>
      <c r="DL70" s="130">
        <f t="shared" si="86"/>
        <v>4.2500000000000003E-2</v>
      </c>
      <c r="DM70" s="128">
        <f t="shared" si="87"/>
        <v>0</v>
      </c>
      <c r="DN70" s="128">
        <f t="shared" si="88"/>
        <v>107753.802112</v>
      </c>
      <c r="DP70" s="127">
        <f t="shared" si="146"/>
        <v>1000</v>
      </c>
      <c r="DQ70" s="128">
        <f t="shared" si="147"/>
        <v>100000</v>
      </c>
      <c r="DR70" s="128">
        <f t="shared" si="138"/>
        <v>100000</v>
      </c>
      <c r="DS70" s="128">
        <f t="shared" si="139"/>
        <v>111460.04999999999</v>
      </c>
      <c r="DT70" s="130">
        <f t="shared" si="89"/>
        <v>5.3000000000000005E-2</v>
      </c>
      <c r="DU70" s="128">
        <f t="shared" si="90"/>
        <v>112936.89566249998</v>
      </c>
      <c r="DV70" s="128" t="str">
        <f t="shared" si="91"/>
        <v>nie</v>
      </c>
      <c r="DW70" s="128">
        <f t="shared" si="92"/>
        <v>3000</v>
      </c>
      <c r="DX70" s="128">
        <f t="shared" si="93"/>
        <v>108048.88548662499</v>
      </c>
      <c r="DY70" s="128">
        <f t="shared" si="94"/>
        <v>0</v>
      </c>
      <c r="DZ70" s="130">
        <f t="shared" si="95"/>
        <v>4.2500000000000003E-2</v>
      </c>
      <c r="EA70" s="128">
        <f t="shared" si="96"/>
        <v>0</v>
      </c>
      <c r="EB70" s="128">
        <f t="shared" si="97"/>
        <v>108048.88548662499</v>
      </c>
    </row>
    <row r="71" spans="1:137">
      <c r="A71" s="224"/>
      <c r="B71" s="188">
        <f t="shared" si="98"/>
        <v>27</v>
      </c>
      <c r="C71" s="128">
        <f t="shared" si="99"/>
        <v>108530.64626808318</v>
      </c>
      <c r="D71" s="128">
        <f t="shared" si="100"/>
        <v>108120.87507868052</v>
      </c>
      <c r="E71" s="128">
        <f t="shared" si="101"/>
        <v>107929.37440365624</v>
      </c>
      <c r="F71" s="128">
        <f t="shared" si="102"/>
        <v>106991.6317794442</v>
      </c>
      <c r="G71" s="128">
        <f t="shared" si="103"/>
        <v>107287.428736</v>
      </c>
      <c r="H71" s="128">
        <f t="shared" si="104"/>
        <v>107753.802112</v>
      </c>
      <c r="I71" s="128">
        <f t="shared" si="105"/>
        <v>108048.88548662499</v>
      </c>
      <c r="J71" s="128">
        <f t="shared" si="106"/>
        <v>108041.51449158926</v>
      </c>
      <c r="K71" s="128">
        <f t="shared" si="107"/>
        <v>106418.14879999998</v>
      </c>
      <c r="M71" s="36"/>
      <c r="N71" s="32">
        <f t="shared" si="108"/>
        <v>27</v>
      </c>
      <c r="O71" s="25">
        <f t="shared" si="109"/>
        <v>8.5306462680831752E-2</v>
      </c>
      <c r="P71" s="25">
        <f t="shared" si="110"/>
        <v>8.1208750786805117E-2</v>
      </c>
      <c r="Q71" s="25">
        <f t="shared" si="111"/>
        <v>7.9293744036562419E-2</v>
      </c>
      <c r="R71" s="25">
        <f t="shared" si="30"/>
        <v>6.9916317794441962E-2</v>
      </c>
      <c r="S71" s="25">
        <f t="shared" si="31"/>
        <v>7.2874287360000123E-2</v>
      </c>
      <c r="T71" s="25">
        <f t="shared" si="32"/>
        <v>7.7538021120000078E-2</v>
      </c>
      <c r="U71" s="25">
        <f t="shared" si="33"/>
        <v>8.0488854866249904E-2</v>
      </c>
      <c r="V71" s="25">
        <f t="shared" si="34"/>
        <v>8.0415144915892522E-2</v>
      </c>
      <c r="W71" s="25">
        <f t="shared" si="112"/>
        <v>6.4181487999999787E-2</v>
      </c>
      <c r="X71" s="36"/>
      <c r="Y71" s="36"/>
      <c r="AA71" s="124">
        <f t="shared" si="113"/>
        <v>28</v>
      </c>
      <c r="AB71" s="128">
        <f t="shared" si="35"/>
        <v>106664.73173333333</v>
      </c>
      <c r="AC71" s="124">
        <f t="shared" si="114"/>
        <v>28</v>
      </c>
      <c r="AD71" s="130">
        <f t="shared" si="115"/>
        <v>4.2500000000000003E-2</v>
      </c>
      <c r="AE71" s="127">
        <f t="shared" si="116"/>
        <v>1080</v>
      </c>
      <c r="AF71" s="128">
        <f t="shared" si="117"/>
        <v>107895.8</v>
      </c>
      <c r="AG71" s="128">
        <f t="shared" si="140"/>
        <v>108000</v>
      </c>
      <c r="AH71" s="128">
        <f t="shared" si="118"/>
        <v>108000</v>
      </c>
      <c r="AI71" s="130">
        <f t="shared" si="36"/>
        <v>4.2500000000000003E-2</v>
      </c>
      <c r="AJ71" s="128">
        <f t="shared" si="37"/>
        <v>108382.50000000001</v>
      </c>
      <c r="AK71" s="128" t="str">
        <f t="shared" si="38"/>
        <v>nie</v>
      </c>
      <c r="AL71" s="128">
        <f t="shared" si="39"/>
        <v>540</v>
      </c>
      <c r="AM71" s="128">
        <f t="shared" si="150"/>
        <v>107872.42500000002</v>
      </c>
      <c r="AN71" s="128">
        <f t="shared" si="41"/>
        <v>309.82500000001181</v>
      </c>
      <c r="AO71" s="130">
        <f t="shared" si="42"/>
        <v>4.2500000000000003E-2</v>
      </c>
      <c r="AP71" s="128">
        <f t="shared" si="43"/>
        <v>1280.6483508147473</v>
      </c>
      <c r="AQ71" s="128">
        <f t="shared" si="156"/>
        <v>108843.24835081476</v>
      </c>
      <c r="AS71" s="124">
        <f t="shared" si="119"/>
        <v>28</v>
      </c>
      <c r="AT71" s="130">
        <f t="shared" si="120"/>
        <v>4.2500000000000003E-2</v>
      </c>
      <c r="AU71" s="127">
        <f t="shared" si="121"/>
        <v>1077</v>
      </c>
      <c r="AV71" s="128">
        <f t="shared" si="122"/>
        <v>107599.70000000001</v>
      </c>
      <c r="AW71" s="128">
        <f t="shared" si="151"/>
        <v>107700</v>
      </c>
      <c r="AX71" s="128">
        <f t="shared" si="123"/>
        <v>107700</v>
      </c>
      <c r="AY71" s="130">
        <f t="shared" si="45"/>
        <v>4.4000000000000004E-2</v>
      </c>
      <c r="AZ71" s="128">
        <f t="shared" si="46"/>
        <v>108094.90000000001</v>
      </c>
      <c r="BA71" s="128" t="str">
        <f t="shared" si="47"/>
        <v>nie</v>
      </c>
      <c r="BB71" s="128">
        <f t="shared" si="48"/>
        <v>753.9</v>
      </c>
      <c r="BC71" s="128">
        <f t="shared" si="158"/>
        <v>107409.21</v>
      </c>
      <c r="BD71" s="128">
        <f t="shared" si="50"/>
        <v>319.86900000000708</v>
      </c>
      <c r="BE71" s="130">
        <f t="shared" si="51"/>
        <v>4.2500000000000003E-2</v>
      </c>
      <c r="BF71" s="128">
        <f t="shared" si="52"/>
        <v>1354.3622920687335</v>
      </c>
      <c r="BG71" s="128">
        <f t="shared" si="159"/>
        <v>108443.70329206873</v>
      </c>
      <c r="BI71" s="124">
        <f t="shared" si="124"/>
        <v>28</v>
      </c>
      <c r="BJ71" s="130">
        <f t="shared" si="148"/>
        <v>4.1300000000000003E-2</v>
      </c>
      <c r="BK71" s="127">
        <f t="shared" si="125"/>
        <v>1000</v>
      </c>
      <c r="BL71" s="128">
        <f t="shared" si="126"/>
        <v>100000</v>
      </c>
      <c r="BM71" s="128">
        <f t="shared" si="142"/>
        <v>100000</v>
      </c>
      <c r="BN71" s="128">
        <f t="shared" si="127"/>
        <v>109516.22499999999</v>
      </c>
      <c r="BO71" s="130">
        <f t="shared" si="54"/>
        <v>4.65E-2</v>
      </c>
      <c r="BP71" s="128">
        <f t="shared" si="55"/>
        <v>111213.7264875</v>
      </c>
      <c r="BQ71" s="128" t="str">
        <f t="shared" si="56"/>
        <v>nie</v>
      </c>
      <c r="BR71" s="128">
        <f t="shared" si="57"/>
        <v>1000</v>
      </c>
      <c r="BS71" s="128">
        <f t="shared" si="153"/>
        <v>108273.118454875</v>
      </c>
      <c r="BT71" s="128">
        <f t="shared" si="128"/>
        <v>0</v>
      </c>
      <c r="BU71" s="130">
        <f t="shared" si="59"/>
        <v>4.2500000000000003E-2</v>
      </c>
      <c r="BV71" s="128">
        <f t="shared" si="60"/>
        <v>0</v>
      </c>
      <c r="BW71" s="128">
        <f t="shared" si="61"/>
        <v>108273.118454875</v>
      </c>
      <c r="BY71" s="130">
        <f t="shared" si="149"/>
        <v>2.8000000000000001E-2</v>
      </c>
      <c r="BZ71" s="127">
        <f t="shared" si="129"/>
        <v>1000</v>
      </c>
      <c r="CA71" s="128">
        <f t="shared" si="130"/>
        <v>100000</v>
      </c>
      <c r="CB71" s="128">
        <f t="shared" si="154"/>
        <v>100000</v>
      </c>
      <c r="CC71" s="128">
        <f t="shared" si="131"/>
        <v>100000</v>
      </c>
      <c r="CD71" s="130">
        <f t="shared" si="62"/>
        <v>4.2999999999999997E-2</v>
      </c>
      <c r="CE71" s="128">
        <f t="shared" si="63"/>
        <v>101433.33333333333</v>
      </c>
      <c r="CF71" s="128" t="str">
        <f t="shared" si="64"/>
        <v>nie</v>
      </c>
      <c r="CG71" s="128">
        <f t="shared" si="65"/>
        <v>2000</v>
      </c>
      <c r="CH71" s="128">
        <f t="shared" si="160"/>
        <v>99541</v>
      </c>
      <c r="CI71" s="128">
        <f t="shared" si="67"/>
        <v>0</v>
      </c>
      <c r="CJ71" s="130">
        <f t="shared" si="68"/>
        <v>4.2500000000000003E-2</v>
      </c>
      <c r="CK71" s="128">
        <f t="shared" si="69"/>
        <v>7763.0884340489738</v>
      </c>
      <c r="CL71" s="128">
        <f t="shared" si="70"/>
        <v>107304.08843404897</v>
      </c>
      <c r="CN71" s="127">
        <f t="shared" si="132"/>
        <v>1000</v>
      </c>
      <c r="CO71" s="128">
        <f t="shared" si="133"/>
        <v>100000</v>
      </c>
      <c r="CP71" s="128">
        <f t="shared" si="134"/>
        <v>100000</v>
      </c>
      <c r="CQ71" s="128">
        <f t="shared" si="135"/>
        <v>110668.8</v>
      </c>
      <c r="CR71" s="130">
        <f t="shared" si="71"/>
        <v>4.8000000000000001E-2</v>
      </c>
      <c r="CS71" s="128">
        <f t="shared" si="72"/>
        <v>112439.50080000001</v>
      </c>
      <c r="CT71" s="128" t="str">
        <f t="shared" si="73"/>
        <v>nie</v>
      </c>
      <c r="CU71" s="128">
        <f t="shared" si="74"/>
        <v>3000</v>
      </c>
      <c r="CV71" s="128">
        <f t="shared" si="75"/>
        <v>107645.99564800001</v>
      </c>
      <c r="CW71" s="128">
        <f t="shared" si="76"/>
        <v>0</v>
      </c>
      <c r="CX71" s="130">
        <f t="shared" si="77"/>
        <v>4.2500000000000003E-2</v>
      </c>
      <c r="CY71" s="128">
        <f t="shared" si="78"/>
        <v>0</v>
      </c>
      <c r="CZ71" s="128">
        <f t="shared" si="79"/>
        <v>107645.99564800001</v>
      </c>
      <c r="DA71" s="20"/>
      <c r="DB71" s="127">
        <f t="shared" si="144"/>
        <v>1000</v>
      </c>
      <c r="DC71" s="128">
        <f t="shared" si="145"/>
        <v>100000</v>
      </c>
      <c r="DD71" s="128">
        <f t="shared" si="136"/>
        <v>100000</v>
      </c>
      <c r="DE71" s="128">
        <f t="shared" si="137"/>
        <v>110249.60000000001</v>
      </c>
      <c r="DF71" s="130">
        <f t="shared" si="80"/>
        <v>4.8000000000000001E-2</v>
      </c>
      <c r="DG71" s="128">
        <f t="shared" si="81"/>
        <v>112013.59360000001</v>
      </c>
      <c r="DH71" s="128" t="str">
        <f t="shared" si="82"/>
        <v>nie</v>
      </c>
      <c r="DI71" s="128">
        <f t="shared" si="83"/>
        <v>2000</v>
      </c>
      <c r="DJ71" s="128">
        <f t="shared" si="84"/>
        <v>108111.01081600001</v>
      </c>
      <c r="DK71" s="128">
        <f t="shared" si="85"/>
        <v>0</v>
      </c>
      <c r="DL71" s="130">
        <f t="shared" si="86"/>
        <v>4.2500000000000003E-2</v>
      </c>
      <c r="DM71" s="128">
        <f t="shared" si="87"/>
        <v>0</v>
      </c>
      <c r="DN71" s="128">
        <f t="shared" si="88"/>
        <v>108111.01081600001</v>
      </c>
      <c r="DP71" s="127">
        <f t="shared" si="146"/>
        <v>1000</v>
      </c>
      <c r="DQ71" s="128">
        <f t="shared" si="147"/>
        <v>100000</v>
      </c>
      <c r="DR71" s="128">
        <f t="shared" si="138"/>
        <v>100000</v>
      </c>
      <c r="DS71" s="128">
        <f t="shared" si="139"/>
        <v>111460.04999999999</v>
      </c>
      <c r="DT71" s="130">
        <f t="shared" si="89"/>
        <v>5.3000000000000005E-2</v>
      </c>
      <c r="DU71" s="128">
        <f t="shared" si="90"/>
        <v>113429.17754999999</v>
      </c>
      <c r="DV71" s="128" t="str">
        <f t="shared" si="91"/>
        <v>nie</v>
      </c>
      <c r="DW71" s="128">
        <f t="shared" si="92"/>
        <v>3000</v>
      </c>
      <c r="DX71" s="128">
        <f t="shared" si="93"/>
        <v>108447.6338155</v>
      </c>
      <c r="DY71" s="128">
        <f t="shared" si="94"/>
        <v>0</v>
      </c>
      <c r="DZ71" s="130">
        <f t="shared" si="95"/>
        <v>4.2500000000000003E-2</v>
      </c>
      <c r="EA71" s="128">
        <f t="shared" si="96"/>
        <v>0</v>
      </c>
      <c r="EB71" s="128">
        <f t="shared" si="97"/>
        <v>108447.6338155</v>
      </c>
    </row>
    <row r="72" spans="1:137">
      <c r="A72" s="224"/>
      <c r="B72" s="188">
        <f t="shared" si="98"/>
        <v>28</v>
      </c>
      <c r="C72" s="128">
        <f t="shared" si="99"/>
        <v>108843.24835081476</v>
      </c>
      <c r="D72" s="128">
        <f t="shared" si="100"/>
        <v>108443.70329206873</v>
      </c>
      <c r="E72" s="128">
        <f t="shared" si="101"/>
        <v>108273.118454875</v>
      </c>
      <c r="F72" s="128">
        <f t="shared" si="102"/>
        <v>107304.08843404897</v>
      </c>
      <c r="G72" s="128">
        <f t="shared" si="103"/>
        <v>107645.99564800001</v>
      </c>
      <c r="H72" s="128">
        <f t="shared" si="104"/>
        <v>108111.01081600001</v>
      </c>
      <c r="I72" s="128">
        <f t="shared" si="105"/>
        <v>108447.6338155</v>
      </c>
      <c r="J72" s="128">
        <f t="shared" si="106"/>
        <v>108351.458586287</v>
      </c>
      <c r="K72" s="128">
        <f t="shared" si="107"/>
        <v>106664.73173333333</v>
      </c>
      <c r="M72" s="36"/>
      <c r="N72" s="32">
        <f t="shared" si="108"/>
        <v>28</v>
      </c>
      <c r="O72" s="25">
        <f t="shared" si="109"/>
        <v>8.8432483508147586E-2</v>
      </c>
      <c r="P72" s="25">
        <f t="shared" si="110"/>
        <v>8.4437032920687383E-2</v>
      </c>
      <c r="Q72" s="25">
        <f t="shared" si="111"/>
        <v>8.2731184548749948E-2</v>
      </c>
      <c r="R72" s="25">
        <f t="shared" si="30"/>
        <v>7.304088434048972E-2</v>
      </c>
      <c r="S72" s="25">
        <f t="shared" si="31"/>
        <v>7.6459956480000146E-2</v>
      </c>
      <c r="T72" s="25">
        <f t="shared" si="32"/>
        <v>8.1110108160000083E-2</v>
      </c>
      <c r="U72" s="25">
        <f t="shared" si="33"/>
        <v>8.4476338154999997E-2</v>
      </c>
      <c r="V72" s="25">
        <f t="shared" si="34"/>
        <v>8.3514585862870083E-2</v>
      </c>
      <c r="W72" s="25">
        <f t="shared" si="112"/>
        <v>6.6647317333333289E-2</v>
      </c>
      <c r="X72" s="36"/>
      <c r="Y72" s="36"/>
      <c r="AA72" s="124">
        <f t="shared" si="113"/>
        <v>29</v>
      </c>
      <c r="AB72" s="128">
        <f t="shared" si="35"/>
        <v>106911.31466666667</v>
      </c>
      <c r="AC72" s="124">
        <f t="shared" si="114"/>
        <v>29</v>
      </c>
      <c r="AD72" s="130">
        <f t="shared" si="115"/>
        <v>4.2500000000000003E-2</v>
      </c>
      <c r="AE72" s="127">
        <f t="shared" si="116"/>
        <v>1080</v>
      </c>
      <c r="AF72" s="128">
        <f t="shared" si="117"/>
        <v>107895.8</v>
      </c>
      <c r="AG72" s="128">
        <f t="shared" si="140"/>
        <v>108000</v>
      </c>
      <c r="AH72" s="128">
        <f t="shared" si="118"/>
        <v>108000</v>
      </c>
      <c r="AI72" s="130">
        <f t="shared" si="36"/>
        <v>4.2500000000000003E-2</v>
      </c>
      <c r="AJ72" s="128">
        <f t="shared" si="37"/>
        <v>108382.50000000001</v>
      </c>
      <c r="AK72" s="128" t="str">
        <f t="shared" si="38"/>
        <v>nie</v>
      </c>
      <c r="AL72" s="128">
        <f t="shared" si="39"/>
        <v>540</v>
      </c>
      <c r="AM72" s="128">
        <f t="shared" si="150"/>
        <v>107872.42500000002</v>
      </c>
      <c r="AN72" s="128">
        <f t="shared" si="41"/>
        <v>309.82500000001181</v>
      </c>
      <c r="AO72" s="130">
        <f t="shared" si="42"/>
        <v>4.2500000000000003E-2</v>
      </c>
      <c r="AP72" s="128">
        <f t="shared" si="43"/>
        <v>1594.1472107711591</v>
      </c>
      <c r="AQ72" s="128">
        <f t="shared" si="156"/>
        <v>109156.74721077117</v>
      </c>
      <c r="AS72" s="124">
        <f t="shared" si="119"/>
        <v>29</v>
      </c>
      <c r="AT72" s="130">
        <f t="shared" si="120"/>
        <v>4.2500000000000003E-2</v>
      </c>
      <c r="AU72" s="127">
        <f t="shared" si="121"/>
        <v>1077</v>
      </c>
      <c r="AV72" s="128">
        <f t="shared" si="122"/>
        <v>107599.70000000001</v>
      </c>
      <c r="AW72" s="128">
        <f t="shared" si="151"/>
        <v>107700</v>
      </c>
      <c r="AX72" s="128">
        <f t="shared" si="123"/>
        <v>107700</v>
      </c>
      <c r="AY72" s="130">
        <f t="shared" si="45"/>
        <v>4.4000000000000004E-2</v>
      </c>
      <c r="AZ72" s="128">
        <f t="shared" si="46"/>
        <v>108094.90000000001</v>
      </c>
      <c r="BA72" s="128" t="str">
        <f t="shared" si="47"/>
        <v>nie</v>
      </c>
      <c r="BB72" s="128">
        <f t="shared" si="48"/>
        <v>753.9</v>
      </c>
      <c r="BC72" s="128">
        <f t="shared" si="158"/>
        <v>107409.21</v>
      </c>
      <c r="BD72" s="128">
        <f t="shared" si="50"/>
        <v>319.86900000000708</v>
      </c>
      <c r="BE72" s="130">
        <f t="shared" si="51"/>
        <v>4.2500000000000003E-2</v>
      </c>
      <c r="BF72" s="128">
        <f t="shared" si="52"/>
        <v>1678.1166188941129</v>
      </c>
      <c r="BG72" s="128">
        <f t="shared" si="159"/>
        <v>108767.45761889411</v>
      </c>
      <c r="BI72" s="124">
        <f t="shared" si="124"/>
        <v>29</v>
      </c>
      <c r="BJ72" s="130">
        <f t="shared" si="148"/>
        <v>4.1300000000000003E-2</v>
      </c>
      <c r="BK72" s="127">
        <f t="shared" si="125"/>
        <v>1000</v>
      </c>
      <c r="BL72" s="128">
        <f t="shared" si="126"/>
        <v>100000</v>
      </c>
      <c r="BM72" s="128">
        <f t="shared" si="142"/>
        <v>100000</v>
      </c>
      <c r="BN72" s="128">
        <f t="shared" si="127"/>
        <v>109516.22499999999</v>
      </c>
      <c r="BO72" s="130">
        <f t="shared" si="54"/>
        <v>4.65E-2</v>
      </c>
      <c r="BP72" s="128">
        <f t="shared" si="55"/>
        <v>111638.10185937498</v>
      </c>
      <c r="BQ72" s="128" t="str">
        <f t="shared" si="56"/>
        <v>nie</v>
      </c>
      <c r="BR72" s="128">
        <f t="shared" si="57"/>
        <v>1000</v>
      </c>
      <c r="BS72" s="128">
        <f t="shared" si="153"/>
        <v>108616.86250609373</v>
      </c>
      <c r="BT72" s="128">
        <f t="shared" si="128"/>
        <v>0</v>
      </c>
      <c r="BU72" s="130">
        <f t="shared" si="59"/>
        <v>4.2500000000000003E-2</v>
      </c>
      <c r="BV72" s="128">
        <f t="shared" si="60"/>
        <v>0</v>
      </c>
      <c r="BW72" s="128">
        <f t="shared" si="61"/>
        <v>108616.86250609373</v>
      </c>
      <c r="BY72" s="130">
        <f t="shared" si="149"/>
        <v>2.8000000000000001E-2</v>
      </c>
      <c r="BZ72" s="127">
        <f t="shared" si="129"/>
        <v>1000</v>
      </c>
      <c r="CA72" s="128">
        <f t="shared" si="130"/>
        <v>100000</v>
      </c>
      <c r="CB72" s="128">
        <f t="shared" si="154"/>
        <v>100000</v>
      </c>
      <c r="CC72" s="128">
        <f t="shared" si="131"/>
        <v>100000</v>
      </c>
      <c r="CD72" s="130">
        <f t="shared" si="62"/>
        <v>4.2999999999999997E-2</v>
      </c>
      <c r="CE72" s="128">
        <f t="shared" si="63"/>
        <v>101791.66666666666</v>
      </c>
      <c r="CF72" s="128" t="str">
        <f t="shared" si="64"/>
        <v>nie</v>
      </c>
      <c r="CG72" s="128">
        <f t="shared" si="65"/>
        <v>2000</v>
      </c>
      <c r="CH72" s="128">
        <f t="shared" si="160"/>
        <v>99831.249999999985</v>
      </c>
      <c r="CI72" s="128">
        <f t="shared" si="67"/>
        <v>0</v>
      </c>
      <c r="CJ72" s="130">
        <f t="shared" si="68"/>
        <v>4.2500000000000003E-2</v>
      </c>
      <c r="CK72" s="128">
        <f t="shared" si="69"/>
        <v>7785.3587939941517</v>
      </c>
      <c r="CL72" s="128">
        <f t="shared" si="70"/>
        <v>107616.60879399414</v>
      </c>
      <c r="CN72" s="127">
        <f t="shared" si="132"/>
        <v>1000</v>
      </c>
      <c r="CO72" s="128">
        <f t="shared" si="133"/>
        <v>100000</v>
      </c>
      <c r="CP72" s="128">
        <f t="shared" si="134"/>
        <v>100000</v>
      </c>
      <c r="CQ72" s="128">
        <f t="shared" si="135"/>
        <v>110668.8</v>
      </c>
      <c r="CR72" s="130">
        <f t="shared" si="71"/>
        <v>4.8000000000000001E-2</v>
      </c>
      <c r="CS72" s="128">
        <f t="shared" si="72"/>
        <v>112882.17600000001</v>
      </c>
      <c r="CT72" s="128" t="str">
        <f t="shared" si="73"/>
        <v>nie</v>
      </c>
      <c r="CU72" s="128">
        <f t="shared" si="74"/>
        <v>3000</v>
      </c>
      <c r="CV72" s="128">
        <f t="shared" si="75"/>
        <v>108004.56256000001</v>
      </c>
      <c r="CW72" s="128">
        <f t="shared" si="76"/>
        <v>0</v>
      </c>
      <c r="CX72" s="130">
        <f t="shared" si="77"/>
        <v>4.2500000000000003E-2</v>
      </c>
      <c r="CY72" s="128">
        <f t="shared" si="78"/>
        <v>0</v>
      </c>
      <c r="CZ72" s="128">
        <f t="shared" si="79"/>
        <v>108004.56256000001</v>
      </c>
      <c r="DA72" s="20"/>
      <c r="DB72" s="127">
        <f t="shared" si="144"/>
        <v>1000</v>
      </c>
      <c r="DC72" s="128">
        <f t="shared" si="145"/>
        <v>100000</v>
      </c>
      <c r="DD72" s="128">
        <f t="shared" si="136"/>
        <v>100000</v>
      </c>
      <c r="DE72" s="128">
        <f t="shared" si="137"/>
        <v>110249.60000000001</v>
      </c>
      <c r="DF72" s="130">
        <f t="shared" si="80"/>
        <v>4.8000000000000001E-2</v>
      </c>
      <c r="DG72" s="128">
        <f t="shared" si="81"/>
        <v>112454.592</v>
      </c>
      <c r="DH72" s="128" t="str">
        <f t="shared" si="82"/>
        <v>nie</v>
      </c>
      <c r="DI72" s="128">
        <f t="shared" si="83"/>
        <v>2000</v>
      </c>
      <c r="DJ72" s="128">
        <f t="shared" si="84"/>
        <v>108468.21952</v>
      </c>
      <c r="DK72" s="128">
        <f t="shared" si="85"/>
        <v>0</v>
      </c>
      <c r="DL72" s="130">
        <f t="shared" si="86"/>
        <v>4.2500000000000003E-2</v>
      </c>
      <c r="DM72" s="128">
        <f t="shared" si="87"/>
        <v>0</v>
      </c>
      <c r="DN72" s="128">
        <f t="shared" si="88"/>
        <v>108468.21952</v>
      </c>
      <c r="DP72" s="127">
        <f t="shared" si="146"/>
        <v>1000</v>
      </c>
      <c r="DQ72" s="128">
        <f t="shared" si="147"/>
        <v>100000</v>
      </c>
      <c r="DR72" s="128">
        <f t="shared" si="138"/>
        <v>100000</v>
      </c>
      <c r="DS72" s="128">
        <f t="shared" si="139"/>
        <v>111460.04999999999</v>
      </c>
      <c r="DT72" s="130">
        <f t="shared" si="89"/>
        <v>5.3000000000000005E-2</v>
      </c>
      <c r="DU72" s="128">
        <f t="shared" si="90"/>
        <v>113921.45943749997</v>
      </c>
      <c r="DV72" s="128" t="str">
        <f t="shared" si="91"/>
        <v>nie</v>
      </c>
      <c r="DW72" s="128">
        <f t="shared" si="92"/>
        <v>3000</v>
      </c>
      <c r="DX72" s="128">
        <f t="shared" si="93"/>
        <v>108846.38214437498</v>
      </c>
      <c r="DY72" s="128">
        <f t="shared" si="94"/>
        <v>0</v>
      </c>
      <c r="DZ72" s="130">
        <f t="shared" si="95"/>
        <v>4.2500000000000003E-2</v>
      </c>
      <c r="EA72" s="128">
        <f t="shared" si="96"/>
        <v>0</v>
      </c>
      <c r="EB72" s="128">
        <f t="shared" si="97"/>
        <v>108846.38214437498</v>
      </c>
    </row>
    <row r="73" spans="1:137">
      <c r="A73" s="224"/>
      <c r="B73" s="188">
        <f t="shared" si="98"/>
        <v>29</v>
      </c>
      <c r="C73" s="128">
        <f t="shared" si="99"/>
        <v>109156.74721077117</v>
      </c>
      <c r="D73" s="128">
        <f t="shared" si="100"/>
        <v>108767.45761889411</v>
      </c>
      <c r="E73" s="128">
        <f t="shared" si="101"/>
        <v>108616.86250609373</v>
      </c>
      <c r="F73" s="128">
        <f t="shared" si="102"/>
        <v>107616.60879399414</v>
      </c>
      <c r="G73" s="128">
        <f t="shared" si="103"/>
        <v>108004.56256000001</v>
      </c>
      <c r="H73" s="128">
        <f t="shared" si="104"/>
        <v>108468.21952</v>
      </c>
      <c r="I73" s="128">
        <f t="shared" si="105"/>
        <v>108846.38214437498</v>
      </c>
      <c r="J73" s="128">
        <f t="shared" si="106"/>
        <v>108662.29183310641</v>
      </c>
      <c r="K73" s="128">
        <f t="shared" si="107"/>
        <v>106911.31466666667</v>
      </c>
      <c r="M73" s="36"/>
      <c r="N73" s="32">
        <f t="shared" si="108"/>
        <v>29</v>
      </c>
      <c r="O73" s="25">
        <f t="shared" si="109"/>
        <v>9.1567472107711545E-2</v>
      </c>
      <c r="P73" s="25">
        <f t="shared" si="110"/>
        <v>8.7674576188941034E-2</v>
      </c>
      <c r="Q73" s="25">
        <f t="shared" si="111"/>
        <v>8.6168625060937254E-2</v>
      </c>
      <c r="R73" s="25">
        <f t="shared" si="30"/>
        <v>7.6166087939941285E-2</v>
      </c>
      <c r="S73" s="25">
        <f t="shared" si="31"/>
        <v>8.0045625599999948E-2</v>
      </c>
      <c r="T73" s="25">
        <f t="shared" si="32"/>
        <v>8.4682195200000088E-2</v>
      </c>
      <c r="U73" s="25">
        <f t="shared" si="33"/>
        <v>8.8463821443749868E-2</v>
      </c>
      <c r="V73" s="25">
        <f t="shared" si="34"/>
        <v>8.6622918331064058E-2</v>
      </c>
      <c r="W73" s="25">
        <f t="shared" si="112"/>
        <v>6.9113146666666792E-2</v>
      </c>
      <c r="X73" s="36"/>
      <c r="Y73" s="36"/>
      <c r="AA73" s="124">
        <f t="shared" si="113"/>
        <v>30</v>
      </c>
      <c r="AB73" s="128">
        <f t="shared" si="35"/>
        <v>107157.8976</v>
      </c>
      <c r="AC73" s="124">
        <f t="shared" si="114"/>
        <v>30</v>
      </c>
      <c r="AD73" s="130">
        <f t="shared" si="115"/>
        <v>4.2500000000000003E-2</v>
      </c>
      <c r="AE73" s="127">
        <f t="shared" si="116"/>
        <v>1080</v>
      </c>
      <c r="AF73" s="128">
        <f t="shared" si="117"/>
        <v>107895.8</v>
      </c>
      <c r="AG73" s="128">
        <f t="shared" si="140"/>
        <v>108000</v>
      </c>
      <c r="AH73" s="128">
        <f t="shared" si="118"/>
        <v>108000</v>
      </c>
      <c r="AI73" s="130">
        <f t="shared" si="36"/>
        <v>4.2500000000000003E-2</v>
      </c>
      <c r="AJ73" s="128">
        <f t="shared" si="37"/>
        <v>108382.50000000001</v>
      </c>
      <c r="AK73" s="128" t="str">
        <f t="shared" si="38"/>
        <v>nie</v>
      </c>
      <c r="AL73" s="128">
        <f t="shared" si="39"/>
        <v>540</v>
      </c>
      <c r="AM73" s="128">
        <f t="shared" si="150"/>
        <v>107872.42500000002</v>
      </c>
      <c r="AN73" s="128">
        <f t="shared" si="41"/>
        <v>309.82500000001181</v>
      </c>
      <c r="AO73" s="130">
        <f t="shared" si="42"/>
        <v>4.2500000000000003E-2</v>
      </c>
      <c r="AP73" s="128">
        <f t="shared" si="43"/>
        <v>1908.5454205820706</v>
      </c>
      <c r="AQ73" s="128">
        <f t="shared" si="156"/>
        <v>109471.14542058208</v>
      </c>
      <c r="AS73" s="124">
        <f t="shared" si="119"/>
        <v>30</v>
      </c>
      <c r="AT73" s="130">
        <f t="shared" si="120"/>
        <v>4.2500000000000003E-2</v>
      </c>
      <c r="AU73" s="127">
        <f t="shared" si="121"/>
        <v>1077</v>
      </c>
      <c r="AV73" s="128">
        <f t="shared" si="122"/>
        <v>107599.70000000001</v>
      </c>
      <c r="AW73" s="128">
        <f t="shared" si="151"/>
        <v>107700</v>
      </c>
      <c r="AX73" s="128">
        <f t="shared" si="123"/>
        <v>107700</v>
      </c>
      <c r="AY73" s="130">
        <f t="shared" si="45"/>
        <v>4.4000000000000004E-2</v>
      </c>
      <c r="AZ73" s="128">
        <f t="shared" si="46"/>
        <v>108094.90000000001</v>
      </c>
      <c r="BA73" s="128" t="str">
        <f t="shared" si="47"/>
        <v>nie</v>
      </c>
      <c r="BB73" s="128">
        <f t="shared" si="48"/>
        <v>753.9</v>
      </c>
      <c r="BC73" s="128">
        <f t="shared" si="158"/>
        <v>107409.21</v>
      </c>
      <c r="BD73" s="128">
        <f t="shared" si="50"/>
        <v>319.86900000000708</v>
      </c>
      <c r="BE73" s="130">
        <f t="shared" si="51"/>
        <v>4.2500000000000003E-2</v>
      </c>
      <c r="BF73" s="128">
        <f t="shared" si="52"/>
        <v>2002.7997159445722</v>
      </c>
      <c r="BG73" s="128">
        <f t="shared" si="159"/>
        <v>109092.14071594457</v>
      </c>
      <c r="BI73" s="124">
        <f t="shared" si="124"/>
        <v>30</v>
      </c>
      <c r="BJ73" s="130">
        <f t="shared" si="148"/>
        <v>4.1300000000000003E-2</v>
      </c>
      <c r="BK73" s="127">
        <f t="shared" si="125"/>
        <v>1000</v>
      </c>
      <c r="BL73" s="128">
        <f t="shared" si="126"/>
        <v>100000</v>
      </c>
      <c r="BM73" s="128">
        <f t="shared" si="142"/>
        <v>100000</v>
      </c>
      <c r="BN73" s="128">
        <f t="shared" si="127"/>
        <v>109516.22499999999</v>
      </c>
      <c r="BO73" s="130">
        <f t="shared" si="54"/>
        <v>4.65E-2</v>
      </c>
      <c r="BP73" s="128">
        <f t="shared" si="55"/>
        <v>112062.47723124998</v>
      </c>
      <c r="BQ73" s="128" t="str">
        <f t="shared" si="56"/>
        <v>nie</v>
      </c>
      <c r="BR73" s="128">
        <f t="shared" si="57"/>
        <v>1000</v>
      </c>
      <c r="BS73" s="128">
        <f t="shared" si="153"/>
        <v>108960.60655731249</v>
      </c>
      <c r="BT73" s="128">
        <f t="shared" si="128"/>
        <v>0</v>
      </c>
      <c r="BU73" s="130">
        <f t="shared" si="59"/>
        <v>4.2500000000000003E-2</v>
      </c>
      <c r="BV73" s="128">
        <f t="shared" si="60"/>
        <v>0</v>
      </c>
      <c r="BW73" s="128">
        <f t="shared" si="61"/>
        <v>108960.60655731249</v>
      </c>
      <c r="BY73" s="130">
        <f t="shared" si="149"/>
        <v>2.8000000000000001E-2</v>
      </c>
      <c r="BZ73" s="127">
        <f t="shared" si="129"/>
        <v>1000</v>
      </c>
      <c r="CA73" s="128">
        <f t="shared" si="130"/>
        <v>100000</v>
      </c>
      <c r="CB73" s="128">
        <f t="shared" si="154"/>
        <v>100000</v>
      </c>
      <c r="CC73" s="128">
        <f t="shared" si="131"/>
        <v>100000</v>
      </c>
      <c r="CD73" s="130">
        <f t="shared" si="62"/>
        <v>4.2999999999999997E-2</v>
      </c>
      <c r="CE73" s="128">
        <f t="shared" si="63"/>
        <v>102150.00000000001</v>
      </c>
      <c r="CF73" s="128" t="str">
        <f t="shared" si="64"/>
        <v>nie</v>
      </c>
      <c r="CG73" s="128">
        <f t="shared" si="65"/>
        <v>2000</v>
      </c>
      <c r="CH73" s="128">
        <f t="shared" si="160"/>
        <v>100121.50000000001</v>
      </c>
      <c r="CI73" s="128">
        <f t="shared" si="67"/>
        <v>0</v>
      </c>
      <c r="CJ73" s="130">
        <f t="shared" si="68"/>
        <v>4.2500000000000003E-2</v>
      </c>
      <c r="CK73" s="128">
        <f t="shared" si="69"/>
        <v>7807.6930420344224</v>
      </c>
      <c r="CL73" s="128">
        <f t="shared" si="70"/>
        <v>107929.19304203444</v>
      </c>
      <c r="CN73" s="127">
        <f t="shared" si="132"/>
        <v>1000</v>
      </c>
      <c r="CO73" s="128">
        <f t="shared" si="133"/>
        <v>100000</v>
      </c>
      <c r="CP73" s="128">
        <f t="shared" si="134"/>
        <v>100000</v>
      </c>
      <c r="CQ73" s="128">
        <f t="shared" si="135"/>
        <v>110668.8</v>
      </c>
      <c r="CR73" s="130">
        <f t="shared" si="71"/>
        <v>4.8000000000000001E-2</v>
      </c>
      <c r="CS73" s="128">
        <f t="shared" si="72"/>
        <v>113324.8512</v>
      </c>
      <c r="CT73" s="128" t="str">
        <f t="shared" si="73"/>
        <v>nie</v>
      </c>
      <c r="CU73" s="128">
        <f t="shared" si="74"/>
        <v>3000</v>
      </c>
      <c r="CV73" s="128">
        <f t="shared" si="75"/>
        <v>108363.129472</v>
      </c>
      <c r="CW73" s="128">
        <f t="shared" si="76"/>
        <v>0</v>
      </c>
      <c r="CX73" s="130">
        <f t="shared" si="77"/>
        <v>4.2500000000000003E-2</v>
      </c>
      <c r="CY73" s="128">
        <f t="shared" si="78"/>
        <v>0</v>
      </c>
      <c r="CZ73" s="128">
        <f t="shared" si="79"/>
        <v>108363.129472</v>
      </c>
      <c r="DA73" s="20"/>
      <c r="DB73" s="127">
        <f t="shared" si="144"/>
        <v>1000</v>
      </c>
      <c r="DC73" s="128">
        <f t="shared" si="145"/>
        <v>100000</v>
      </c>
      <c r="DD73" s="128">
        <f t="shared" si="136"/>
        <v>100000</v>
      </c>
      <c r="DE73" s="128">
        <f t="shared" si="137"/>
        <v>110249.60000000001</v>
      </c>
      <c r="DF73" s="130">
        <f t="shared" si="80"/>
        <v>4.8000000000000001E-2</v>
      </c>
      <c r="DG73" s="128">
        <f t="shared" si="81"/>
        <v>112895.59040000002</v>
      </c>
      <c r="DH73" s="128" t="str">
        <f t="shared" si="82"/>
        <v>nie</v>
      </c>
      <c r="DI73" s="128">
        <f t="shared" si="83"/>
        <v>2000</v>
      </c>
      <c r="DJ73" s="128">
        <f t="shared" si="84"/>
        <v>108825.42822400002</v>
      </c>
      <c r="DK73" s="128">
        <f t="shared" si="85"/>
        <v>0</v>
      </c>
      <c r="DL73" s="130">
        <f t="shared" si="86"/>
        <v>4.2500000000000003E-2</v>
      </c>
      <c r="DM73" s="128">
        <f t="shared" si="87"/>
        <v>0</v>
      </c>
      <c r="DN73" s="128">
        <f t="shared" si="88"/>
        <v>108825.42822400002</v>
      </c>
      <c r="DP73" s="127">
        <f t="shared" si="146"/>
        <v>1000</v>
      </c>
      <c r="DQ73" s="128">
        <f t="shared" si="147"/>
        <v>100000</v>
      </c>
      <c r="DR73" s="128">
        <f t="shared" si="138"/>
        <v>100000</v>
      </c>
      <c r="DS73" s="128">
        <f t="shared" si="139"/>
        <v>111460.04999999999</v>
      </c>
      <c r="DT73" s="130">
        <f t="shared" si="89"/>
        <v>5.3000000000000005E-2</v>
      </c>
      <c r="DU73" s="128">
        <f t="shared" si="90"/>
        <v>114413.74132499998</v>
      </c>
      <c r="DV73" s="128" t="str">
        <f t="shared" si="91"/>
        <v>nie</v>
      </c>
      <c r="DW73" s="128">
        <f t="shared" si="92"/>
        <v>3000</v>
      </c>
      <c r="DX73" s="128">
        <f t="shared" si="93"/>
        <v>109245.13047324998</v>
      </c>
      <c r="DY73" s="128">
        <f t="shared" si="94"/>
        <v>0</v>
      </c>
      <c r="DZ73" s="130">
        <f t="shared" si="95"/>
        <v>4.2500000000000003E-2</v>
      </c>
      <c r="EA73" s="128">
        <f t="shared" si="96"/>
        <v>0</v>
      </c>
      <c r="EB73" s="128">
        <f t="shared" si="97"/>
        <v>109245.13047324998</v>
      </c>
      <c r="EE73" s="68"/>
      <c r="EF73" s="68"/>
      <c r="EG73" s="68"/>
    </row>
    <row r="74" spans="1:137">
      <c r="A74" s="224"/>
      <c r="B74" s="188">
        <f t="shared" si="98"/>
        <v>30</v>
      </c>
      <c r="C74" s="128">
        <f t="shared" si="99"/>
        <v>109471.14542058208</v>
      </c>
      <c r="D74" s="128">
        <f t="shared" si="100"/>
        <v>109092.14071594457</v>
      </c>
      <c r="E74" s="128">
        <f t="shared" si="101"/>
        <v>108960.60655731249</v>
      </c>
      <c r="F74" s="128">
        <f t="shared" si="102"/>
        <v>107929.19304203444</v>
      </c>
      <c r="G74" s="128">
        <f t="shared" si="103"/>
        <v>108363.129472</v>
      </c>
      <c r="H74" s="128">
        <f t="shared" si="104"/>
        <v>108825.42822400002</v>
      </c>
      <c r="I74" s="128">
        <f t="shared" si="105"/>
        <v>109245.13047324998</v>
      </c>
      <c r="J74" s="128">
        <f t="shared" si="106"/>
        <v>108974.01678280263</v>
      </c>
      <c r="K74" s="128">
        <f t="shared" si="107"/>
        <v>107157.8976</v>
      </c>
      <c r="M74" s="36"/>
      <c r="N74" s="32">
        <f t="shared" si="108"/>
        <v>30</v>
      </c>
      <c r="O74" s="25">
        <f t="shared" si="109"/>
        <v>9.4711454205820722E-2</v>
      </c>
      <c r="P74" s="25">
        <f t="shared" si="110"/>
        <v>9.0921407159445744E-2</v>
      </c>
      <c r="Q74" s="25">
        <f t="shared" si="111"/>
        <v>8.9606065573125004E-2</v>
      </c>
      <c r="R74" s="25">
        <f t="shared" si="30"/>
        <v>7.9291930420344325E-2</v>
      </c>
      <c r="S74" s="25">
        <f t="shared" si="31"/>
        <v>8.3631294719999971E-2</v>
      </c>
      <c r="T74" s="25">
        <f t="shared" si="32"/>
        <v>8.8254282240000093E-2</v>
      </c>
      <c r="U74" s="25">
        <f t="shared" si="33"/>
        <v>9.2451304732499739E-2</v>
      </c>
      <c r="V74" s="25">
        <f t="shared" si="34"/>
        <v>8.9740167828026296E-2</v>
      </c>
      <c r="W74" s="25">
        <f t="shared" si="112"/>
        <v>7.1578976000000072E-2</v>
      </c>
      <c r="X74" s="36"/>
      <c r="Y74" s="36"/>
      <c r="AA74" s="124">
        <f t="shared" si="113"/>
        <v>31</v>
      </c>
      <c r="AB74" s="128">
        <f t="shared" si="35"/>
        <v>107404.48053333332</v>
      </c>
      <c r="AC74" s="124">
        <f t="shared" si="114"/>
        <v>31</v>
      </c>
      <c r="AD74" s="130">
        <f t="shared" si="115"/>
        <v>4.2500000000000003E-2</v>
      </c>
      <c r="AE74" s="127">
        <f t="shared" si="116"/>
        <v>1080</v>
      </c>
      <c r="AF74" s="128">
        <f t="shared" si="117"/>
        <v>107895.8</v>
      </c>
      <c r="AG74" s="128">
        <f t="shared" si="140"/>
        <v>108000</v>
      </c>
      <c r="AH74" s="128">
        <f t="shared" si="118"/>
        <v>108000</v>
      </c>
      <c r="AI74" s="130">
        <f t="shared" si="36"/>
        <v>4.2500000000000003E-2</v>
      </c>
      <c r="AJ74" s="128">
        <f t="shared" si="37"/>
        <v>108382.50000000001</v>
      </c>
      <c r="AK74" s="128" t="str">
        <f t="shared" si="38"/>
        <v>nie</v>
      </c>
      <c r="AL74" s="128">
        <f t="shared" si="39"/>
        <v>540</v>
      </c>
      <c r="AM74" s="128">
        <f t="shared" si="150"/>
        <v>107872.42500000002</v>
      </c>
      <c r="AN74" s="128">
        <f t="shared" si="41"/>
        <v>309.82500000001181</v>
      </c>
      <c r="AO74" s="130">
        <f t="shared" si="42"/>
        <v>4.2500000000000003E-2</v>
      </c>
      <c r="AP74" s="128">
        <f t="shared" si="43"/>
        <v>2223.8455602573772</v>
      </c>
      <c r="AQ74" s="128">
        <f t="shared" si="156"/>
        <v>109786.44556025739</v>
      </c>
      <c r="AS74" s="124">
        <f t="shared" si="119"/>
        <v>31</v>
      </c>
      <c r="AT74" s="130">
        <f t="shared" si="120"/>
        <v>4.2500000000000003E-2</v>
      </c>
      <c r="AU74" s="127">
        <f t="shared" si="121"/>
        <v>1077</v>
      </c>
      <c r="AV74" s="128">
        <f t="shared" si="122"/>
        <v>107599.70000000001</v>
      </c>
      <c r="AW74" s="128">
        <f t="shared" si="151"/>
        <v>107700</v>
      </c>
      <c r="AX74" s="128">
        <f t="shared" si="123"/>
        <v>107700</v>
      </c>
      <c r="AY74" s="130">
        <f t="shared" si="45"/>
        <v>4.4000000000000004E-2</v>
      </c>
      <c r="AZ74" s="128">
        <f t="shared" si="46"/>
        <v>108094.90000000001</v>
      </c>
      <c r="BA74" s="128" t="str">
        <f t="shared" si="47"/>
        <v>nie</v>
      </c>
      <c r="BB74" s="128">
        <f t="shared" si="48"/>
        <v>753.9</v>
      </c>
      <c r="BC74" s="128">
        <f t="shared" si="158"/>
        <v>107409.21</v>
      </c>
      <c r="BD74" s="128">
        <f t="shared" si="50"/>
        <v>319.86900000000708</v>
      </c>
      <c r="BE74" s="130">
        <f t="shared" si="51"/>
        <v>4.2500000000000003E-2</v>
      </c>
      <c r="BF74" s="128">
        <f t="shared" si="52"/>
        <v>2328.4142476296952</v>
      </c>
      <c r="BG74" s="128">
        <f t="shared" si="159"/>
        <v>109417.7552476297</v>
      </c>
      <c r="BI74" s="124">
        <f t="shared" si="124"/>
        <v>31</v>
      </c>
      <c r="BJ74" s="130">
        <f t="shared" si="148"/>
        <v>4.1300000000000003E-2</v>
      </c>
      <c r="BK74" s="127">
        <f t="shared" si="125"/>
        <v>1000</v>
      </c>
      <c r="BL74" s="128">
        <f t="shared" si="126"/>
        <v>100000</v>
      </c>
      <c r="BM74" s="128">
        <f t="shared" si="142"/>
        <v>100000</v>
      </c>
      <c r="BN74" s="128">
        <f t="shared" si="127"/>
        <v>109516.22499999999</v>
      </c>
      <c r="BO74" s="130">
        <f t="shared" si="54"/>
        <v>4.65E-2</v>
      </c>
      <c r="BP74" s="128">
        <f t="shared" si="55"/>
        <v>112486.85260312499</v>
      </c>
      <c r="BQ74" s="128" t="str">
        <f t="shared" si="56"/>
        <v>nie</v>
      </c>
      <c r="BR74" s="128">
        <f t="shared" si="57"/>
        <v>1000</v>
      </c>
      <c r="BS74" s="128">
        <f t="shared" si="153"/>
        <v>109304.35060853124</v>
      </c>
      <c r="BT74" s="128">
        <f t="shared" si="128"/>
        <v>0</v>
      </c>
      <c r="BU74" s="130">
        <f t="shared" si="59"/>
        <v>4.2500000000000003E-2</v>
      </c>
      <c r="BV74" s="128">
        <f t="shared" si="60"/>
        <v>0</v>
      </c>
      <c r="BW74" s="128">
        <f t="shared" si="61"/>
        <v>109304.35060853124</v>
      </c>
      <c r="BY74" s="130">
        <f t="shared" si="149"/>
        <v>2.8000000000000001E-2</v>
      </c>
      <c r="BZ74" s="127">
        <f t="shared" si="129"/>
        <v>1000</v>
      </c>
      <c r="CA74" s="128">
        <f t="shared" si="130"/>
        <v>100000</v>
      </c>
      <c r="CB74" s="128">
        <f t="shared" si="154"/>
        <v>100000</v>
      </c>
      <c r="CC74" s="128">
        <f t="shared" si="131"/>
        <v>100000</v>
      </c>
      <c r="CD74" s="130">
        <f t="shared" si="62"/>
        <v>4.2999999999999997E-2</v>
      </c>
      <c r="CE74" s="128">
        <f t="shared" si="63"/>
        <v>102508.33333333333</v>
      </c>
      <c r="CF74" s="128" t="str">
        <f t="shared" si="64"/>
        <v>nie</v>
      </c>
      <c r="CG74" s="128">
        <f t="shared" si="65"/>
        <v>2000</v>
      </c>
      <c r="CH74" s="128">
        <f t="shared" si="160"/>
        <v>100411.75</v>
      </c>
      <c r="CI74" s="128">
        <f t="shared" si="67"/>
        <v>0</v>
      </c>
      <c r="CJ74" s="130">
        <f t="shared" si="68"/>
        <v>4.2500000000000003E-2</v>
      </c>
      <c r="CK74" s="128">
        <f t="shared" si="69"/>
        <v>7830.0913614487581</v>
      </c>
      <c r="CL74" s="128">
        <f t="shared" si="70"/>
        <v>108241.84136144875</v>
      </c>
      <c r="CN74" s="127">
        <f t="shared" si="132"/>
        <v>1000</v>
      </c>
      <c r="CO74" s="128">
        <f t="shared" si="133"/>
        <v>100000</v>
      </c>
      <c r="CP74" s="128">
        <f t="shared" si="134"/>
        <v>100000</v>
      </c>
      <c r="CQ74" s="128">
        <f t="shared" si="135"/>
        <v>110668.8</v>
      </c>
      <c r="CR74" s="130">
        <f t="shared" si="71"/>
        <v>4.8000000000000001E-2</v>
      </c>
      <c r="CS74" s="128">
        <f t="shared" si="72"/>
        <v>113767.5264</v>
      </c>
      <c r="CT74" s="128" t="str">
        <f t="shared" si="73"/>
        <v>nie</v>
      </c>
      <c r="CU74" s="128">
        <f t="shared" si="74"/>
        <v>3000</v>
      </c>
      <c r="CV74" s="128">
        <f t="shared" si="75"/>
        <v>108721.696384</v>
      </c>
      <c r="CW74" s="128">
        <f t="shared" si="76"/>
        <v>0</v>
      </c>
      <c r="CX74" s="130">
        <f t="shared" si="77"/>
        <v>4.2500000000000003E-2</v>
      </c>
      <c r="CY74" s="128">
        <f t="shared" si="78"/>
        <v>0</v>
      </c>
      <c r="CZ74" s="128">
        <f t="shared" si="79"/>
        <v>108721.696384</v>
      </c>
      <c r="DA74" s="20"/>
      <c r="DB74" s="127">
        <f t="shared" si="144"/>
        <v>1000</v>
      </c>
      <c r="DC74" s="128">
        <f t="shared" si="145"/>
        <v>100000</v>
      </c>
      <c r="DD74" s="128">
        <f t="shared" si="136"/>
        <v>100000</v>
      </c>
      <c r="DE74" s="128">
        <f t="shared" si="137"/>
        <v>110249.60000000001</v>
      </c>
      <c r="DF74" s="130">
        <f t="shared" si="80"/>
        <v>4.8000000000000001E-2</v>
      </c>
      <c r="DG74" s="128">
        <f t="shared" si="81"/>
        <v>113336.58880000001</v>
      </c>
      <c r="DH74" s="128" t="str">
        <f t="shared" si="82"/>
        <v>nie</v>
      </c>
      <c r="DI74" s="128">
        <f t="shared" si="83"/>
        <v>2000</v>
      </c>
      <c r="DJ74" s="128">
        <f t="shared" si="84"/>
        <v>109182.63692800001</v>
      </c>
      <c r="DK74" s="128">
        <f t="shared" si="85"/>
        <v>0</v>
      </c>
      <c r="DL74" s="130">
        <f t="shared" si="86"/>
        <v>4.2500000000000003E-2</v>
      </c>
      <c r="DM74" s="128">
        <f t="shared" si="87"/>
        <v>0</v>
      </c>
      <c r="DN74" s="128">
        <f t="shared" si="88"/>
        <v>109182.63692800001</v>
      </c>
      <c r="DP74" s="127">
        <f t="shared" si="146"/>
        <v>1000</v>
      </c>
      <c r="DQ74" s="128">
        <f t="shared" si="147"/>
        <v>100000</v>
      </c>
      <c r="DR74" s="128">
        <f t="shared" si="138"/>
        <v>100000</v>
      </c>
      <c r="DS74" s="128">
        <f t="shared" si="139"/>
        <v>111460.04999999999</v>
      </c>
      <c r="DT74" s="130">
        <f t="shared" si="89"/>
        <v>5.3000000000000005E-2</v>
      </c>
      <c r="DU74" s="128">
        <f t="shared" si="90"/>
        <v>114906.02321249999</v>
      </c>
      <c r="DV74" s="128" t="str">
        <f t="shared" si="91"/>
        <v>nie</v>
      </c>
      <c r="DW74" s="128">
        <f t="shared" si="92"/>
        <v>3000</v>
      </c>
      <c r="DX74" s="128">
        <f t="shared" si="93"/>
        <v>109643.87880212499</v>
      </c>
      <c r="DY74" s="128">
        <f t="shared" si="94"/>
        <v>0</v>
      </c>
      <c r="DZ74" s="130">
        <f t="shared" si="95"/>
        <v>4.2500000000000003E-2</v>
      </c>
      <c r="EA74" s="128">
        <f t="shared" si="96"/>
        <v>0</v>
      </c>
      <c r="EB74" s="128">
        <f t="shared" si="97"/>
        <v>109643.87880212499</v>
      </c>
    </row>
    <row r="75" spans="1:137">
      <c r="A75" s="224"/>
      <c r="B75" s="188">
        <f t="shared" si="98"/>
        <v>31</v>
      </c>
      <c r="C75" s="128">
        <f t="shared" si="99"/>
        <v>109786.44556025739</v>
      </c>
      <c r="D75" s="128">
        <f t="shared" si="100"/>
        <v>109417.7552476297</v>
      </c>
      <c r="E75" s="128">
        <f t="shared" si="101"/>
        <v>109304.35060853124</v>
      </c>
      <c r="F75" s="128">
        <f t="shared" si="102"/>
        <v>108241.84136144875</v>
      </c>
      <c r="G75" s="128">
        <f t="shared" si="103"/>
        <v>108721.696384</v>
      </c>
      <c r="H75" s="128">
        <f t="shared" si="104"/>
        <v>109182.63692800001</v>
      </c>
      <c r="I75" s="128">
        <f t="shared" si="105"/>
        <v>109643.87880212499</v>
      </c>
      <c r="J75" s="128">
        <f t="shared" si="106"/>
        <v>109286.63599344829</v>
      </c>
      <c r="K75" s="128">
        <f t="shared" si="107"/>
        <v>107404.48053333332</v>
      </c>
      <c r="M75" s="36"/>
      <c r="N75" s="32">
        <f t="shared" si="108"/>
        <v>31</v>
      </c>
      <c r="O75" s="25">
        <f t="shared" si="109"/>
        <v>9.7864455602573841E-2</v>
      </c>
      <c r="P75" s="25">
        <f t="shared" si="110"/>
        <v>9.4177552476296889E-2</v>
      </c>
      <c r="Q75" s="25">
        <f t="shared" si="111"/>
        <v>9.3043506085312311E-2</v>
      </c>
      <c r="R75" s="25">
        <f t="shared" si="30"/>
        <v>8.2418413614487429E-2</v>
      </c>
      <c r="S75" s="25">
        <f t="shared" si="31"/>
        <v>8.7216963839999995E-2</v>
      </c>
      <c r="T75" s="25">
        <f t="shared" si="32"/>
        <v>9.1826369280000097E-2</v>
      </c>
      <c r="U75" s="25">
        <f t="shared" si="33"/>
        <v>9.6438788021249833E-2</v>
      </c>
      <c r="V75" s="25">
        <f t="shared" si="34"/>
        <v>9.2866359934483E-2</v>
      </c>
      <c r="W75" s="25">
        <f t="shared" si="112"/>
        <v>7.404480533333313E-2</v>
      </c>
      <c r="X75" s="36"/>
      <c r="Y75" s="36"/>
      <c r="AA75" s="124">
        <f t="shared" si="113"/>
        <v>32</v>
      </c>
      <c r="AB75" s="128">
        <f t="shared" si="35"/>
        <v>107651.06346666666</v>
      </c>
      <c r="AC75" s="124">
        <f t="shared" si="114"/>
        <v>32</v>
      </c>
      <c r="AD75" s="130">
        <f t="shared" si="115"/>
        <v>4.2500000000000003E-2</v>
      </c>
      <c r="AE75" s="127">
        <f t="shared" si="116"/>
        <v>1080</v>
      </c>
      <c r="AF75" s="128">
        <f t="shared" si="117"/>
        <v>107895.8</v>
      </c>
      <c r="AG75" s="128">
        <f t="shared" si="140"/>
        <v>108000</v>
      </c>
      <c r="AH75" s="128">
        <f t="shared" si="118"/>
        <v>108000</v>
      </c>
      <c r="AI75" s="130">
        <f t="shared" si="36"/>
        <v>4.2500000000000003E-2</v>
      </c>
      <c r="AJ75" s="128">
        <f t="shared" si="37"/>
        <v>108382.50000000001</v>
      </c>
      <c r="AK75" s="128" t="str">
        <f t="shared" si="38"/>
        <v>nie</v>
      </c>
      <c r="AL75" s="128">
        <f t="shared" si="39"/>
        <v>540</v>
      </c>
      <c r="AM75" s="128">
        <f t="shared" si="150"/>
        <v>107872.42500000002</v>
      </c>
      <c r="AN75" s="128">
        <f t="shared" si="41"/>
        <v>309.82500000001181</v>
      </c>
      <c r="AO75" s="130">
        <f t="shared" si="42"/>
        <v>4.2500000000000003E-2</v>
      </c>
      <c r="AP75" s="128">
        <f t="shared" si="43"/>
        <v>2540.050217208377</v>
      </c>
      <c r="AQ75" s="128">
        <f t="shared" si="156"/>
        <v>110102.65021720839</v>
      </c>
      <c r="AS75" s="124">
        <f t="shared" si="119"/>
        <v>32</v>
      </c>
      <c r="AT75" s="130">
        <f t="shared" si="120"/>
        <v>4.2500000000000003E-2</v>
      </c>
      <c r="AU75" s="127">
        <f t="shared" si="121"/>
        <v>1077</v>
      </c>
      <c r="AV75" s="128">
        <f t="shared" si="122"/>
        <v>107599.70000000001</v>
      </c>
      <c r="AW75" s="128">
        <f t="shared" si="151"/>
        <v>107700</v>
      </c>
      <c r="AX75" s="128">
        <f t="shared" si="123"/>
        <v>107700</v>
      </c>
      <c r="AY75" s="130">
        <f t="shared" si="45"/>
        <v>4.4000000000000004E-2</v>
      </c>
      <c r="AZ75" s="128">
        <f t="shared" si="46"/>
        <v>108094.90000000001</v>
      </c>
      <c r="BA75" s="128" t="str">
        <f t="shared" si="47"/>
        <v>nie</v>
      </c>
      <c r="BB75" s="128">
        <f t="shared" si="48"/>
        <v>753.9</v>
      </c>
      <c r="BC75" s="128">
        <f t="shared" si="158"/>
        <v>107409.21</v>
      </c>
      <c r="BD75" s="128">
        <f t="shared" si="50"/>
        <v>319.86900000000708</v>
      </c>
      <c r="BE75" s="130">
        <f t="shared" si="51"/>
        <v>4.2500000000000003E-2</v>
      </c>
      <c r="BF75" s="128">
        <f t="shared" si="52"/>
        <v>2654.9628860025896</v>
      </c>
      <c r="BG75" s="128">
        <f t="shared" si="159"/>
        <v>109744.30388600258</v>
      </c>
      <c r="BI75" s="124">
        <f t="shared" si="124"/>
        <v>32</v>
      </c>
      <c r="BJ75" s="130">
        <f t="shared" si="148"/>
        <v>4.1300000000000003E-2</v>
      </c>
      <c r="BK75" s="127">
        <f t="shared" si="125"/>
        <v>1000</v>
      </c>
      <c r="BL75" s="128">
        <f t="shared" si="126"/>
        <v>100000</v>
      </c>
      <c r="BM75" s="128">
        <f t="shared" si="142"/>
        <v>100000</v>
      </c>
      <c r="BN75" s="128">
        <f t="shared" si="127"/>
        <v>109516.22499999999</v>
      </c>
      <c r="BO75" s="130">
        <f t="shared" si="54"/>
        <v>4.65E-2</v>
      </c>
      <c r="BP75" s="128">
        <f t="shared" si="55"/>
        <v>112911.22797499999</v>
      </c>
      <c r="BQ75" s="128" t="str">
        <f t="shared" si="56"/>
        <v>nie</v>
      </c>
      <c r="BR75" s="128">
        <f t="shared" si="57"/>
        <v>1000</v>
      </c>
      <c r="BS75" s="128">
        <f t="shared" si="153"/>
        <v>109648.09465974999</v>
      </c>
      <c r="BT75" s="128">
        <f t="shared" si="128"/>
        <v>0</v>
      </c>
      <c r="BU75" s="130">
        <f t="shared" si="59"/>
        <v>4.2500000000000003E-2</v>
      </c>
      <c r="BV75" s="128">
        <f t="shared" si="60"/>
        <v>0</v>
      </c>
      <c r="BW75" s="128">
        <f t="shared" si="61"/>
        <v>109648.09465974999</v>
      </c>
      <c r="BY75" s="130">
        <f t="shared" si="149"/>
        <v>2.8000000000000001E-2</v>
      </c>
      <c r="BZ75" s="127">
        <f t="shared" si="129"/>
        <v>1000</v>
      </c>
      <c r="CA75" s="128">
        <f t="shared" si="130"/>
        <v>100000</v>
      </c>
      <c r="CB75" s="128">
        <f t="shared" si="154"/>
        <v>100000</v>
      </c>
      <c r="CC75" s="128">
        <f t="shared" si="131"/>
        <v>100000</v>
      </c>
      <c r="CD75" s="130">
        <f t="shared" si="62"/>
        <v>4.2999999999999997E-2</v>
      </c>
      <c r="CE75" s="128">
        <f t="shared" si="63"/>
        <v>102866.66666666666</v>
      </c>
      <c r="CF75" s="128" t="str">
        <f t="shared" si="64"/>
        <v>nie</v>
      </c>
      <c r="CG75" s="128">
        <f t="shared" si="65"/>
        <v>2000</v>
      </c>
      <c r="CH75" s="128">
        <f t="shared" si="160"/>
        <v>100701.99999999999</v>
      </c>
      <c r="CI75" s="128">
        <f t="shared" si="67"/>
        <v>0</v>
      </c>
      <c r="CJ75" s="130">
        <f t="shared" si="68"/>
        <v>4.2500000000000003E-2</v>
      </c>
      <c r="CK75" s="128">
        <f t="shared" si="69"/>
        <v>7852.5539360419143</v>
      </c>
      <c r="CL75" s="128">
        <f t="shared" si="70"/>
        <v>108554.55393604191</v>
      </c>
      <c r="CN75" s="127">
        <f t="shared" si="132"/>
        <v>1000</v>
      </c>
      <c r="CO75" s="128">
        <f t="shared" si="133"/>
        <v>100000</v>
      </c>
      <c r="CP75" s="128">
        <f t="shared" si="134"/>
        <v>100000</v>
      </c>
      <c r="CQ75" s="128">
        <f t="shared" si="135"/>
        <v>110668.8</v>
      </c>
      <c r="CR75" s="130">
        <f t="shared" si="71"/>
        <v>4.8000000000000001E-2</v>
      </c>
      <c r="CS75" s="128">
        <f t="shared" si="72"/>
        <v>114210.2016</v>
      </c>
      <c r="CT75" s="128" t="str">
        <f t="shared" si="73"/>
        <v>nie</v>
      </c>
      <c r="CU75" s="128">
        <f t="shared" si="74"/>
        <v>3000</v>
      </c>
      <c r="CV75" s="128">
        <f t="shared" si="75"/>
        <v>109080.263296</v>
      </c>
      <c r="CW75" s="128">
        <f t="shared" si="76"/>
        <v>0</v>
      </c>
      <c r="CX75" s="130">
        <f t="shared" si="77"/>
        <v>4.2500000000000003E-2</v>
      </c>
      <c r="CY75" s="128">
        <f t="shared" si="78"/>
        <v>0</v>
      </c>
      <c r="CZ75" s="128">
        <f t="shared" si="79"/>
        <v>109080.263296</v>
      </c>
      <c r="DA75" s="20"/>
      <c r="DB75" s="127">
        <f t="shared" si="144"/>
        <v>1000</v>
      </c>
      <c r="DC75" s="128">
        <f t="shared" si="145"/>
        <v>100000</v>
      </c>
      <c r="DD75" s="128">
        <f t="shared" si="136"/>
        <v>100000</v>
      </c>
      <c r="DE75" s="128">
        <f t="shared" si="137"/>
        <v>110249.60000000001</v>
      </c>
      <c r="DF75" s="130">
        <f t="shared" si="80"/>
        <v>4.8000000000000001E-2</v>
      </c>
      <c r="DG75" s="128">
        <f t="shared" si="81"/>
        <v>113777.58720000001</v>
      </c>
      <c r="DH75" s="128" t="str">
        <f t="shared" si="82"/>
        <v>nie</v>
      </c>
      <c r="DI75" s="128">
        <f t="shared" si="83"/>
        <v>2000</v>
      </c>
      <c r="DJ75" s="128">
        <f t="shared" si="84"/>
        <v>109539.84563200001</v>
      </c>
      <c r="DK75" s="128">
        <f t="shared" si="85"/>
        <v>0</v>
      </c>
      <c r="DL75" s="130">
        <f t="shared" si="86"/>
        <v>4.2500000000000003E-2</v>
      </c>
      <c r="DM75" s="128">
        <f t="shared" si="87"/>
        <v>0</v>
      </c>
      <c r="DN75" s="128">
        <f t="shared" si="88"/>
        <v>109539.84563200001</v>
      </c>
      <c r="DP75" s="127">
        <f t="shared" si="146"/>
        <v>1000</v>
      </c>
      <c r="DQ75" s="128">
        <f t="shared" si="147"/>
        <v>100000</v>
      </c>
      <c r="DR75" s="128">
        <f t="shared" si="138"/>
        <v>100000</v>
      </c>
      <c r="DS75" s="128">
        <f t="shared" si="139"/>
        <v>111460.04999999999</v>
      </c>
      <c r="DT75" s="130">
        <f t="shared" si="89"/>
        <v>5.3000000000000005E-2</v>
      </c>
      <c r="DU75" s="128">
        <f t="shared" si="90"/>
        <v>115398.3051</v>
      </c>
      <c r="DV75" s="128" t="str">
        <f t="shared" si="91"/>
        <v>nie</v>
      </c>
      <c r="DW75" s="128">
        <f t="shared" si="92"/>
        <v>3000</v>
      </c>
      <c r="DX75" s="128">
        <f t="shared" si="93"/>
        <v>110042.627131</v>
      </c>
      <c r="DY75" s="128">
        <f t="shared" si="94"/>
        <v>0</v>
      </c>
      <c r="DZ75" s="130">
        <f t="shared" si="95"/>
        <v>4.2500000000000003E-2</v>
      </c>
      <c r="EA75" s="128">
        <f t="shared" si="96"/>
        <v>0</v>
      </c>
      <c r="EB75" s="128">
        <f t="shared" si="97"/>
        <v>110042.627131</v>
      </c>
    </row>
    <row r="76" spans="1:137">
      <c r="A76" s="224"/>
      <c r="B76" s="188">
        <f t="shared" si="98"/>
        <v>32</v>
      </c>
      <c r="C76" s="128">
        <f t="shared" si="99"/>
        <v>110102.65021720839</v>
      </c>
      <c r="D76" s="128">
        <f t="shared" si="100"/>
        <v>109744.30388600258</v>
      </c>
      <c r="E76" s="128">
        <f t="shared" si="101"/>
        <v>109648.09465974999</v>
      </c>
      <c r="F76" s="128">
        <f t="shared" si="102"/>
        <v>108554.55393604191</v>
      </c>
      <c r="G76" s="128">
        <f t="shared" si="103"/>
        <v>109080.263296</v>
      </c>
      <c r="H76" s="128">
        <f t="shared" si="104"/>
        <v>109539.84563200001</v>
      </c>
      <c r="I76" s="128">
        <f t="shared" si="105"/>
        <v>110042.627131</v>
      </c>
      <c r="J76" s="128">
        <f t="shared" si="106"/>
        <v>109600.1520304545</v>
      </c>
      <c r="K76" s="128">
        <f t="shared" si="107"/>
        <v>107651.06346666666</v>
      </c>
      <c r="M76" s="36"/>
      <c r="N76" s="32">
        <f t="shared" si="108"/>
        <v>32</v>
      </c>
      <c r="O76" s="25">
        <f t="shared" si="109"/>
        <v>0.10102650217208375</v>
      </c>
      <c r="P76" s="25">
        <f t="shared" si="110"/>
        <v>9.744303886002581E-2</v>
      </c>
      <c r="Q76" s="25">
        <f t="shared" si="111"/>
        <v>9.6480946597499839E-2</v>
      </c>
      <c r="R76" s="25">
        <f t="shared" ref="R76:R107" si="161">F76/zakup_domyslny_wartosc-1</f>
        <v>8.5545539360418976E-2</v>
      </c>
      <c r="S76" s="25">
        <f t="shared" ref="S76:S107" si="162">G76/zakup_domyslny_wartosc-1</f>
        <v>9.0802632960000018E-2</v>
      </c>
      <c r="T76" s="25">
        <f t="shared" ref="T76:T107" si="163">H76/zakup_domyslny_wartosc-1</f>
        <v>9.5398456320000102E-2</v>
      </c>
      <c r="U76" s="25">
        <f t="shared" ref="U76:U107" si="164">I76/zakup_domyslny_wartosc-1</f>
        <v>0.10042627130999993</v>
      </c>
      <c r="V76" s="25">
        <f t="shared" ref="V76:V107" si="165">J76/zakup_domyslny_wartosc-1</f>
        <v>9.6001520304545007E-2</v>
      </c>
      <c r="W76" s="25">
        <f t="shared" ref="W76:W107" si="166">K76/zakup_domyslny_wartosc-1</f>
        <v>7.6510634666666633E-2</v>
      </c>
      <c r="X76" s="36"/>
      <c r="Y76" s="36"/>
      <c r="AA76" s="124">
        <f t="shared" si="113"/>
        <v>33</v>
      </c>
      <c r="AB76" s="128">
        <f t="shared" ref="AB76:AB107" si="167">zakup_domyslny_wartosc*IFERROR((INDEX(scenariusz_I_inflacja_skumulowana,MATCH(ROUNDDOWN(AA76/12,0),scenariusz_I_rok,0))+1),1)
*(1+MOD(AA76,12)*INDEX(scenariusz_I_inflacja,MATCH(ROUNDUP(AA76/12,0),scenariusz_I_rok,0))/12)</f>
        <v>107897.64639999998</v>
      </c>
      <c r="AC76" s="124">
        <f t="shared" si="114"/>
        <v>33</v>
      </c>
      <c r="AD76" s="130">
        <f t="shared" si="115"/>
        <v>4.2500000000000003E-2</v>
      </c>
      <c r="AE76" s="127">
        <f t="shared" si="116"/>
        <v>1080</v>
      </c>
      <c r="AF76" s="128">
        <f t="shared" si="117"/>
        <v>107895.8</v>
      </c>
      <c r="AG76" s="128">
        <f t="shared" si="140"/>
        <v>108000</v>
      </c>
      <c r="AH76" s="128">
        <f t="shared" si="118"/>
        <v>108000</v>
      </c>
      <c r="AI76" s="130">
        <f t="shared" ref="AI76:AI107" si="168">IF(AND(MOD($AA76,zapadalnosc_ROR)&lt;=zmiana_oprocentowania_co_ile_mc_ROR,MOD($AA76,zapadalnosc_ROR)&lt;&gt;0),proc_I_okres_ROR,(marza_ROR+AD76))</f>
        <v>4.2500000000000003E-2</v>
      </c>
      <c r="AJ76" s="128">
        <f t="shared" ref="AJ76:AJ107" si="169">AH76*(1+AI76*IF(MOD($AA76,wyplata_odsetek_ROR)&lt;&gt;0,MOD($AA76,wyplata_odsetek_ROR),wyplata_odsetek_ROR)/12)</f>
        <v>108382.50000000001</v>
      </c>
      <c r="AK76" s="128" t="str">
        <f t="shared" ref="AK76:AK107" si="170">IF(MOD($AA76,zapadalnosc_ROR)=0,"tak","nie")</f>
        <v>nie</v>
      </c>
      <c r="AL76" s="128">
        <f t="shared" ref="AL76:AL107" si="171">IF(MOD($AA76,zapadalnosc_ROR)=0,0,
IF(AND(MOD($AA76,zapadalnosc_ROR)&lt;zapadalnosc_ROR,MOD($AA76,zapadalnosc_ROR)&lt;=koszt_wczesniejszy_wykup_ochrona_ROR),
MIN(AJ76-AG76,AE76*koszt_wczesniejszy_wykup_ROR),AE76*koszt_wczesniejszy_wykup_ROR))</f>
        <v>540</v>
      </c>
      <c r="AM76" s="128">
        <f t="shared" si="150"/>
        <v>107872.42500000002</v>
      </c>
      <c r="AN76" s="128">
        <f t="shared" ref="AN76:AN107" si="172">IF(MOD($AA76,wyplata_odsetek_ROR)=0, (AJ76-AG76)*(1-podatek_Belki),0)
+IF(AK76="tak",ROUNDDOWN(AJ76/zamiana_ROR,0)*(100-zamiana_ROR),0)</f>
        <v>309.82500000001181</v>
      </c>
      <c r="AO76" s="130">
        <f t="shared" ref="AO76:AO107" si="173">INDEX(scenariusz_I_konto,MATCH(ROUNDUP($AA76/12,0),scenariusz_I_rok,0))</f>
        <v>4.2500000000000003E-2</v>
      </c>
      <c r="AP76" s="128">
        <f t="shared" ref="AP76:AP107" si="174">(AP75-IF(AK75="tak",ROUNDDOWN(AP75/100,0)*100,0))*
(1+AO76/12*(1-podatek_Belki))+AN76</f>
        <v>2857.161986269005</v>
      </c>
      <c r="AQ76" s="128">
        <f t="shared" si="156"/>
        <v>110419.761986269</v>
      </c>
      <c r="AS76" s="124">
        <f t="shared" si="119"/>
        <v>33</v>
      </c>
      <c r="AT76" s="130">
        <f t="shared" si="120"/>
        <v>4.2500000000000003E-2</v>
      </c>
      <c r="AU76" s="127">
        <f t="shared" si="121"/>
        <v>1077</v>
      </c>
      <c r="AV76" s="128">
        <f t="shared" si="122"/>
        <v>107599.70000000001</v>
      </c>
      <c r="AW76" s="128">
        <f t="shared" si="151"/>
        <v>107700</v>
      </c>
      <c r="AX76" s="128">
        <f t="shared" si="123"/>
        <v>107700</v>
      </c>
      <c r="AY76" s="130">
        <f t="shared" ref="AY76:AY107" si="175">IF(AND(MOD($AA76,zapadalnosc_DOR)&lt;=zmiana_oprocentowania_co_ile_mc_DOR,MOD($AA76,zapadalnosc_DOR)&lt;&gt;0),proc_I_okres_DOR,(marza_DOR+AT76))</f>
        <v>4.4000000000000004E-2</v>
      </c>
      <c r="AZ76" s="128">
        <f t="shared" ref="AZ76:AZ107" si="176">AX76*(1+AY76*IF(MOD($AA76,wyplata_odsetek_DOR)&lt;&gt;0,MOD($AA76,wyplata_odsetek_DOR),wyplata_odsetek_DOR)/12)</f>
        <v>108094.90000000001</v>
      </c>
      <c r="BA76" s="128" t="str">
        <f t="shared" ref="BA76:BA107" si="177">IF(MOD($AA76,zapadalnosc_DOR)=0,"tak","nie")</f>
        <v>nie</v>
      </c>
      <c r="BB76" s="128">
        <f t="shared" ref="BB76:BB107" si="178">IF(MOD($AA76,zapadalnosc_DOR)=0,0,
IF(AND(MOD($AA76,zapadalnosc_DOR)&lt;zapadalnosc_DOR,MOD($AA76,zapadalnosc_DOR)&lt;=koszt_wczesniejszy_wykup_ochrona_DOR),
MIN(AZ76-AW76,AU76*koszt_wczesniejszy_wykup_DOR),AU76*koszt_wczesniejszy_wykup_DOR))</f>
        <v>753.9</v>
      </c>
      <c r="BC76" s="128">
        <f t="shared" si="158"/>
        <v>107409.21</v>
      </c>
      <c r="BD76" s="128">
        <f t="shared" ref="BD76:BD107" si="179">IF(MOD($AA76,wyplata_odsetek_DOR)=0, (AZ76-AW76)*(1-podatek_Belki),0)
+IF(BA76="tak",ROUNDDOWN(AZ76/zamiana_DOR,0)*(100-zamiana_DOR),0)</f>
        <v>319.86900000000708</v>
      </c>
      <c r="BE76" s="130">
        <f t="shared" si="51"/>
        <v>4.2500000000000003E-2</v>
      </c>
      <c r="BF76" s="128">
        <f t="shared" ref="BF76:BF107" si="180">(BF75-IF(BA75="tak",ROUNDDOWN(BF75/100,0)*100,0))*
(1+BE76/12*(1-podatek_Belki))+BD76</f>
        <v>2982.4483107818164</v>
      </c>
      <c r="BG76" s="128">
        <f t="shared" si="159"/>
        <v>110071.78931078181</v>
      </c>
      <c r="BI76" s="124">
        <f t="shared" si="124"/>
        <v>33</v>
      </c>
      <c r="BJ76" s="130">
        <f t="shared" si="148"/>
        <v>4.1300000000000003E-2</v>
      </c>
      <c r="BK76" s="127">
        <f t="shared" si="125"/>
        <v>1000</v>
      </c>
      <c r="BL76" s="128">
        <f t="shared" si="126"/>
        <v>100000</v>
      </c>
      <c r="BM76" s="128">
        <f t="shared" si="142"/>
        <v>100000</v>
      </c>
      <c r="BN76" s="128">
        <f t="shared" si="127"/>
        <v>109516.22499999999</v>
      </c>
      <c r="BO76" s="130">
        <f t="shared" ref="BO76:BO107" si="181">IF(AND(MOD($AA76,zapadalnosc_TOS)&lt;=12,MOD($AA76,zapadalnosc_TOS)&lt;&gt;0),proc_I_okres_TOS,(marza_TOS+proc_I_okres_TOS))</f>
        <v>4.65E-2</v>
      </c>
      <c r="BP76" s="128">
        <f t="shared" ref="BP76:BP107" si="182">BN76*(1+BO76*IF(MOD($AA76,12)&lt;&gt;0,MOD($AA76,12),12)/12)</f>
        <v>113335.603346875</v>
      </c>
      <c r="BQ76" s="128" t="str">
        <f t="shared" ref="BQ76:BQ107" si="183">IF(MOD($AA76,zapadalnosc_TOS)=0,"tak","nie")</f>
        <v>nie</v>
      </c>
      <c r="BR76" s="128">
        <f t="shared" ref="BR76:BR107" si="184">IF(MOD($AA76,zapadalnosc_TOS)=0,0,
IF(AND(MOD($AA76,zapadalnosc_TOS)&lt;zapadalnosc_TOS,MOD($AA76,zapadalnosc_TOS)&lt;=koszt_wczesniejszy_wykup_ochrona_TOS),
MIN(BP76-BM76,BK76*koszt_wczesniejszy_wykup_TOS),BK76*koszt_wczesniejszy_wykup_TOS))</f>
        <v>1000</v>
      </c>
      <c r="BS76" s="128">
        <f t="shared" si="153"/>
        <v>109991.83871096875</v>
      </c>
      <c r="BT76" s="128">
        <f t="shared" si="128"/>
        <v>0</v>
      </c>
      <c r="BU76" s="130">
        <f t="shared" ref="BU76:BU107" si="185">INDEX(scenariusz_I_konto,MATCH(ROUNDUP($AA76/12,0),scenariusz_I_rok,0))</f>
        <v>4.2500000000000003E-2</v>
      </c>
      <c r="BV76" s="128">
        <f t="shared" si="60"/>
        <v>0</v>
      </c>
      <c r="BW76" s="128">
        <f t="shared" si="61"/>
        <v>109991.83871096875</v>
      </c>
      <c r="BY76" s="130">
        <f t="shared" si="149"/>
        <v>2.8000000000000001E-2</v>
      </c>
      <c r="BZ76" s="127">
        <f t="shared" si="129"/>
        <v>1000</v>
      </c>
      <c r="CA76" s="128">
        <f t="shared" si="130"/>
        <v>100000</v>
      </c>
      <c r="CB76" s="128">
        <f t="shared" si="154"/>
        <v>100000</v>
      </c>
      <c r="CC76" s="128">
        <f t="shared" si="131"/>
        <v>100000</v>
      </c>
      <c r="CD76" s="130">
        <f t="shared" ref="CD76:CD107" si="186">IF(AND(MOD($AA76,zapadalnosc_COI)&lt;=zmiana_oprocentowania_co_ile_mc_COI,MOD($AA76,zapadalnosc_COI)&lt;&gt;0),proc_I_okres_COI,(marza_COI+BY76))</f>
        <v>4.2999999999999997E-2</v>
      </c>
      <c r="CE76" s="128">
        <f t="shared" ref="CE76:CE107" si="187">CC76*(1+CD76*IF(MOD($AA76,wyplata_odsetek_COI)&lt;&gt;0,MOD($AA76,wyplata_odsetek_COI),wyplata_odsetek_COI)/12)</f>
        <v>103224.99999999999</v>
      </c>
      <c r="CF76" s="128" t="str">
        <f t="shared" ref="CF76:CF107" si="188">IF(MOD($AA76,zapadalnosc_COI)=0,"tak","nie")</f>
        <v>nie</v>
      </c>
      <c r="CG76" s="128">
        <f t="shared" ref="CG76:CG107" si="189">IF(MOD($AA76,zapadalnosc_COI)=0,0,
IF(AND(MOD($AA76,zapadalnosc_COI)&lt;zapadalnosc_COI,MOD($AA76,zapadalnosc_COI)&lt;=koszt_wczesniejszy_wykup_ochrona_COI),
MIN(CE76-CB76,BZ76*koszt_wczesniejszy_wykup_COI),BZ76*koszt_wczesniejszy_wykup_COI))</f>
        <v>2000</v>
      </c>
      <c r="CH76" s="128">
        <f t="shared" si="160"/>
        <v>100992.24999999999</v>
      </c>
      <c r="CI76" s="128">
        <f t="shared" ref="CI76:CI107" si="190" xml:space="preserve"> IF(CF76="tak",
CH76-ROUNDDOWN(CH76/zamiana_COI,0)*zamiana_COI,
IF(MOD($AA76,wyplata_odsetek_COI)=0, (CE76-CB76)*(1-podatek_Belki),0))</f>
        <v>0</v>
      </c>
      <c r="CJ76" s="130">
        <f t="shared" si="68"/>
        <v>4.2500000000000003E-2</v>
      </c>
      <c r="CK76" s="128">
        <f t="shared" ref="CK76:CK107" si="191">(CK75-IF(CF75="tak",ROUNDDOWN(CK75/100,0)*100,0))*
(1+CJ76/12*(1-podatek_Belki))+CI76</f>
        <v>7875.0809501459344</v>
      </c>
      <c r="CL76" s="128">
        <f t="shared" ref="CL76:CL107" si="192">(CK75-IF(MOD($AA75,zapadalnosc_COI)=0,ROUNDDOWN(CK75/100,0)*100,0))*(1+CJ76/12*(1-podatek_Belki))+CH76</f>
        <v>108867.33095014592</v>
      </c>
      <c r="CN76" s="127">
        <f t="shared" si="132"/>
        <v>1000</v>
      </c>
      <c r="CO76" s="128">
        <f t="shared" si="133"/>
        <v>100000</v>
      </c>
      <c r="CP76" s="128">
        <f t="shared" si="134"/>
        <v>100000</v>
      </c>
      <c r="CQ76" s="128">
        <f t="shared" si="135"/>
        <v>110668.8</v>
      </c>
      <c r="CR76" s="130">
        <f t="shared" ref="CR76:CR107" si="193">IF(AND(MOD($AA76,zapadalnosc_EDO)&lt;=12,MOD($AA76,zapadalnosc_EDO)&lt;&gt;0),proc_I_okres_EDO,(marza_EDO+$BY76))</f>
        <v>4.8000000000000001E-2</v>
      </c>
      <c r="CS76" s="128">
        <f t="shared" ref="CS76:CS107" si="194">CQ76*(1+CR76*IF(MOD($AA76,12)&lt;&gt;0,MOD($AA76,12),12)/12)</f>
        <v>114652.87680000001</v>
      </c>
      <c r="CT76" s="128" t="str">
        <f t="shared" ref="CT76:CT107" si="195">IF(MOD($AA76,zapadalnosc_EDO)=0,"tak","nie")</f>
        <v>nie</v>
      </c>
      <c r="CU76" s="128">
        <f t="shared" ref="CU76:CU107" si="196">IF(AND(MOD($AA76,zapadalnosc_EDO)&lt;zapadalnosc_EDO,MOD($AA76,zapadalnosc_EDO)&lt;&gt;0),MIN(CS76-CP76,CN76*koszt_wczesniejszy_wykup_EDO),0)</f>
        <v>3000</v>
      </c>
      <c r="CV76" s="128">
        <f t="shared" ref="CV76:CV107" si="197">CS76-CU76
-(CS76-CP76-CU76)*podatek_Belki</f>
        <v>109438.83020800001</v>
      </c>
      <c r="CW76" s="128">
        <f t="shared" si="76"/>
        <v>0</v>
      </c>
      <c r="CX76" s="130">
        <f t="shared" ref="CX76:CX107" si="198">INDEX(scenariusz_I_konto,MATCH(ROUNDUP($AA76/12,0),scenariusz_I_rok,0))</f>
        <v>4.2500000000000003E-2</v>
      </c>
      <c r="CY76" s="128">
        <f t="shared" ref="CY76:CY107" si="199">CY75*(1+CX76/12*(1-podatek_Belki))+CW76</f>
        <v>0</v>
      </c>
      <c r="CZ76" s="128">
        <f t="shared" ref="CZ76:CZ107" si="200">CY75*(1+CX76/12*(1-podatek_Belki))+CV76</f>
        <v>109438.83020800001</v>
      </c>
      <c r="DA76" s="20"/>
      <c r="DB76" s="127">
        <f t="shared" si="144"/>
        <v>1000</v>
      </c>
      <c r="DC76" s="128">
        <f t="shared" si="145"/>
        <v>100000</v>
      </c>
      <c r="DD76" s="128">
        <f t="shared" si="136"/>
        <v>100000</v>
      </c>
      <c r="DE76" s="128">
        <f t="shared" si="137"/>
        <v>110249.60000000001</v>
      </c>
      <c r="DF76" s="130">
        <f t="shared" ref="DF76:DF107" si="201">IF(AND(MOD($AA76,zapadalnosc_ROS)&lt;=12,MOD($AA76,zapadalnosc_ROS)&lt;&gt;0),proc_I_okres_ROS,(marza_ROS+$BY76))</f>
        <v>4.8000000000000001E-2</v>
      </c>
      <c r="DG76" s="128">
        <f t="shared" ref="DG76:DG107" si="202">DE76*(1+DF76*IF(MOD($AA76,12)&lt;&gt;0,MOD($AA76,12),12)/12)</f>
        <v>114218.58560000001</v>
      </c>
      <c r="DH76" s="128" t="str">
        <f t="shared" ref="DH76:DH107" si="203">IF(MOD($AA76,zapadalnosc_ROS)=0,"tak","nie")</f>
        <v>nie</v>
      </c>
      <c r="DI76" s="128">
        <f t="shared" ref="DI76:DI107" si="204">IF(AND(MOD($AA76,zapadalnosc_ROS)&lt;zapadalnosc_ROS,MOD($AA76,zapadalnosc_ROS)&lt;&gt;0),MIN(DG76-DD76,DB76*koszt_wczesniejszy_wykup_ROS),0)</f>
        <v>2000</v>
      </c>
      <c r="DJ76" s="128">
        <f t="shared" ref="DJ76:DJ107" si="205">DG76-DI76
-(DG76-DD76-DI76)*podatek_Belki</f>
        <v>109897.054336</v>
      </c>
      <c r="DK76" s="128">
        <f t="shared" si="85"/>
        <v>0</v>
      </c>
      <c r="DL76" s="130">
        <f t="shared" ref="DL76:DL107" si="206">INDEX(scenariusz_I_konto,MATCH(ROUNDUP($AA76/12,0),scenariusz_I_rok,0))</f>
        <v>4.2500000000000003E-2</v>
      </c>
      <c r="DM76" s="128">
        <f t="shared" ref="DM76:DM107" si="207">DM75*(1+DL76/12*(1-podatek_Belki))+DK76</f>
        <v>0</v>
      </c>
      <c r="DN76" s="128">
        <f t="shared" ref="DN76:DN107" si="208">DM75*(1+DL76/12*(1-podatek_Belki))+DJ76</f>
        <v>109897.054336</v>
      </c>
      <c r="DP76" s="127">
        <f t="shared" si="146"/>
        <v>1000</v>
      </c>
      <c r="DQ76" s="128">
        <f t="shared" si="147"/>
        <v>100000</v>
      </c>
      <c r="DR76" s="128">
        <f t="shared" si="138"/>
        <v>100000</v>
      </c>
      <c r="DS76" s="128">
        <f t="shared" si="139"/>
        <v>111460.04999999999</v>
      </c>
      <c r="DT76" s="130">
        <f t="shared" ref="DT76:DT107" si="209">IF(AND(MOD($AA76,zapadalnosc_ROD)&lt;=12,MOD($AA76,zapadalnosc_ROD)&lt;&gt;0),proc_I_okres_ROD,(marza_ROD+$BY76))</f>
        <v>5.3000000000000005E-2</v>
      </c>
      <c r="DU76" s="128">
        <f t="shared" ref="DU76:DU107" si="210">DS76*(1+DT76*IF(MOD($AA76,12)&lt;&gt;0,MOD($AA76,12),12)/12)</f>
        <v>115890.58698749998</v>
      </c>
      <c r="DV76" s="128" t="str">
        <f t="shared" ref="DV76:DV107" si="211">IF(MOD($AA76,zapadalnosc_ROD)=0,"tak","nie")</f>
        <v>nie</v>
      </c>
      <c r="DW76" s="128">
        <f t="shared" ref="DW76:DW107" si="212">IF(AND(MOD($AA76,zapadalnosc_ROD)&lt;zapadalnosc_ROD,MOD($AA76,zapadalnosc_ROD)&lt;&gt;0),MIN(DU76-DR76,DP76*koszt_wczesniejszy_wykup_ROD),0)</f>
        <v>3000</v>
      </c>
      <c r="DX76" s="128">
        <f t="shared" si="93"/>
        <v>110441.37545987498</v>
      </c>
      <c r="DY76" s="128">
        <f t="shared" si="94"/>
        <v>0</v>
      </c>
      <c r="DZ76" s="130">
        <f t="shared" ref="DZ76:DZ107" si="213">INDEX(scenariusz_I_konto,MATCH(ROUNDUP($AA76/12,0),scenariusz_I_rok,0))</f>
        <v>4.2500000000000003E-2</v>
      </c>
      <c r="EA76" s="128">
        <f t="shared" ref="EA76:EA107" si="214">EA75*(1+DZ76/12*(1-podatek_Belki))+DY76</f>
        <v>0</v>
      </c>
      <c r="EB76" s="128">
        <f t="shared" ref="EB76:EB107" si="215">EA75*(1+DZ76/12*(1-podatek_Belki))+DX76</f>
        <v>110441.37545987498</v>
      </c>
    </row>
    <row r="77" spans="1:137">
      <c r="A77" s="224"/>
      <c r="B77" s="188">
        <f t="shared" ref="B77:B108" si="216">AA76</f>
        <v>33</v>
      </c>
      <c r="C77" s="128">
        <f t="shared" ref="C77:C108" si="217">AQ76</f>
        <v>110419.761986269</v>
      </c>
      <c r="D77" s="128">
        <f t="shared" ref="D77:D108" si="218">BG76</f>
        <v>110071.78931078181</v>
      </c>
      <c r="E77" s="128">
        <f t="shared" ref="E77:E108" si="219">BW76</f>
        <v>109991.83871096875</v>
      </c>
      <c r="F77" s="128">
        <f t="shared" ref="F77:F108" si="220">CL76</f>
        <v>108867.33095014592</v>
      </c>
      <c r="G77" s="128">
        <f t="shared" ref="G77:G108" si="221">CZ76</f>
        <v>109438.83020800001</v>
      </c>
      <c r="H77" s="128">
        <f t="shared" ref="H77:H108" si="222">DN76</f>
        <v>109897.054336</v>
      </c>
      <c r="I77" s="128">
        <f t="shared" ref="I77:I108" si="223">EB76</f>
        <v>110441.37545987498</v>
      </c>
      <c r="J77" s="128">
        <f t="shared" ref="J77:J108" si="224">FV(INDEX(scenariusz_I_konto,MATCH(ROUNDUP(B77/12,0),scenariusz_I_rok,0))/12*(1-podatek_Belki),1,0,-J76,1)</f>
        <v>109914.56746659186</v>
      </c>
      <c r="K77" s="128">
        <f t="shared" ref="K77:K108" si="225">AB76</f>
        <v>107897.64639999998</v>
      </c>
      <c r="M77" s="36"/>
      <c r="N77" s="32">
        <f t="shared" ref="N77:N108" si="226">B77</f>
        <v>33</v>
      </c>
      <c r="O77" s="25">
        <f t="shared" si="109"/>
        <v>0.10419761986268994</v>
      </c>
      <c r="P77" s="25">
        <f t="shared" si="110"/>
        <v>0.10071789310781809</v>
      </c>
      <c r="Q77" s="25">
        <f t="shared" si="111"/>
        <v>9.9918387109687368E-2</v>
      </c>
      <c r="R77" s="25">
        <f t="shared" si="161"/>
        <v>8.867330950145913E-2</v>
      </c>
      <c r="S77" s="25">
        <f t="shared" si="162"/>
        <v>9.4388302080000042E-2</v>
      </c>
      <c r="T77" s="25">
        <f t="shared" si="163"/>
        <v>9.8970543360000107E-2</v>
      </c>
      <c r="U77" s="25">
        <f t="shared" si="164"/>
        <v>0.1044137545987498</v>
      </c>
      <c r="V77" s="25">
        <f t="shared" si="165"/>
        <v>9.9145674665918726E-2</v>
      </c>
      <c r="W77" s="25">
        <f t="shared" si="166"/>
        <v>7.8976463999999913E-2</v>
      </c>
      <c r="X77" s="36"/>
      <c r="Y77" s="36"/>
      <c r="AA77" s="124">
        <f t="shared" si="113"/>
        <v>34</v>
      </c>
      <c r="AB77" s="128">
        <f t="shared" si="167"/>
        <v>108144.22933333334</v>
      </c>
      <c r="AC77" s="124">
        <f t="shared" si="114"/>
        <v>34</v>
      </c>
      <c r="AD77" s="130">
        <f t="shared" ref="AD77:AD108" si="227">MAX(INDEX(scenariusz_I_stopa_NBP,MATCH(ROUNDUP(AC77/12,0),scenariusz_I_rok,0)),0)</f>
        <v>4.2500000000000003E-2</v>
      </c>
      <c r="AE77" s="127">
        <f t="shared" ref="AE77:AE108" si="228">IF(AK76="tak",
ROUNDDOWN(AM76/zamiana_ROR,0)+ROUNDDOWN(AP76/100,0),
AE76)</f>
        <v>1080</v>
      </c>
      <c r="AF77" s="128">
        <f t="shared" ref="AF77:AF108" si="229">IF(AK76="tak",
ROUNDDOWN(AM76/zamiana_ROR,0)*zamiana_ROR+ROUNDDOWN(AP76/100,0)*100,
AF76)</f>
        <v>107895.8</v>
      </c>
      <c r="AG77" s="128">
        <f t="shared" si="140"/>
        <v>108000</v>
      </c>
      <c r="AH77" s="128">
        <f t="shared" si="118"/>
        <v>108000</v>
      </c>
      <c r="AI77" s="130">
        <f t="shared" si="168"/>
        <v>4.2500000000000003E-2</v>
      </c>
      <c r="AJ77" s="128">
        <f t="shared" si="169"/>
        <v>108382.50000000001</v>
      </c>
      <c r="AK77" s="128" t="str">
        <f t="shared" si="170"/>
        <v>nie</v>
      </c>
      <c r="AL77" s="128">
        <f t="shared" si="171"/>
        <v>540</v>
      </c>
      <c r="AM77" s="128">
        <f t="shared" si="150"/>
        <v>107872.42500000002</v>
      </c>
      <c r="AN77" s="128">
        <f t="shared" si="172"/>
        <v>309.82500000001181</v>
      </c>
      <c r="AO77" s="130">
        <f t="shared" si="173"/>
        <v>4.2500000000000003E-2</v>
      </c>
      <c r="AP77" s="128">
        <f t="shared" si="174"/>
        <v>3175.1834697171257</v>
      </c>
      <c r="AQ77" s="128">
        <f t="shared" si="156"/>
        <v>110737.78346971713</v>
      </c>
      <c r="AS77" s="124">
        <f t="shared" si="119"/>
        <v>34</v>
      </c>
      <c r="AT77" s="130">
        <f t="shared" si="120"/>
        <v>4.2500000000000003E-2</v>
      </c>
      <c r="AU77" s="127">
        <f t="shared" ref="AU77:AU108" si="230">IF(BA76="tak",
ROUNDDOWN(BC76/zamiana_DOR,0)+ROUNDDOWN(BF76/100,0),
AU76)</f>
        <v>1077</v>
      </c>
      <c r="AV77" s="128">
        <f t="shared" ref="AV77:AV108" si="231">IF(BA76="tak",
ROUNDDOWN(BC76/zamiana_DOR,0)*zamiana_DOR+ROUNDDOWN(BF76/100,0)*100,
AV76)</f>
        <v>107599.70000000001</v>
      </c>
      <c r="AW77" s="128">
        <f t="shared" si="151"/>
        <v>107700</v>
      </c>
      <c r="AX77" s="128">
        <f t="shared" si="123"/>
        <v>107700</v>
      </c>
      <c r="AY77" s="130">
        <f t="shared" si="175"/>
        <v>4.4000000000000004E-2</v>
      </c>
      <c r="AZ77" s="128">
        <f t="shared" si="176"/>
        <v>108094.90000000001</v>
      </c>
      <c r="BA77" s="128" t="str">
        <f t="shared" si="177"/>
        <v>nie</v>
      </c>
      <c r="BB77" s="128">
        <f t="shared" si="178"/>
        <v>753.9</v>
      </c>
      <c r="BC77" s="128">
        <f t="shared" si="158"/>
        <v>107409.21</v>
      </c>
      <c r="BD77" s="128">
        <f t="shared" si="179"/>
        <v>319.86900000000708</v>
      </c>
      <c r="BE77" s="130">
        <f t="shared" si="51"/>
        <v>4.2500000000000003E-2</v>
      </c>
      <c r="BF77" s="128">
        <f t="shared" si="180"/>
        <v>3310.8732093733788</v>
      </c>
      <c r="BG77" s="128">
        <f t="shared" si="159"/>
        <v>110400.21420937337</v>
      </c>
      <c r="BI77" s="124">
        <f t="shared" si="124"/>
        <v>34</v>
      </c>
      <c r="BJ77" s="130">
        <f t="shared" si="148"/>
        <v>4.1300000000000003E-2</v>
      </c>
      <c r="BK77" s="127">
        <f t="shared" ref="BK77:BK108" si="232">IF(BQ76="tak",
ROUNDDOWN(BS76/zamiana_TOS,0),
BK76)</f>
        <v>1000</v>
      </c>
      <c r="BL77" s="128">
        <f t="shared" ref="BL77:BL108" si="233">IF(BQ76="tak",
BK77*zamiana_TOS,
BL76)</f>
        <v>100000</v>
      </c>
      <c r="BM77" s="128">
        <f t="shared" si="142"/>
        <v>100000</v>
      </c>
      <c r="BN77" s="128">
        <f t="shared" ref="BN77:BN108" si="234">IF(BQ76="tak",
 BM77,
IF(MOD($AA77,kapitalizacja_odsetek_mc_ROS)&lt;&gt;1,BN76,BP76))</f>
        <v>109516.22499999999</v>
      </c>
      <c r="BO77" s="130">
        <f t="shared" si="181"/>
        <v>4.65E-2</v>
      </c>
      <c r="BP77" s="128">
        <f t="shared" si="182"/>
        <v>113759.97871875</v>
      </c>
      <c r="BQ77" s="128" t="str">
        <f t="shared" si="183"/>
        <v>nie</v>
      </c>
      <c r="BR77" s="128">
        <f t="shared" si="184"/>
        <v>1000</v>
      </c>
      <c r="BS77" s="128">
        <f t="shared" si="153"/>
        <v>110335.58276218751</v>
      </c>
      <c r="BT77" s="128">
        <f t="shared" si="128"/>
        <v>0</v>
      </c>
      <c r="BU77" s="130">
        <f t="shared" si="185"/>
        <v>4.2500000000000003E-2</v>
      </c>
      <c r="BV77" s="128">
        <f t="shared" si="60"/>
        <v>0</v>
      </c>
      <c r="BW77" s="128">
        <f t="shared" si="61"/>
        <v>110335.58276218751</v>
      </c>
      <c r="BY77" s="130">
        <f t="shared" si="149"/>
        <v>2.8000000000000001E-2</v>
      </c>
      <c r="BZ77" s="127">
        <f t="shared" ref="BZ77:BZ108" si="235">IF(CF76="tak",
ROUNDDOWN(CH76/zamiana_COI,0)+ROUNDDOWN(CK76/100,0),
BZ76)</f>
        <v>1000</v>
      </c>
      <c r="CA77" s="128">
        <f t="shared" ref="CA77:CA108" si="236">IF(CF76="tak",
ROUNDDOWN(CH76/zamiana_COI,0)*zamiana_COI+ROUNDDOWN(CK76/100,0)*100,
CA76)</f>
        <v>100000</v>
      </c>
      <c r="CB77" s="128">
        <f t="shared" si="154"/>
        <v>100000</v>
      </c>
      <c r="CC77" s="128">
        <f t="shared" si="131"/>
        <v>100000</v>
      </c>
      <c r="CD77" s="130">
        <f t="shared" si="186"/>
        <v>4.2999999999999997E-2</v>
      </c>
      <c r="CE77" s="128">
        <f t="shared" si="187"/>
        <v>103583.33333333334</v>
      </c>
      <c r="CF77" s="128" t="str">
        <f t="shared" si="188"/>
        <v>nie</v>
      </c>
      <c r="CG77" s="128">
        <f t="shared" si="189"/>
        <v>2000</v>
      </c>
      <c r="CH77" s="128">
        <f t="shared" si="160"/>
        <v>101282.50000000001</v>
      </c>
      <c r="CI77" s="128">
        <f t="shared" si="190"/>
        <v>0</v>
      </c>
      <c r="CJ77" s="130">
        <f t="shared" si="68"/>
        <v>4.2500000000000003E-2</v>
      </c>
      <c r="CK77" s="128">
        <f t="shared" si="191"/>
        <v>7897.6725886216655</v>
      </c>
      <c r="CL77" s="128">
        <f t="shared" si="192"/>
        <v>109180.17258862167</v>
      </c>
      <c r="CN77" s="127">
        <f t="shared" ref="CN77:CN108" si="237">IF(CT76="tak",
ROUNDDOWN(CV76/zamiana_EDO,0),
CN76)</f>
        <v>1000</v>
      </c>
      <c r="CO77" s="128">
        <f t="shared" ref="CO77:CO108" si="238">IF(CT76="tak",
CN77*zamiana_EDO,
CO76)</f>
        <v>100000</v>
      </c>
      <c r="CP77" s="128">
        <f t="shared" si="134"/>
        <v>100000</v>
      </c>
      <c r="CQ77" s="128">
        <f t="shared" ref="CQ77:CQ108" si="239">IF(CT76="tak",
 CP77,
IF(MOD($AA77,kapitalizacja_odsetek_mc_EDO)&lt;&gt;1,CQ76,CS76))</f>
        <v>110668.8</v>
      </c>
      <c r="CR77" s="130">
        <f t="shared" si="193"/>
        <v>4.8000000000000001E-2</v>
      </c>
      <c r="CS77" s="128">
        <f t="shared" si="194"/>
        <v>115095.55200000001</v>
      </c>
      <c r="CT77" s="128" t="str">
        <f t="shared" si="195"/>
        <v>nie</v>
      </c>
      <c r="CU77" s="128">
        <f t="shared" si="196"/>
        <v>3000</v>
      </c>
      <c r="CV77" s="128">
        <f t="shared" si="197"/>
        <v>109797.39712000001</v>
      </c>
      <c r="CW77" s="128">
        <f t="shared" si="76"/>
        <v>0</v>
      </c>
      <c r="CX77" s="130">
        <f t="shared" si="198"/>
        <v>4.2500000000000003E-2</v>
      </c>
      <c r="CY77" s="128">
        <f t="shared" si="199"/>
        <v>0</v>
      </c>
      <c r="CZ77" s="128">
        <f t="shared" si="200"/>
        <v>109797.39712000001</v>
      </c>
      <c r="DA77" s="20"/>
      <c r="DB77" s="127">
        <f t="shared" si="144"/>
        <v>1000</v>
      </c>
      <c r="DC77" s="128">
        <f t="shared" si="145"/>
        <v>100000</v>
      </c>
      <c r="DD77" s="128">
        <f t="shared" si="136"/>
        <v>100000</v>
      </c>
      <c r="DE77" s="128">
        <f t="shared" ref="DE77:DE108" si="240">IF(DH76="tak",
 DD77,
IF(MOD($AA77,kapitalizacja_odsetek_mc_ROS)&lt;&gt;1,DE76,DG76))</f>
        <v>110249.60000000001</v>
      </c>
      <c r="DF77" s="130">
        <f t="shared" si="201"/>
        <v>4.8000000000000001E-2</v>
      </c>
      <c r="DG77" s="128">
        <f t="shared" si="202"/>
        <v>114659.58400000002</v>
      </c>
      <c r="DH77" s="128" t="str">
        <f t="shared" si="203"/>
        <v>nie</v>
      </c>
      <c r="DI77" s="128">
        <f t="shared" si="204"/>
        <v>2000</v>
      </c>
      <c r="DJ77" s="128">
        <f t="shared" si="205"/>
        <v>110254.26304000002</v>
      </c>
      <c r="DK77" s="128">
        <f t="shared" si="85"/>
        <v>0</v>
      </c>
      <c r="DL77" s="130">
        <f t="shared" si="206"/>
        <v>4.2500000000000003E-2</v>
      </c>
      <c r="DM77" s="128">
        <f t="shared" si="207"/>
        <v>0</v>
      </c>
      <c r="DN77" s="128">
        <f t="shared" si="208"/>
        <v>110254.26304000002</v>
      </c>
      <c r="DP77" s="127">
        <f t="shared" si="146"/>
        <v>1000</v>
      </c>
      <c r="DQ77" s="128">
        <f t="shared" si="147"/>
        <v>100000</v>
      </c>
      <c r="DR77" s="128">
        <f t="shared" si="138"/>
        <v>100000</v>
      </c>
      <c r="DS77" s="128">
        <f t="shared" ref="DS77:DS108" si="241">IF(DV76="tak",
 DR77,
IF(MOD($AA77,kapitalizacja_odsetek_mc_ROD)&lt;&gt;1,DS76,DU76))</f>
        <v>111460.04999999999</v>
      </c>
      <c r="DT77" s="130">
        <f t="shared" si="209"/>
        <v>5.3000000000000005E-2</v>
      </c>
      <c r="DU77" s="128">
        <f t="shared" si="210"/>
        <v>116382.86887499999</v>
      </c>
      <c r="DV77" s="128" t="str">
        <f t="shared" si="211"/>
        <v>nie</v>
      </c>
      <c r="DW77" s="128">
        <f t="shared" si="212"/>
        <v>3000</v>
      </c>
      <c r="DX77" s="128">
        <f t="shared" si="93"/>
        <v>110840.12378874999</v>
      </c>
      <c r="DY77" s="128">
        <f t="shared" si="94"/>
        <v>0</v>
      </c>
      <c r="DZ77" s="130">
        <f t="shared" si="213"/>
        <v>4.2500000000000003E-2</v>
      </c>
      <c r="EA77" s="128">
        <f t="shared" si="214"/>
        <v>0</v>
      </c>
      <c r="EB77" s="128">
        <f t="shared" si="215"/>
        <v>110840.12378874999</v>
      </c>
    </row>
    <row r="78" spans="1:137">
      <c r="A78" s="224"/>
      <c r="B78" s="188">
        <f t="shared" si="216"/>
        <v>34</v>
      </c>
      <c r="C78" s="128">
        <f t="shared" si="217"/>
        <v>110737.78346971713</v>
      </c>
      <c r="D78" s="128">
        <f t="shared" si="218"/>
        <v>110400.21420937337</v>
      </c>
      <c r="E78" s="128">
        <f t="shared" si="219"/>
        <v>110335.58276218751</v>
      </c>
      <c r="F78" s="128">
        <f t="shared" si="220"/>
        <v>109180.17258862167</v>
      </c>
      <c r="G78" s="128">
        <f t="shared" si="221"/>
        <v>109797.39712000001</v>
      </c>
      <c r="H78" s="128">
        <f t="shared" si="222"/>
        <v>110254.26304000002</v>
      </c>
      <c r="I78" s="128">
        <f t="shared" si="223"/>
        <v>110840.12378874999</v>
      </c>
      <c r="J78" s="128">
        <f t="shared" si="224"/>
        <v>110229.88488201164</v>
      </c>
      <c r="K78" s="128">
        <f t="shared" si="225"/>
        <v>108144.22933333334</v>
      </c>
      <c r="M78" s="36"/>
      <c r="N78" s="32">
        <f t="shared" si="226"/>
        <v>34</v>
      </c>
      <c r="O78" s="25">
        <f t="shared" si="109"/>
        <v>0.10737783469717144</v>
      </c>
      <c r="P78" s="25">
        <f t="shared" si="110"/>
        <v>0.10400214209373382</v>
      </c>
      <c r="Q78" s="25">
        <f t="shared" si="111"/>
        <v>0.10335582762187512</v>
      </c>
      <c r="R78" s="25">
        <f t="shared" si="161"/>
        <v>9.1801725886216712E-2</v>
      </c>
      <c r="S78" s="25">
        <f t="shared" si="162"/>
        <v>9.7973971200000065E-2</v>
      </c>
      <c r="T78" s="25">
        <f t="shared" si="163"/>
        <v>0.10254263040000011</v>
      </c>
      <c r="U78" s="25">
        <f t="shared" si="164"/>
        <v>0.10840123788749989</v>
      </c>
      <c r="V78" s="25">
        <f t="shared" si="165"/>
        <v>0.10229884882011642</v>
      </c>
      <c r="W78" s="25">
        <f t="shared" si="166"/>
        <v>8.1442293333333415E-2</v>
      </c>
      <c r="X78" s="36"/>
      <c r="Y78" s="36"/>
      <c r="AA78" s="124">
        <f t="shared" si="113"/>
        <v>35</v>
      </c>
      <c r="AB78" s="128">
        <f t="shared" si="167"/>
        <v>108390.81226666666</v>
      </c>
      <c r="AC78" s="124">
        <f t="shared" si="114"/>
        <v>35</v>
      </c>
      <c r="AD78" s="130">
        <f t="shared" si="227"/>
        <v>4.2500000000000003E-2</v>
      </c>
      <c r="AE78" s="127">
        <f t="shared" si="228"/>
        <v>1080</v>
      </c>
      <c r="AF78" s="128">
        <f t="shared" si="229"/>
        <v>107895.8</v>
      </c>
      <c r="AG78" s="128">
        <f t="shared" si="140"/>
        <v>108000</v>
      </c>
      <c r="AH78" s="128">
        <f t="shared" si="118"/>
        <v>108000</v>
      </c>
      <c r="AI78" s="130">
        <f t="shared" si="168"/>
        <v>4.2500000000000003E-2</v>
      </c>
      <c r="AJ78" s="128">
        <f t="shared" si="169"/>
        <v>108382.50000000001</v>
      </c>
      <c r="AK78" s="128" t="str">
        <f t="shared" si="170"/>
        <v>nie</v>
      </c>
      <c r="AL78" s="128">
        <f t="shared" si="171"/>
        <v>540</v>
      </c>
      <c r="AM78" s="128">
        <f t="shared" si="150"/>
        <v>107872.42500000002</v>
      </c>
      <c r="AN78" s="128">
        <f t="shared" si="172"/>
        <v>309.82500000001181</v>
      </c>
      <c r="AO78" s="130">
        <f t="shared" si="173"/>
        <v>4.2500000000000003E-2</v>
      </c>
      <c r="AP78" s="128">
        <f t="shared" si="174"/>
        <v>3494.1172772958885</v>
      </c>
      <c r="AQ78" s="128">
        <f t="shared" si="156"/>
        <v>111056.71727729589</v>
      </c>
      <c r="AS78" s="124">
        <f t="shared" si="119"/>
        <v>35</v>
      </c>
      <c r="AT78" s="130">
        <f t="shared" si="120"/>
        <v>4.2500000000000003E-2</v>
      </c>
      <c r="AU78" s="127">
        <f t="shared" si="230"/>
        <v>1077</v>
      </c>
      <c r="AV78" s="128">
        <f t="shared" si="231"/>
        <v>107599.70000000001</v>
      </c>
      <c r="AW78" s="128">
        <f t="shared" si="151"/>
        <v>107700</v>
      </c>
      <c r="AX78" s="128">
        <f t="shared" si="123"/>
        <v>107700</v>
      </c>
      <c r="AY78" s="130">
        <f t="shared" si="175"/>
        <v>4.4000000000000004E-2</v>
      </c>
      <c r="AZ78" s="128">
        <f t="shared" si="176"/>
        <v>108094.90000000001</v>
      </c>
      <c r="BA78" s="128" t="str">
        <f t="shared" si="177"/>
        <v>nie</v>
      </c>
      <c r="BB78" s="128">
        <f t="shared" si="178"/>
        <v>753.9</v>
      </c>
      <c r="BC78" s="128">
        <f t="shared" si="158"/>
        <v>107409.21</v>
      </c>
      <c r="BD78" s="128">
        <f t="shared" si="179"/>
        <v>319.86900000000708</v>
      </c>
      <c r="BE78" s="130">
        <f t="shared" si="51"/>
        <v>4.2500000000000003E-2</v>
      </c>
      <c r="BF78" s="128">
        <f t="shared" si="180"/>
        <v>3640.2402768927755</v>
      </c>
      <c r="BG78" s="128">
        <f t="shared" si="159"/>
        <v>110729.58127689277</v>
      </c>
      <c r="BI78" s="124">
        <f t="shared" si="124"/>
        <v>35</v>
      </c>
      <c r="BJ78" s="130">
        <f t="shared" si="148"/>
        <v>4.1300000000000003E-2</v>
      </c>
      <c r="BK78" s="127">
        <f t="shared" si="232"/>
        <v>1000</v>
      </c>
      <c r="BL78" s="128">
        <f t="shared" si="233"/>
        <v>100000</v>
      </c>
      <c r="BM78" s="128">
        <f t="shared" si="142"/>
        <v>100000</v>
      </c>
      <c r="BN78" s="128">
        <f t="shared" si="234"/>
        <v>109516.22499999999</v>
      </c>
      <c r="BO78" s="130">
        <f t="shared" si="181"/>
        <v>4.65E-2</v>
      </c>
      <c r="BP78" s="128">
        <f t="shared" si="182"/>
        <v>114184.35409062498</v>
      </c>
      <c r="BQ78" s="128" t="str">
        <f t="shared" si="183"/>
        <v>nie</v>
      </c>
      <c r="BR78" s="128">
        <f t="shared" si="184"/>
        <v>1000</v>
      </c>
      <c r="BS78" s="128">
        <f t="shared" si="153"/>
        <v>110679.32681340624</v>
      </c>
      <c r="BT78" s="128">
        <f t="shared" si="128"/>
        <v>0</v>
      </c>
      <c r="BU78" s="130">
        <f t="shared" si="185"/>
        <v>4.2500000000000003E-2</v>
      </c>
      <c r="BV78" s="128">
        <f t="shared" si="60"/>
        <v>0</v>
      </c>
      <c r="BW78" s="128">
        <f t="shared" si="61"/>
        <v>110679.32681340624</v>
      </c>
      <c r="BY78" s="130">
        <f t="shared" si="149"/>
        <v>2.8000000000000001E-2</v>
      </c>
      <c r="BZ78" s="127">
        <f t="shared" si="235"/>
        <v>1000</v>
      </c>
      <c r="CA78" s="128">
        <f t="shared" si="236"/>
        <v>100000</v>
      </c>
      <c r="CB78" s="128">
        <f t="shared" si="154"/>
        <v>100000</v>
      </c>
      <c r="CC78" s="128">
        <f t="shared" si="131"/>
        <v>100000</v>
      </c>
      <c r="CD78" s="130">
        <f t="shared" si="186"/>
        <v>4.2999999999999997E-2</v>
      </c>
      <c r="CE78" s="128">
        <f t="shared" si="187"/>
        <v>103941.66666666667</v>
      </c>
      <c r="CF78" s="128" t="str">
        <f t="shared" si="188"/>
        <v>nie</v>
      </c>
      <c r="CG78" s="128">
        <f t="shared" si="189"/>
        <v>2000</v>
      </c>
      <c r="CH78" s="128">
        <f t="shared" si="160"/>
        <v>101572.75</v>
      </c>
      <c r="CI78" s="128">
        <f t="shared" si="190"/>
        <v>0</v>
      </c>
      <c r="CJ78" s="130">
        <f t="shared" si="68"/>
        <v>4.2500000000000003E-2</v>
      </c>
      <c r="CK78" s="128">
        <f t="shared" si="191"/>
        <v>7920.3290368602738</v>
      </c>
      <c r="CL78" s="128">
        <f t="shared" si="192"/>
        <v>109493.07903686028</v>
      </c>
      <c r="CN78" s="127">
        <f t="shared" si="237"/>
        <v>1000</v>
      </c>
      <c r="CO78" s="128">
        <f t="shared" si="238"/>
        <v>100000</v>
      </c>
      <c r="CP78" s="128">
        <f t="shared" si="134"/>
        <v>100000</v>
      </c>
      <c r="CQ78" s="128">
        <f t="shared" si="239"/>
        <v>110668.8</v>
      </c>
      <c r="CR78" s="130">
        <f t="shared" si="193"/>
        <v>4.8000000000000001E-2</v>
      </c>
      <c r="CS78" s="128">
        <f t="shared" si="194"/>
        <v>115538.22720000001</v>
      </c>
      <c r="CT78" s="128" t="str">
        <f t="shared" si="195"/>
        <v>nie</v>
      </c>
      <c r="CU78" s="128">
        <f t="shared" si="196"/>
        <v>3000</v>
      </c>
      <c r="CV78" s="128">
        <f t="shared" si="197"/>
        <v>110155.964032</v>
      </c>
      <c r="CW78" s="128">
        <f t="shared" si="76"/>
        <v>0</v>
      </c>
      <c r="CX78" s="130">
        <f t="shared" si="198"/>
        <v>4.2500000000000003E-2</v>
      </c>
      <c r="CY78" s="128">
        <f t="shared" si="199"/>
        <v>0</v>
      </c>
      <c r="CZ78" s="128">
        <f t="shared" si="200"/>
        <v>110155.964032</v>
      </c>
      <c r="DA78" s="20"/>
      <c r="DB78" s="127">
        <f t="shared" si="144"/>
        <v>1000</v>
      </c>
      <c r="DC78" s="128">
        <f t="shared" si="145"/>
        <v>100000</v>
      </c>
      <c r="DD78" s="128">
        <f t="shared" si="136"/>
        <v>100000</v>
      </c>
      <c r="DE78" s="128">
        <f t="shared" si="240"/>
        <v>110249.60000000001</v>
      </c>
      <c r="DF78" s="130">
        <f t="shared" si="201"/>
        <v>4.8000000000000001E-2</v>
      </c>
      <c r="DG78" s="128">
        <f t="shared" si="202"/>
        <v>115100.58240000001</v>
      </c>
      <c r="DH78" s="128" t="str">
        <f t="shared" si="203"/>
        <v>nie</v>
      </c>
      <c r="DI78" s="128">
        <f t="shared" si="204"/>
        <v>2000</v>
      </c>
      <c r="DJ78" s="128">
        <f t="shared" si="205"/>
        <v>110611.47174400001</v>
      </c>
      <c r="DK78" s="128">
        <f t="shared" si="85"/>
        <v>0</v>
      </c>
      <c r="DL78" s="130">
        <f t="shared" si="206"/>
        <v>4.2500000000000003E-2</v>
      </c>
      <c r="DM78" s="128">
        <f t="shared" si="207"/>
        <v>0</v>
      </c>
      <c r="DN78" s="128">
        <f t="shared" si="208"/>
        <v>110611.47174400001</v>
      </c>
      <c r="DP78" s="127">
        <f t="shared" si="146"/>
        <v>1000</v>
      </c>
      <c r="DQ78" s="128">
        <f t="shared" si="147"/>
        <v>100000</v>
      </c>
      <c r="DR78" s="128">
        <f t="shared" si="138"/>
        <v>100000</v>
      </c>
      <c r="DS78" s="128">
        <f t="shared" si="241"/>
        <v>111460.04999999999</v>
      </c>
      <c r="DT78" s="130">
        <f t="shared" si="209"/>
        <v>5.3000000000000005E-2</v>
      </c>
      <c r="DU78" s="128">
        <f t="shared" si="210"/>
        <v>116875.15076249999</v>
      </c>
      <c r="DV78" s="128" t="str">
        <f t="shared" si="211"/>
        <v>nie</v>
      </c>
      <c r="DW78" s="128">
        <f t="shared" si="212"/>
        <v>3000</v>
      </c>
      <c r="DX78" s="128">
        <f t="shared" si="93"/>
        <v>111238.872117625</v>
      </c>
      <c r="DY78" s="128">
        <f t="shared" si="94"/>
        <v>0</v>
      </c>
      <c r="DZ78" s="130">
        <f t="shared" si="213"/>
        <v>4.2500000000000003E-2</v>
      </c>
      <c r="EA78" s="128">
        <f t="shared" si="214"/>
        <v>0</v>
      </c>
      <c r="EB78" s="128">
        <f t="shared" si="215"/>
        <v>111238.872117625</v>
      </c>
    </row>
    <row r="79" spans="1:137" ht="14.25" customHeight="1">
      <c r="A79" s="224"/>
      <c r="B79" s="188">
        <f t="shared" si="216"/>
        <v>35</v>
      </c>
      <c r="C79" s="128">
        <f t="shared" si="217"/>
        <v>111056.71727729589</v>
      </c>
      <c r="D79" s="128">
        <f t="shared" si="218"/>
        <v>110729.58127689277</v>
      </c>
      <c r="E79" s="128">
        <f t="shared" si="219"/>
        <v>110679.32681340624</v>
      </c>
      <c r="F79" s="128">
        <f t="shared" si="220"/>
        <v>109493.07903686028</v>
      </c>
      <c r="G79" s="128">
        <f t="shared" si="221"/>
        <v>110155.964032</v>
      </c>
      <c r="H79" s="128">
        <f t="shared" si="222"/>
        <v>110611.47174400001</v>
      </c>
      <c r="I79" s="128">
        <f t="shared" si="223"/>
        <v>111238.872117625</v>
      </c>
      <c r="J79" s="128">
        <f t="shared" si="224"/>
        <v>110546.10686426691</v>
      </c>
      <c r="K79" s="128">
        <f t="shared" si="225"/>
        <v>108390.81226666666</v>
      </c>
      <c r="M79" s="36"/>
      <c r="N79" s="32">
        <f t="shared" si="226"/>
        <v>35</v>
      </c>
      <c r="O79" s="25">
        <f t="shared" si="109"/>
        <v>0.11056717277295891</v>
      </c>
      <c r="P79" s="25">
        <f t="shared" si="110"/>
        <v>0.10729581276892763</v>
      </c>
      <c r="Q79" s="25">
        <f t="shared" si="111"/>
        <v>0.10679326813406242</v>
      </c>
      <c r="R79" s="25">
        <f t="shared" si="161"/>
        <v>9.4930790368602747E-2</v>
      </c>
      <c r="S79" s="25">
        <f t="shared" si="162"/>
        <v>0.10155964032000009</v>
      </c>
      <c r="T79" s="25">
        <f t="shared" si="163"/>
        <v>0.10611471744000012</v>
      </c>
      <c r="U79" s="25">
        <f t="shared" si="164"/>
        <v>0.11238872117624998</v>
      </c>
      <c r="V79" s="25">
        <f t="shared" si="165"/>
        <v>0.10546106864266913</v>
      </c>
      <c r="W79" s="25">
        <f t="shared" si="166"/>
        <v>8.3908122666666696E-2</v>
      </c>
      <c r="X79" s="36"/>
      <c r="Y79" s="36"/>
      <c r="AA79" s="124">
        <f t="shared" si="113"/>
        <v>36</v>
      </c>
      <c r="AB79" s="128">
        <f t="shared" si="167"/>
        <v>108637.3952</v>
      </c>
      <c r="AC79" s="124">
        <f t="shared" si="114"/>
        <v>36</v>
      </c>
      <c r="AD79" s="130">
        <f t="shared" si="227"/>
        <v>4.2500000000000003E-2</v>
      </c>
      <c r="AE79" s="127">
        <f t="shared" si="228"/>
        <v>1080</v>
      </c>
      <c r="AF79" s="128">
        <f t="shared" si="229"/>
        <v>107895.8</v>
      </c>
      <c r="AG79" s="128">
        <f t="shared" si="140"/>
        <v>108000</v>
      </c>
      <c r="AH79" s="128">
        <f t="shared" si="118"/>
        <v>108000</v>
      </c>
      <c r="AI79" s="130">
        <f t="shared" si="168"/>
        <v>4.2500000000000003E-2</v>
      </c>
      <c r="AJ79" s="128">
        <f t="shared" si="169"/>
        <v>108382.50000000001</v>
      </c>
      <c r="AK79" s="128" t="str">
        <f t="shared" si="170"/>
        <v>tak</v>
      </c>
      <c r="AL79" s="128">
        <f t="shared" si="171"/>
        <v>0</v>
      </c>
      <c r="AM79" s="128">
        <f t="shared" si="150"/>
        <v>108309.82500000001</v>
      </c>
      <c r="AN79" s="128">
        <f t="shared" si="172"/>
        <v>418.22500000000565</v>
      </c>
      <c r="AO79" s="130">
        <f t="shared" si="173"/>
        <v>4.2500000000000003E-2</v>
      </c>
      <c r="AP79" s="128">
        <f t="shared" si="174"/>
        <v>3922.3660262351368</v>
      </c>
      <c r="AQ79" s="128">
        <f t="shared" si="156"/>
        <v>111813.96602623514</v>
      </c>
      <c r="AS79" s="124">
        <f t="shared" si="119"/>
        <v>36</v>
      </c>
      <c r="AT79" s="130">
        <f t="shared" si="120"/>
        <v>4.2500000000000003E-2</v>
      </c>
      <c r="AU79" s="127">
        <f t="shared" si="230"/>
        <v>1077</v>
      </c>
      <c r="AV79" s="128">
        <f t="shared" si="231"/>
        <v>107599.70000000001</v>
      </c>
      <c r="AW79" s="128">
        <f t="shared" si="151"/>
        <v>107700</v>
      </c>
      <c r="AX79" s="128">
        <f t="shared" si="123"/>
        <v>107700</v>
      </c>
      <c r="AY79" s="130">
        <f t="shared" si="175"/>
        <v>4.4000000000000004E-2</v>
      </c>
      <c r="AZ79" s="128">
        <f t="shared" si="176"/>
        <v>108094.90000000001</v>
      </c>
      <c r="BA79" s="128" t="str">
        <f t="shared" si="177"/>
        <v>nie</v>
      </c>
      <c r="BB79" s="128">
        <f t="shared" si="178"/>
        <v>753.9</v>
      </c>
      <c r="BC79" s="128">
        <f t="shared" si="158"/>
        <v>107409.21</v>
      </c>
      <c r="BD79" s="128">
        <f t="shared" si="179"/>
        <v>319.86900000000708</v>
      </c>
      <c r="BE79" s="130">
        <f t="shared" si="51"/>
        <v>4.2500000000000003E-2</v>
      </c>
      <c r="BF79" s="128">
        <f t="shared" si="180"/>
        <v>3970.5522161871186</v>
      </c>
      <c r="BG79" s="128">
        <f t="shared" si="159"/>
        <v>111059.89321618712</v>
      </c>
      <c r="BI79" s="124">
        <f t="shared" si="124"/>
        <v>36</v>
      </c>
      <c r="BJ79" s="130">
        <f t="shared" si="148"/>
        <v>4.1300000000000003E-2</v>
      </c>
      <c r="BK79" s="127">
        <f t="shared" si="232"/>
        <v>1000</v>
      </c>
      <c r="BL79" s="128">
        <f t="shared" si="233"/>
        <v>100000</v>
      </c>
      <c r="BM79" s="128">
        <f t="shared" si="142"/>
        <v>100000</v>
      </c>
      <c r="BN79" s="128">
        <f t="shared" si="234"/>
        <v>109516.22499999999</v>
      </c>
      <c r="BO79" s="130">
        <f t="shared" si="181"/>
        <v>4.65E-2</v>
      </c>
      <c r="BP79" s="128">
        <f t="shared" si="182"/>
        <v>114608.72946249999</v>
      </c>
      <c r="BQ79" s="128" t="str">
        <f t="shared" si="183"/>
        <v>tak</v>
      </c>
      <c r="BR79" s="128">
        <f t="shared" si="184"/>
        <v>0</v>
      </c>
      <c r="BS79" s="128">
        <f t="shared" si="153"/>
        <v>111833.070864625</v>
      </c>
      <c r="BT79" s="128">
        <f t="shared" si="128"/>
        <v>44.970864624992828</v>
      </c>
      <c r="BU79" s="130">
        <f t="shared" si="185"/>
        <v>4.2500000000000003E-2</v>
      </c>
      <c r="BV79" s="128">
        <f t="shared" si="60"/>
        <v>44.970864624992828</v>
      </c>
      <c r="BW79" s="128">
        <f t="shared" si="61"/>
        <v>111833.070864625</v>
      </c>
      <c r="BY79" s="130">
        <f t="shared" si="149"/>
        <v>2.8000000000000001E-2</v>
      </c>
      <c r="BZ79" s="127">
        <f t="shared" si="235"/>
        <v>1000</v>
      </c>
      <c r="CA79" s="128">
        <f t="shared" si="236"/>
        <v>100000</v>
      </c>
      <c r="CB79" s="128">
        <f t="shared" si="154"/>
        <v>100000</v>
      </c>
      <c r="CC79" s="128">
        <f t="shared" si="131"/>
        <v>100000</v>
      </c>
      <c r="CD79" s="130">
        <f t="shared" si="186"/>
        <v>4.2999999999999997E-2</v>
      </c>
      <c r="CE79" s="128">
        <f t="shared" si="187"/>
        <v>104299.99999999999</v>
      </c>
      <c r="CF79" s="128" t="str">
        <f t="shared" si="188"/>
        <v>nie</v>
      </c>
      <c r="CG79" s="128">
        <f t="shared" si="189"/>
        <v>2000</v>
      </c>
      <c r="CH79" s="128">
        <f t="shared" si="160"/>
        <v>101862.99999999999</v>
      </c>
      <c r="CI79" s="128">
        <f t="shared" si="190"/>
        <v>3482.9999999999886</v>
      </c>
      <c r="CJ79" s="130">
        <f t="shared" si="68"/>
        <v>4.2500000000000003E-2</v>
      </c>
      <c r="CK79" s="128">
        <f t="shared" si="191"/>
        <v>11426.050480784756</v>
      </c>
      <c r="CL79" s="128">
        <f t="shared" si="192"/>
        <v>109806.05048078475</v>
      </c>
      <c r="CN79" s="127">
        <f t="shared" si="237"/>
        <v>1000</v>
      </c>
      <c r="CO79" s="128">
        <f t="shared" si="238"/>
        <v>100000</v>
      </c>
      <c r="CP79" s="128">
        <f t="shared" si="134"/>
        <v>100000</v>
      </c>
      <c r="CQ79" s="128">
        <f t="shared" si="239"/>
        <v>110668.8</v>
      </c>
      <c r="CR79" s="130">
        <f t="shared" si="193"/>
        <v>4.8000000000000001E-2</v>
      </c>
      <c r="CS79" s="128">
        <f t="shared" si="194"/>
        <v>115980.90240000001</v>
      </c>
      <c r="CT79" s="128" t="str">
        <f t="shared" si="195"/>
        <v>nie</v>
      </c>
      <c r="CU79" s="128">
        <f t="shared" si="196"/>
        <v>3000</v>
      </c>
      <c r="CV79" s="128">
        <f t="shared" si="197"/>
        <v>110514.530944</v>
      </c>
      <c r="CW79" s="128">
        <f t="shared" si="76"/>
        <v>0</v>
      </c>
      <c r="CX79" s="130">
        <f t="shared" si="198"/>
        <v>4.2500000000000003E-2</v>
      </c>
      <c r="CY79" s="128">
        <f t="shared" si="199"/>
        <v>0</v>
      </c>
      <c r="CZ79" s="128">
        <f t="shared" si="200"/>
        <v>110514.530944</v>
      </c>
      <c r="DA79" s="20"/>
      <c r="DB79" s="127">
        <f t="shared" si="144"/>
        <v>1000</v>
      </c>
      <c r="DC79" s="128">
        <f t="shared" si="145"/>
        <v>100000</v>
      </c>
      <c r="DD79" s="128">
        <f t="shared" si="136"/>
        <v>100000</v>
      </c>
      <c r="DE79" s="128">
        <f t="shared" si="240"/>
        <v>110249.60000000001</v>
      </c>
      <c r="DF79" s="130">
        <f t="shared" si="201"/>
        <v>4.8000000000000001E-2</v>
      </c>
      <c r="DG79" s="128">
        <f t="shared" si="202"/>
        <v>115541.58080000001</v>
      </c>
      <c r="DH79" s="128" t="str">
        <f t="shared" si="203"/>
        <v>nie</v>
      </c>
      <c r="DI79" s="128">
        <f t="shared" si="204"/>
        <v>2000</v>
      </c>
      <c r="DJ79" s="128">
        <f t="shared" si="205"/>
        <v>110968.68044800001</v>
      </c>
      <c r="DK79" s="128">
        <f t="shared" si="85"/>
        <v>0</v>
      </c>
      <c r="DL79" s="130">
        <f t="shared" si="206"/>
        <v>4.2500000000000003E-2</v>
      </c>
      <c r="DM79" s="128">
        <f t="shared" si="207"/>
        <v>0</v>
      </c>
      <c r="DN79" s="128">
        <f t="shared" si="208"/>
        <v>110968.68044800001</v>
      </c>
      <c r="DP79" s="127">
        <f t="shared" si="146"/>
        <v>1000</v>
      </c>
      <c r="DQ79" s="128">
        <f t="shared" si="147"/>
        <v>100000</v>
      </c>
      <c r="DR79" s="128">
        <f t="shared" si="138"/>
        <v>100000</v>
      </c>
      <c r="DS79" s="128">
        <f t="shared" si="241"/>
        <v>111460.04999999999</v>
      </c>
      <c r="DT79" s="130">
        <f t="shared" si="209"/>
        <v>5.3000000000000005E-2</v>
      </c>
      <c r="DU79" s="128">
        <f t="shared" si="210"/>
        <v>117367.43264999997</v>
      </c>
      <c r="DV79" s="128" t="str">
        <f t="shared" si="211"/>
        <v>nie</v>
      </c>
      <c r="DW79" s="128">
        <f t="shared" si="212"/>
        <v>3000</v>
      </c>
      <c r="DX79" s="128">
        <f t="shared" si="93"/>
        <v>111637.62044649998</v>
      </c>
      <c r="DY79" s="128">
        <f t="shared" si="94"/>
        <v>0</v>
      </c>
      <c r="DZ79" s="130">
        <f t="shared" si="213"/>
        <v>4.2500000000000003E-2</v>
      </c>
      <c r="EA79" s="128">
        <f t="shared" si="214"/>
        <v>0</v>
      </c>
      <c r="EB79" s="128">
        <f t="shared" si="215"/>
        <v>111637.62044649998</v>
      </c>
    </row>
    <row r="80" spans="1:137">
      <c r="A80" s="224"/>
      <c r="B80" s="188">
        <f t="shared" si="216"/>
        <v>36</v>
      </c>
      <c r="C80" s="128">
        <f t="shared" si="217"/>
        <v>111813.96602623514</v>
      </c>
      <c r="D80" s="128">
        <f t="shared" si="218"/>
        <v>111059.89321618712</v>
      </c>
      <c r="E80" s="128">
        <f t="shared" si="219"/>
        <v>111833.070864625</v>
      </c>
      <c r="F80" s="128">
        <f t="shared" si="220"/>
        <v>109806.05048078475</v>
      </c>
      <c r="G80" s="128">
        <f t="shared" si="221"/>
        <v>110514.530944</v>
      </c>
      <c r="H80" s="128">
        <f t="shared" si="222"/>
        <v>110968.68044800001</v>
      </c>
      <c r="I80" s="128">
        <f t="shared" si="223"/>
        <v>111637.62044649998</v>
      </c>
      <c r="J80" s="128">
        <f t="shared" si="224"/>
        <v>110863.23600833377</v>
      </c>
      <c r="K80" s="128">
        <f t="shared" si="225"/>
        <v>108637.3952</v>
      </c>
      <c r="M80" s="36"/>
      <c r="N80" s="32">
        <f t="shared" si="226"/>
        <v>36</v>
      </c>
      <c r="O80" s="25">
        <f t="shared" si="109"/>
        <v>0.11813966026235145</v>
      </c>
      <c r="P80" s="25">
        <f t="shared" si="110"/>
        <v>0.11059893216187122</v>
      </c>
      <c r="Q80" s="25">
        <f t="shared" si="111"/>
        <v>0.11833070864624995</v>
      </c>
      <c r="R80" s="25">
        <f t="shared" si="161"/>
        <v>9.8060504807847559E-2</v>
      </c>
      <c r="S80" s="25">
        <f t="shared" si="162"/>
        <v>0.10514530943999989</v>
      </c>
      <c r="T80" s="25">
        <f t="shared" si="163"/>
        <v>0.10968680448000012</v>
      </c>
      <c r="U80" s="25">
        <f t="shared" si="164"/>
        <v>0.11637620446499986</v>
      </c>
      <c r="V80" s="25">
        <f t="shared" si="165"/>
        <v>0.10863236008333765</v>
      </c>
      <c r="W80" s="25">
        <f t="shared" si="166"/>
        <v>8.6373951999999976E-2</v>
      </c>
      <c r="X80" s="36"/>
      <c r="Y80" s="36"/>
      <c r="AA80" s="124">
        <f t="shared" si="113"/>
        <v>37</v>
      </c>
      <c r="AB80" s="128">
        <f t="shared" si="167"/>
        <v>108890.88245546666</v>
      </c>
      <c r="AC80" s="124">
        <f t="shared" si="114"/>
        <v>37</v>
      </c>
      <c r="AD80" s="130">
        <f t="shared" si="227"/>
        <v>4.2500000000000003E-2</v>
      </c>
      <c r="AE80" s="127">
        <f t="shared" si="228"/>
        <v>1123</v>
      </c>
      <c r="AF80" s="128">
        <f t="shared" si="229"/>
        <v>112191.6</v>
      </c>
      <c r="AG80" s="128">
        <f t="shared" si="140"/>
        <v>112300</v>
      </c>
      <c r="AH80" s="128">
        <f t="shared" si="118"/>
        <v>112300</v>
      </c>
      <c r="AI80" s="130">
        <f t="shared" si="168"/>
        <v>4.2500000000000003E-2</v>
      </c>
      <c r="AJ80" s="128">
        <f t="shared" si="169"/>
        <v>112697.72916666669</v>
      </c>
      <c r="AK80" s="128" t="str">
        <f t="shared" si="170"/>
        <v>nie</v>
      </c>
      <c r="AL80" s="128">
        <f t="shared" si="171"/>
        <v>397.72916666668607</v>
      </c>
      <c r="AM80" s="128">
        <f t="shared" si="150"/>
        <v>112300</v>
      </c>
      <c r="AN80" s="128">
        <f t="shared" si="172"/>
        <v>322.16062500001573</v>
      </c>
      <c r="AO80" s="130">
        <f t="shared" si="173"/>
        <v>4.2500000000000003E-2</v>
      </c>
      <c r="AP80" s="128">
        <f t="shared" si="174"/>
        <v>344.5908137729146</v>
      </c>
      <c r="AQ80" s="128">
        <f t="shared" si="156"/>
        <v>116233.61831377289</v>
      </c>
      <c r="AS80" s="124">
        <f t="shared" si="119"/>
        <v>37</v>
      </c>
      <c r="AT80" s="130">
        <f t="shared" si="120"/>
        <v>4.2500000000000003E-2</v>
      </c>
      <c r="AU80" s="127">
        <f t="shared" si="230"/>
        <v>1077</v>
      </c>
      <c r="AV80" s="128">
        <f t="shared" si="231"/>
        <v>107599.70000000001</v>
      </c>
      <c r="AW80" s="128">
        <f t="shared" si="151"/>
        <v>107700</v>
      </c>
      <c r="AX80" s="128">
        <f t="shared" si="123"/>
        <v>107700</v>
      </c>
      <c r="AY80" s="130">
        <f t="shared" si="175"/>
        <v>4.4000000000000004E-2</v>
      </c>
      <c r="AZ80" s="128">
        <f t="shared" si="176"/>
        <v>108094.90000000001</v>
      </c>
      <c r="BA80" s="128" t="str">
        <f t="shared" si="177"/>
        <v>nie</v>
      </c>
      <c r="BB80" s="128">
        <f t="shared" si="178"/>
        <v>753.9</v>
      </c>
      <c r="BC80" s="128">
        <f t="shared" si="158"/>
        <v>107409.21</v>
      </c>
      <c r="BD80" s="128">
        <f t="shared" si="179"/>
        <v>319.86900000000708</v>
      </c>
      <c r="BE80" s="130">
        <f t="shared" si="51"/>
        <v>4.2500000000000003E-2</v>
      </c>
      <c r="BF80" s="128">
        <f t="shared" si="180"/>
        <v>4301.8117378573124</v>
      </c>
      <c r="BG80" s="128">
        <f t="shared" si="159"/>
        <v>111391.15273785731</v>
      </c>
      <c r="BI80" s="124">
        <f t="shared" si="124"/>
        <v>37</v>
      </c>
      <c r="BJ80" s="130">
        <f t="shared" si="148"/>
        <v>4.1300000000000003E-2</v>
      </c>
      <c r="BK80" s="127">
        <f t="shared" si="232"/>
        <v>1119</v>
      </c>
      <c r="BL80" s="128">
        <f t="shared" si="233"/>
        <v>111788.1</v>
      </c>
      <c r="BM80" s="128">
        <f t="shared" si="142"/>
        <v>111900</v>
      </c>
      <c r="BN80" s="128">
        <f t="shared" si="234"/>
        <v>111900</v>
      </c>
      <c r="BO80" s="130">
        <f t="shared" si="181"/>
        <v>4.65E-2</v>
      </c>
      <c r="BP80" s="128">
        <f t="shared" si="182"/>
        <v>112333.6125</v>
      </c>
      <c r="BQ80" s="128" t="str">
        <f t="shared" si="183"/>
        <v>nie</v>
      </c>
      <c r="BR80" s="128">
        <f t="shared" si="184"/>
        <v>433.61250000000291</v>
      </c>
      <c r="BS80" s="128">
        <f t="shared" si="153"/>
        <v>111900</v>
      </c>
      <c r="BT80" s="128">
        <f t="shared" si="128"/>
        <v>0</v>
      </c>
      <c r="BU80" s="130">
        <f t="shared" si="185"/>
        <v>4.2500000000000003E-2</v>
      </c>
      <c r="BV80" s="128">
        <f t="shared" si="60"/>
        <v>45.099874792885778</v>
      </c>
      <c r="BW80" s="128">
        <f t="shared" si="61"/>
        <v>111945.09987479288</v>
      </c>
      <c r="BY80" s="130">
        <f t="shared" si="149"/>
        <v>2.8000000000000001E-2</v>
      </c>
      <c r="BZ80" s="127">
        <f t="shared" si="235"/>
        <v>1000</v>
      </c>
      <c r="CA80" s="128">
        <f t="shared" si="236"/>
        <v>100000</v>
      </c>
      <c r="CB80" s="128">
        <f t="shared" si="154"/>
        <v>100000</v>
      </c>
      <c r="CC80" s="128">
        <f t="shared" si="131"/>
        <v>100000</v>
      </c>
      <c r="CD80" s="130">
        <f t="shared" si="186"/>
        <v>4.2999999999999997E-2</v>
      </c>
      <c r="CE80" s="128">
        <f t="shared" si="187"/>
        <v>100358.33333333333</v>
      </c>
      <c r="CF80" s="128" t="str">
        <f t="shared" si="188"/>
        <v>nie</v>
      </c>
      <c r="CG80" s="128">
        <f t="shared" si="189"/>
        <v>2000</v>
      </c>
      <c r="CH80" s="128">
        <f t="shared" si="160"/>
        <v>98670.25</v>
      </c>
      <c r="CI80" s="128">
        <f t="shared" si="190"/>
        <v>0</v>
      </c>
      <c r="CJ80" s="130">
        <f t="shared" si="68"/>
        <v>4.2500000000000003E-2</v>
      </c>
      <c r="CK80" s="128">
        <f t="shared" si="191"/>
        <v>11458.828963101507</v>
      </c>
      <c r="CL80" s="128">
        <f t="shared" si="192"/>
        <v>110129.07896310151</v>
      </c>
      <c r="CN80" s="127">
        <f t="shared" si="237"/>
        <v>1000</v>
      </c>
      <c r="CO80" s="128">
        <f t="shared" si="238"/>
        <v>100000</v>
      </c>
      <c r="CP80" s="128">
        <f t="shared" si="134"/>
        <v>100000</v>
      </c>
      <c r="CQ80" s="128">
        <f t="shared" si="239"/>
        <v>115980.90240000001</v>
      </c>
      <c r="CR80" s="130">
        <f t="shared" si="193"/>
        <v>4.8000000000000001E-2</v>
      </c>
      <c r="CS80" s="128">
        <f t="shared" si="194"/>
        <v>116444.8260096</v>
      </c>
      <c r="CT80" s="128" t="str">
        <f t="shared" si="195"/>
        <v>nie</v>
      </c>
      <c r="CU80" s="128">
        <f t="shared" si="196"/>
        <v>3000</v>
      </c>
      <c r="CV80" s="128">
        <f t="shared" si="197"/>
        <v>110890.309067776</v>
      </c>
      <c r="CW80" s="128">
        <f t="shared" si="76"/>
        <v>0</v>
      </c>
      <c r="CX80" s="130">
        <f t="shared" si="198"/>
        <v>4.2500000000000003E-2</v>
      </c>
      <c r="CY80" s="128">
        <f t="shared" si="199"/>
        <v>0</v>
      </c>
      <c r="CZ80" s="128">
        <f t="shared" si="200"/>
        <v>110890.309067776</v>
      </c>
      <c r="DA80" s="20"/>
      <c r="DB80" s="127">
        <f t="shared" si="144"/>
        <v>1000</v>
      </c>
      <c r="DC80" s="128">
        <f t="shared" si="145"/>
        <v>100000</v>
      </c>
      <c r="DD80" s="128">
        <f t="shared" si="136"/>
        <v>100000</v>
      </c>
      <c r="DE80" s="128">
        <f t="shared" si="240"/>
        <v>115541.58080000001</v>
      </c>
      <c r="DF80" s="130">
        <f t="shared" si="201"/>
        <v>4.8000000000000001E-2</v>
      </c>
      <c r="DG80" s="128">
        <f t="shared" si="202"/>
        <v>116003.74712320001</v>
      </c>
      <c r="DH80" s="128" t="str">
        <f t="shared" si="203"/>
        <v>nie</v>
      </c>
      <c r="DI80" s="128">
        <f t="shared" si="204"/>
        <v>2000</v>
      </c>
      <c r="DJ80" s="128">
        <f t="shared" si="205"/>
        <v>111343.03516979201</v>
      </c>
      <c r="DK80" s="128">
        <f t="shared" si="85"/>
        <v>0</v>
      </c>
      <c r="DL80" s="130">
        <f t="shared" si="206"/>
        <v>4.2500000000000003E-2</v>
      </c>
      <c r="DM80" s="128">
        <f t="shared" si="207"/>
        <v>0</v>
      </c>
      <c r="DN80" s="128">
        <f t="shared" si="208"/>
        <v>111343.03516979201</v>
      </c>
      <c r="DP80" s="127">
        <f t="shared" si="146"/>
        <v>1000</v>
      </c>
      <c r="DQ80" s="128">
        <f t="shared" si="147"/>
        <v>100000</v>
      </c>
      <c r="DR80" s="128">
        <f t="shared" si="138"/>
        <v>100000</v>
      </c>
      <c r="DS80" s="128">
        <f t="shared" si="241"/>
        <v>117367.43264999997</v>
      </c>
      <c r="DT80" s="130">
        <f t="shared" si="209"/>
        <v>5.3000000000000005E-2</v>
      </c>
      <c r="DU80" s="128">
        <f t="shared" si="210"/>
        <v>117885.80547753748</v>
      </c>
      <c r="DV80" s="128" t="str">
        <f t="shared" si="211"/>
        <v>nie</v>
      </c>
      <c r="DW80" s="128">
        <f t="shared" si="212"/>
        <v>3000</v>
      </c>
      <c r="DX80" s="128">
        <f t="shared" si="93"/>
        <v>112057.50243680536</v>
      </c>
      <c r="DY80" s="128">
        <f t="shared" si="94"/>
        <v>0</v>
      </c>
      <c r="DZ80" s="130">
        <f t="shared" si="213"/>
        <v>4.2500000000000003E-2</v>
      </c>
      <c r="EA80" s="128">
        <f t="shared" si="214"/>
        <v>0</v>
      </c>
      <c r="EB80" s="128">
        <f t="shared" si="215"/>
        <v>112057.50243680536</v>
      </c>
    </row>
    <row r="81" spans="1:134">
      <c r="A81" s="224">
        <f>ROUNDUP(B92/12,0)</f>
        <v>4</v>
      </c>
      <c r="B81" s="188">
        <f t="shared" si="216"/>
        <v>37</v>
      </c>
      <c r="C81" s="128">
        <f t="shared" si="217"/>
        <v>116233.61831377289</v>
      </c>
      <c r="D81" s="128">
        <f t="shared" si="218"/>
        <v>111391.15273785731</v>
      </c>
      <c r="E81" s="128">
        <f t="shared" si="219"/>
        <v>111945.09987479288</v>
      </c>
      <c r="F81" s="128">
        <f t="shared" si="220"/>
        <v>110129.07896310151</v>
      </c>
      <c r="G81" s="128">
        <f t="shared" si="221"/>
        <v>110890.309067776</v>
      </c>
      <c r="H81" s="128">
        <f t="shared" si="222"/>
        <v>111343.03516979201</v>
      </c>
      <c r="I81" s="128">
        <f t="shared" si="223"/>
        <v>112057.50243680536</v>
      </c>
      <c r="J81" s="128">
        <f t="shared" si="224"/>
        <v>111181.27491663267</v>
      </c>
      <c r="K81" s="128">
        <f t="shared" si="225"/>
        <v>108890.88245546666</v>
      </c>
      <c r="M81" s="36"/>
      <c r="N81" s="32">
        <f t="shared" si="226"/>
        <v>37</v>
      </c>
      <c r="O81" s="25">
        <f t="shared" si="109"/>
        <v>0.16233618313772902</v>
      </c>
      <c r="P81" s="25">
        <f t="shared" si="110"/>
        <v>0.11391152737857313</v>
      </c>
      <c r="Q81" s="25">
        <f t="shared" si="111"/>
        <v>0.11945099874792886</v>
      </c>
      <c r="R81" s="25">
        <f t="shared" si="161"/>
        <v>0.10129078963101512</v>
      </c>
      <c r="S81" s="25">
        <f t="shared" si="162"/>
        <v>0.10890309067775994</v>
      </c>
      <c r="T81" s="25">
        <f t="shared" si="163"/>
        <v>0.11343035169792004</v>
      </c>
      <c r="U81" s="25">
        <f t="shared" si="164"/>
        <v>0.12057502436805367</v>
      </c>
      <c r="V81" s="25">
        <f t="shared" si="165"/>
        <v>0.11181274916632677</v>
      </c>
      <c r="W81" s="25">
        <f t="shared" si="166"/>
        <v>8.8908824554666754E-2</v>
      </c>
      <c r="X81" s="36"/>
      <c r="Y81" s="36"/>
      <c r="AA81" s="124">
        <f t="shared" si="113"/>
        <v>38</v>
      </c>
      <c r="AB81" s="128">
        <f t="shared" si="167"/>
        <v>109144.36971093333</v>
      </c>
      <c r="AC81" s="124">
        <f t="shared" si="114"/>
        <v>38</v>
      </c>
      <c r="AD81" s="130">
        <f t="shared" si="227"/>
        <v>4.2500000000000003E-2</v>
      </c>
      <c r="AE81" s="127">
        <f t="shared" si="228"/>
        <v>1123</v>
      </c>
      <c r="AF81" s="128">
        <f t="shared" si="229"/>
        <v>112191.6</v>
      </c>
      <c r="AG81" s="128">
        <f t="shared" si="140"/>
        <v>112300</v>
      </c>
      <c r="AH81" s="128">
        <f t="shared" si="118"/>
        <v>112300</v>
      </c>
      <c r="AI81" s="130">
        <f t="shared" si="168"/>
        <v>4.2500000000000003E-2</v>
      </c>
      <c r="AJ81" s="128">
        <f t="shared" si="169"/>
        <v>112697.72916666669</v>
      </c>
      <c r="AK81" s="128" t="str">
        <f t="shared" si="170"/>
        <v>nie</v>
      </c>
      <c r="AL81" s="128">
        <f t="shared" si="171"/>
        <v>561.5</v>
      </c>
      <c r="AM81" s="128">
        <f t="shared" si="150"/>
        <v>112167.34562500002</v>
      </c>
      <c r="AN81" s="128">
        <f t="shared" si="172"/>
        <v>322.16062500001573</v>
      </c>
      <c r="AO81" s="130">
        <f t="shared" si="173"/>
        <v>4.2500000000000003E-2</v>
      </c>
      <c r="AP81" s="128">
        <f t="shared" si="174"/>
        <v>667.73998366994135</v>
      </c>
      <c r="AQ81" s="128">
        <f t="shared" si="156"/>
        <v>112512.92498366995</v>
      </c>
      <c r="AS81" s="124">
        <f t="shared" si="119"/>
        <v>38</v>
      </c>
      <c r="AT81" s="130">
        <f t="shared" si="120"/>
        <v>4.2500000000000003E-2</v>
      </c>
      <c r="AU81" s="127">
        <f t="shared" si="230"/>
        <v>1077</v>
      </c>
      <c r="AV81" s="128">
        <f t="shared" si="231"/>
        <v>107599.70000000001</v>
      </c>
      <c r="AW81" s="128">
        <f t="shared" si="151"/>
        <v>107700</v>
      </c>
      <c r="AX81" s="128">
        <f t="shared" si="123"/>
        <v>107700</v>
      </c>
      <c r="AY81" s="130">
        <f t="shared" si="175"/>
        <v>4.4000000000000004E-2</v>
      </c>
      <c r="AZ81" s="128">
        <f t="shared" si="176"/>
        <v>108094.90000000001</v>
      </c>
      <c r="BA81" s="128" t="str">
        <f t="shared" si="177"/>
        <v>nie</v>
      </c>
      <c r="BB81" s="128">
        <f t="shared" si="178"/>
        <v>753.9</v>
      </c>
      <c r="BC81" s="128">
        <f t="shared" si="158"/>
        <v>107409.21</v>
      </c>
      <c r="BD81" s="128">
        <f t="shared" si="179"/>
        <v>319.86900000000708</v>
      </c>
      <c r="BE81" s="130">
        <f t="shared" si="51"/>
        <v>4.2500000000000003E-2</v>
      </c>
      <c r="BF81" s="128">
        <f t="shared" si="180"/>
        <v>4634.0215602802973</v>
      </c>
      <c r="BG81" s="128">
        <f t="shared" si="159"/>
        <v>111723.36256028029</v>
      </c>
      <c r="BI81" s="124">
        <f t="shared" si="124"/>
        <v>38</v>
      </c>
      <c r="BJ81" s="130">
        <f t="shared" si="148"/>
        <v>4.1300000000000003E-2</v>
      </c>
      <c r="BK81" s="127">
        <f t="shared" si="232"/>
        <v>1119</v>
      </c>
      <c r="BL81" s="128">
        <f t="shared" si="233"/>
        <v>111788.1</v>
      </c>
      <c r="BM81" s="128">
        <f t="shared" si="142"/>
        <v>111900</v>
      </c>
      <c r="BN81" s="128">
        <f t="shared" si="234"/>
        <v>111900</v>
      </c>
      <c r="BO81" s="130">
        <f t="shared" si="181"/>
        <v>4.65E-2</v>
      </c>
      <c r="BP81" s="128">
        <f t="shared" si="182"/>
        <v>112767.22499999999</v>
      </c>
      <c r="BQ81" s="128" t="str">
        <f t="shared" si="183"/>
        <v>nie</v>
      </c>
      <c r="BR81" s="128">
        <f t="shared" si="184"/>
        <v>867.22499999999127</v>
      </c>
      <c r="BS81" s="128">
        <f t="shared" si="153"/>
        <v>111900</v>
      </c>
      <c r="BT81" s="128">
        <f t="shared" si="128"/>
        <v>0</v>
      </c>
      <c r="BU81" s="130">
        <f t="shared" si="185"/>
        <v>4.2500000000000003E-2</v>
      </c>
      <c r="BV81" s="128">
        <f t="shared" si="60"/>
        <v>45.229255058697866</v>
      </c>
      <c r="BW81" s="128">
        <f t="shared" si="61"/>
        <v>111945.2292550587</v>
      </c>
      <c r="BY81" s="130">
        <f t="shared" si="149"/>
        <v>2.8000000000000001E-2</v>
      </c>
      <c r="BZ81" s="127">
        <f t="shared" si="235"/>
        <v>1000</v>
      </c>
      <c r="CA81" s="128">
        <f t="shared" si="236"/>
        <v>100000</v>
      </c>
      <c r="CB81" s="128">
        <f t="shared" si="154"/>
        <v>100000</v>
      </c>
      <c r="CC81" s="128">
        <f t="shared" si="131"/>
        <v>100000</v>
      </c>
      <c r="CD81" s="130">
        <f t="shared" si="186"/>
        <v>4.2999999999999997E-2</v>
      </c>
      <c r="CE81" s="128">
        <f t="shared" si="187"/>
        <v>100716.66666666667</v>
      </c>
      <c r="CF81" s="128" t="str">
        <f t="shared" si="188"/>
        <v>nie</v>
      </c>
      <c r="CG81" s="128">
        <f t="shared" si="189"/>
        <v>2000</v>
      </c>
      <c r="CH81" s="128">
        <f t="shared" si="160"/>
        <v>98960.5</v>
      </c>
      <c r="CI81" s="128">
        <f t="shared" si="190"/>
        <v>0</v>
      </c>
      <c r="CJ81" s="130">
        <f t="shared" si="68"/>
        <v>4.2500000000000003E-2</v>
      </c>
      <c r="CK81" s="128">
        <f t="shared" si="191"/>
        <v>11491.701478689403</v>
      </c>
      <c r="CL81" s="128">
        <f t="shared" si="192"/>
        <v>110452.2014786894</v>
      </c>
      <c r="CN81" s="127">
        <f t="shared" si="237"/>
        <v>1000</v>
      </c>
      <c r="CO81" s="128">
        <f t="shared" si="238"/>
        <v>100000</v>
      </c>
      <c r="CP81" s="128">
        <f t="shared" si="134"/>
        <v>100000</v>
      </c>
      <c r="CQ81" s="128">
        <f t="shared" si="239"/>
        <v>115980.90240000001</v>
      </c>
      <c r="CR81" s="130">
        <f t="shared" si="193"/>
        <v>4.8000000000000001E-2</v>
      </c>
      <c r="CS81" s="128">
        <f t="shared" si="194"/>
        <v>116908.74961920001</v>
      </c>
      <c r="CT81" s="128" t="str">
        <f t="shared" si="195"/>
        <v>nie</v>
      </c>
      <c r="CU81" s="128">
        <f t="shared" si="196"/>
        <v>3000</v>
      </c>
      <c r="CV81" s="128">
        <f t="shared" si="197"/>
        <v>111266.08719155201</v>
      </c>
      <c r="CW81" s="128">
        <f t="shared" si="76"/>
        <v>0</v>
      </c>
      <c r="CX81" s="130">
        <f t="shared" si="198"/>
        <v>4.2500000000000003E-2</v>
      </c>
      <c r="CY81" s="128">
        <f t="shared" si="199"/>
        <v>0</v>
      </c>
      <c r="CZ81" s="128">
        <f t="shared" si="200"/>
        <v>111266.08719155201</v>
      </c>
      <c r="DA81" s="20"/>
      <c r="DB81" s="127">
        <f t="shared" si="144"/>
        <v>1000</v>
      </c>
      <c r="DC81" s="128">
        <f t="shared" si="145"/>
        <v>100000</v>
      </c>
      <c r="DD81" s="128">
        <f t="shared" si="136"/>
        <v>100000</v>
      </c>
      <c r="DE81" s="128">
        <f t="shared" si="240"/>
        <v>115541.58080000001</v>
      </c>
      <c r="DF81" s="130">
        <f t="shared" si="201"/>
        <v>4.8000000000000001E-2</v>
      </c>
      <c r="DG81" s="128">
        <f t="shared" si="202"/>
        <v>116465.91344640001</v>
      </c>
      <c r="DH81" s="128" t="str">
        <f t="shared" si="203"/>
        <v>nie</v>
      </c>
      <c r="DI81" s="128">
        <f t="shared" si="204"/>
        <v>2000</v>
      </c>
      <c r="DJ81" s="128">
        <f t="shared" si="205"/>
        <v>111717.38989158401</v>
      </c>
      <c r="DK81" s="128">
        <f t="shared" si="85"/>
        <v>0</v>
      </c>
      <c r="DL81" s="130">
        <f t="shared" si="206"/>
        <v>4.2500000000000003E-2</v>
      </c>
      <c r="DM81" s="128">
        <f t="shared" si="207"/>
        <v>0</v>
      </c>
      <c r="DN81" s="128">
        <f t="shared" si="208"/>
        <v>111717.38989158401</v>
      </c>
      <c r="DP81" s="127">
        <f t="shared" si="146"/>
        <v>1000</v>
      </c>
      <c r="DQ81" s="128">
        <f t="shared" si="147"/>
        <v>100000</v>
      </c>
      <c r="DR81" s="128">
        <f t="shared" si="138"/>
        <v>100000</v>
      </c>
      <c r="DS81" s="128">
        <f t="shared" si="241"/>
        <v>117367.43264999997</v>
      </c>
      <c r="DT81" s="130">
        <f t="shared" si="209"/>
        <v>5.3000000000000005E-2</v>
      </c>
      <c r="DU81" s="128">
        <f t="shared" si="210"/>
        <v>118404.17830507497</v>
      </c>
      <c r="DV81" s="128" t="str">
        <f t="shared" si="211"/>
        <v>nie</v>
      </c>
      <c r="DW81" s="128">
        <f t="shared" si="212"/>
        <v>3000</v>
      </c>
      <c r="DX81" s="128">
        <f t="shared" si="93"/>
        <v>112477.38442711072</v>
      </c>
      <c r="DY81" s="128">
        <f t="shared" si="94"/>
        <v>0</v>
      </c>
      <c r="DZ81" s="130">
        <f t="shared" si="213"/>
        <v>4.2500000000000003E-2</v>
      </c>
      <c r="EA81" s="128">
        <f t="shared" si="214"/>
        <v>0</v>
      </c>
      <c r="EB81" s="128">
        <f t="shared" si="215"/>
        <v>112477.38442711072</v>
      </c>
    </row>
    <row r="82" spans="1:134">
      <c r="A82" s="224"/>
      <c r="B82" s="188">
        <f t="shared" si="216"/>
        <v>38</v>
      </c>
      <c r="C82" s="128">
        <f t="shared" si="217"/>
        <v>112512.92498366995</v>
      </c>
      <c r="D82" s="128">
        <f t="shared" si="218"/>
        <v>111723.36256028029</v>
      </c>
      <c r="E82" s="128">
        <f t="shared" si="219"/>
        <v>111945.2292550587</v>
      </c>
      <c r="F82" s="128">
        <f t="shared" si="220"/>
        <v>110452.2014786894</v>
      </c>
      <c r="G82" s="128">
        <f t="shared" si="221"/>
        <v>111266.08719155201</v>
      </c>
      <c r="H82" s="128">
        <f t="shared" si="222"/>
        <v>111717.38989158401</v>
      </c>
      <c r="I82" s="128">
        <f t="shared" si="223"/>
        <v>112477.38442711072</v>
      </c>
      <c r="J82" s="128">
        <f t="shared" si="224"/>
        <v>111500.22619904975</v>
      </c>
      <c r="K82" s="128">
        <f t="shared" si="225"/>
        <v>109144.36971093333</v>
      </c>
      <c r="M82" s="36"/>
      <c r="N82" s="32">
        <f t="shared" si="226"/>
        <v>38</v>
      </c>
      <c r="O82" s="25">
        <f t="shared" si="109"/>
        <v>0.12512924983669937</v>
      </c>
      <c r="P82" s="25">
        <f t="shared" si="110"/>
        <v>0.11723362560280304</v>
      </c>
      <c r="Q82" s="25">
        <f t="shared" si="111"/>
        <v>0.11945229255058698</v>
      </c>
      <c r="R82" s="25">
        <f t="shared" si="161"/>
        <v>0.10452201478689394</v>
      </c>
      <c r="S82" s="25">
        <f t="shared" si="162"/>
        <v>0.11266087191552021</v>
      </c>
      <c r="T82" s="25">
        <f t="shared" si="163"/>
        <v>0.11717389891584018</v>
      </c>
      <c r="U82" s="25">
        <f t="shared" si="164"/>
        <v>0.12477384427110727</v>
      </c>
      <c r="V82" s="25">
        <f t="shared" si="165"/>
        <v>0.11500226199049757</v>
      </c>
      <c r="W82" s="25">
        <f t="shared" si="166"/>
        <v>9.1443697109333311E-2</v>
      </c>
      <c r="X82" s="36"/>
      <c r="Y82" s="36"/>
      <c r="AA82" s="124">
        <f t="shared" si="113"/>
        <v>39</v>
      </c>
      <c r="AB82" s="128">
        <f t="shared" si="167"/>
        <v>109397.85696639998</v>
      </c>
      <c r="AC82" s="124">
        <f t="shared" si="114"/>
        <v>39</v>
      </c>
      <c r="AD82" s="130">
        <f t="shared" si="227"/>
        <v>4.2500000000000003E-2</v>
      </c>
      <c r="AE82" s="127">
        <f t="shared" si="228"/>
        <v>1123</v>
      </c>
      <c r="AF82" s="128">
        <f t="shared" si="229"/>
        <v>112191.6</v>
      </c>
      <c r="AG82" s="128">
        <f t="shared" si="140"/>
        <v>112300</v>
      </c>
      <c r="AH82" s="128">
        <f t="shared" si="118"/>
        <v>112300</v>
      </c>
      <c r="AI82" s="130">
        <f t="shared" si="168"/>
        <v>4.2500000000000003E-2</v>
      </c>
      <c r="AJ82" s="128">
        <f t="shared" si="169"/>
        <v>112697.72916666669</v>
      </c>
      <c r="AK82" s="128" t="str">
        <f t="shared" si="170"/>
        <v>nie</v>
      </c>
      <c r="AL82" s="128">
        <f t="shared" si="171"/>
        <v>561.5</v>
      </c>
      <c r="AM82" s="128">
        <f t="shared" si="150"/>
        <v>112167.34562500002</v>
      </c>
      <c r="AN82" s="128">
        <f t="shared" si="172"/>
        <v>322.16062500001573</v>
      </c>
      <c r="AO82" s="130">
        <f t="shared" si="173"/>
        <v>4.2500000000000003E-2</v>
      </c>
      <c r="AP82" s="128">
        <f t="shared" si="174"/>
        <v>991.81618774811022</v>
      </c>
      <c r="AQ82" s="128">
        <f t="shared" si="156"/>
        <v>112837.00118774812</v>
      </c>
      <c r="AS82" s="124">
        <f t="shared" si="119"/>
        <v>39</v>
      </c>
      <c r="AT82" s="130">
        <f t="shared" si="120"/>
        <v>4.2500000000000003E-2</v>
      </c>
      <c r="AU82" s="127">
        <f t="shared" si="230"/>
        <v>1077</v>
      </c>
      <c r="AV82" s="128">
        <f t="shared" si="231"/>
        <v>107599.70000000001</v>
      </c>
      <c r="AW82" s="128">
        <f t="shared" si="151"/>
        <v>107700</v>
      </c>
      <c r="AX82" s="128">
        <f t="shared" si="123"/>
        <v>107700</v>
      </c>
      <c r="AY82" s="130">
        <f t="shared" si="175"/>
        <v>4.4000000000000004E-2</v>
      </c>
      <c r="AZ82" s="128">
        <f t="shared" si="176"/>
        <v>108094.90000000001</v>
      </c>
      <c r="BA82" s="128" t="str">
        <f t="shared" si="177"/>
        <v>nie</v>
      </c>
      <c r="BB82" s="128">
        <f t="shared" si="178"/>
        <v>753.9</v>
      </c>
      <c r="BC82" s="128">
        <f t="shared" si="158"/>
        <v>107409.21</v>
      </c>
      <c r="BD82" s="128">
        <f t="shared" si="179"/>
        <v>319.86900000000708</v>
      </c>
      <c r="BE82" s="130">
        <f t="shared" si="51"/>
        <v>4.2500000000000003E-2</v>
      </c>
      <c r="BF82" s="128">
        <f t="shared" si="180"/>
        <v>4967.184409631358</v>
      </c>
      <c r="BG82" s="128">
        <f t="shared" si="159"/>
        <v>112056.52540963136</v>
      </c>
      <c r="BI82" s="124">
        <f t="shared" si="124"/>
        <v>39</v>
      </c>
      <c r="BJ82" s="130">
        <f t="shared" ref="BJ82:BJ113" si="242">MAX(INDEX(scenariusz_I_WIBOR6M,MATCH(ROUNDUP(BI82/12,0),scenariusz_I_rok,0)),0)</f>
        <v>4.1300000000000003E-2</v>
      </c>
      <c r="BK82" s="127">
        <f t="shared" si="232"/>
        <v>1119</v>
      </c>
      <c r="BL82" s="128">
        <f t="shared" si="233"/>
        <v>111788.1</v>
      </c>
      <c r="BM82" s="128">
        <f t="shared" si="142"/>
        <v>111900</v>
      </c>
      <c r="BN82" s="128">
        <f t="shared" si="234"/>
        <v>111900</v>
      </c>
      <c r="BO82" s="130">
        <f t="shared" si="181"/>
        <v>4.65E-2</v>
      </c>
      <c r="BP82" s="128">
        <f t="shared" si="182"/>
        <v>113200.83749999999</v>
      </c>
      <c r="BQ82" s="128" t="str">
        <f t="shared" si="183"/>
        <v>nie</v>
      </c>
      <c r="BR82" s="128">
        <f t="shared" si="184"/>
        <v>1119</v>
      </c>
      <c r="BS82" s="128">
        <f t="shared" si="153"/>
        <v>112047.28837499999</v>
      </c>
      <c r="BT82" s="128">
        <f t="shared" si="128"/>
        <v>0</v>
      </c>
      <c r="BU82" s="130">
        <f t="shared" si="185"/>
        <v>4.2500000000000003E-2</v>
      </c>
      <c r="BV82" s="128">
        <f t="shared" si="60"/>
        <v>45.359006484147507</v>
      </c>
      <c r="BW82" s="128">
        <f t="shared" si="61"/>
        <v>112092.64738148413</v>
      </c>
      <c r="BY82" s="130">
        <f t="shared" si="149"/>
        <v>2.8000000000000001E-2</v>
      </c>
      <c r="BZ82" s="127">
        <f t="shared" si="235"/>
        <v>1000</v>
      </c>
      <c r="CA82" s="128">
        <f t="shared" si="236"/>
        <v>100000</v>
      </c>
      <c r="CB82" s="128">
        <f t="shared" si="154"/>
        <v>100000</v>
      </c>
      <c r="CC82" s="128">
        <f t="shared" si="131"/>
        <v>100000</v>
      </c>
      <c r="CD82" s="130">
        <f t="shared" si="186"/>
        <v>4.2999999999999997E-2</v>
      </c>
      <c r="CE82" s="128">
        <f t="shared" si="187"/>
        <v>101075</v>
      </c>
      <c r="CF82" s="128" t="str">
        <f t="shared" si="188"/>
        <v>nie</v>
      </c>
      <c r="CG82" s="128">
        <f t="shared" si="189"/>
        <v>2000</v>
      </c>
      <c r="CH82" s="128">
        <f t="shared" si="160"/>
        <v>99250.75</v>
      </c>
      <c r="CI82" s="128">
        <f t="shared" si="190"/>
        <v>0</v>
      </c>
      <c r="CJ82" s="130">
        <f t="shared" si="68"/>
        <v>4.2500000000000003E-2</v>
      </c>
      <c r="CK82" s="128">
        <f t="shared" si="191"/>
        <v>11524.668297306393</v>
      </c>
      <c r="CL82" s="128">
        <f t="shared" si="192"/>
        <v>110775.41829730639</v>
      </c>
      <c r="CN82" s="127">
        <f t="shared" si="237"/>
        <v>1000</v>
      </c>
      <c r="CO82" s="128">
        <f t="shared" si="238"/>
        <v>100000</v>
      </c>
      <c r="CP82" s="128">
        <f t="shared" si="134"/>
        <v>100000</v>
      </c>
      <c r="CQ82" s="128">
        <f t="shared" si="239"/>
        <v>115980.90240000001</v>
      </c>
      <c r="CR82" s="130">
        <f t="shared" si="193"/>
        <v>4.8000000000000001E-2</v>
      </c>
      <c r="CS82" s="128">
        <f t="shared" si="194"/>
        <v>117372.67322880001</v>
      </c>
      <c r="CT82" s="128" t="str">
        <f t="shared" si="195"/>
        <v>nie</v>
      </c>
      <c r="CU82" s="128">
        <f t="shared" si="196"/>
        <v>3000</v>
      </c>
      <c r="CV82" s="128">
        <f t="shared" si="197"/>
        <v>111641.865315328</v>
      </c>
      <c r="CW82" s="128">
        <f t="shared" si="76"/>
        <v>0</v>
      </c>
      <c r="CX82" s="130">
        <f t="shared" si="198"/>
        <v>4.2500000000000003E-2</v>
      </c>
      <c r="CY82" s="128">
        <f t="shared" si="199"/>
        <v>0</v>
      </c>
      <c r="CZ82" s="128">
        <f t="shared" si="200"/>
        <v>111641.865315328</v>
      </c>
      <c r="DA82" s="20"/>
      <c r="DB82" s="127">
        <f t="shared" si="144"/>
        <v>1000</v>
      </c>
      <c r="DC82" s="128">
        <f t="shared" si="145"/>
        <v>100000</v>
      </c>
      <c r="DD82" s="128">
        <f t="shared" si="136"/>
        <v>100000</v>
      </c>
      <c r="DE82" s="128">
        <f t="shared" si="240"/>
        <v>115541.58080000001</v>
      </c>
      <c r="DF82" s="130">
        <f t="shared" si="201"/>
        <v>4.8000000000000001E-2</v>
      </c>
      <c r="DG82" s="128">
        <f t="shared" si="202"/>
        <v>116928.07976960001</v>
      </c>
      <c r="DH82" s="128" t="str">
        <f t="shared" si="203"/>
        <v>nie</v>
      </c>
      <c r="DI82" s="128">
        <f t="shared" si="204"/>
        <v>2000</v>
      </c>
      <c r="DJ82" s="128">
        <f t="shared" si="205"/>
        <v>112091.74461337601</v>
      </c>
      <c r="DK82" s="128">
        <f t="shared" si="85"/>
        <v>0</v>
      </c>
      <c r="DL82" s="130">
        <f t="shared" si="206"/>
        <v>4.2500000000000003E-2</v>
      </c>
      <c r="DM82" s="128">
        <f t="shared" si="207"/>
        <v>0</v>
      </c>
      <c r="DN82" s="128">
        <f t="shared" si="208"/>
        <v>112091.74461337601</v>
      </c>
      <c r="DP82" s="127">
        <f t="shared" si="146"/>
        <v>1000</v>
      </c>
      <c r="DQ82" s="128">
        <f t="shared" si="147"/>
        <v>100000</v>
      </c>
      <c r="DR82" s="128">
        <f t="shared" si="138"/>
        <v>100000</v>
      </c>
      <c r="DS82" s="128">
        <f t="shared" si="241"/>
        <v>117367.43264999997</v>
      </c>
      <c r="DT82" s="130">
        <f t="shared" si="209"/>
        <v>5.3000000000000005E-2</v>
      </c>
      <c r="DU82" s="128">
        <f t="shared" si="210"/>
        <v>118922.55113261247</v>
      </c>
      <c r="DV82" s="128" t="str">
        <f t="shared" si="211"/>
        <v>nie</v>
      </c>
      <c r="DW82" s="128">
        <f t="shared" si="212"/>
        <v>3000</v>
      </c>
      <c r="DX82" s="128">
        <f t="shared" si="93"/>
        <v>112897.2664174161</v>
      </c>
      <c r="DY82" s="128">
        <f t="shared" si="94"/>
        <v>0</v>
      </c>
      <c r="DZ82" s="130">
        <f t="shared" si="213"/>
        <v>4.2500000000000003E-2</v>
      </c>
      <c r="EA82" s="128">
        <f t="shared" si="214"/>
        <v>0</v>
      </c>
      <c r="EB82" s="128">
        <f t="shared" si="215"/>
        <v>112897.2664174161</v>
      </c>
    </row>
    <row r="83" spans="1:134">
      <c r="A83" s="224"/>
      <c r="B83" s="188">
        <f t="shared" si="216"/>
        <v>39</v>
      </c>
      <c r="C83" s="128">
        <f t="shared" si="217"/>
        <v>112837.00118774812</v>
      </c>
      <c r="D83" s="128">
        <f t="shared" si="218"/>
        <v>112056.52540963136</v>
      </c>
      <c r="E83" s="128">
        <f t="shared" si="219"/>
        <v>112092.64738148413</v>
      </c>
      <c r="F83" s="128">
        <f t="shared" si="220"/>
        <v>110775.41829730639</v>
      </c>
      <c r="G83" s="128">
        <f t="shared" si="221"/>
        <v>111641.865315328</v>
      </c>
      <c r="H83" s="128">
        <f t="shared" si="222"/>
        <v>112091.74461337601</v>
      </c>
      <c r="I83" s="128">
        <f t="shared" si="223"/>
        <v>112897.2664174161</v>
      </c>
      <c r="J83" s="128">
        <f t="shared" si="224"/>
        <v>111820.09247295828</v>
      </c>
      <c r="K83" s="128">
        <f t="shared" si="225"/>
        <v>109397.85696639998</v>
      </c>
      <c r="M83" s="36"/>
      <c r="N83" s="32">
        <f t="shared" si="226"/>
        <v>39</v>
      </c>
      <c r="O83" s="25">
        <f t="shared" si="109"/>
        <v>0.12837001187748109</v>
      </c>
      <c r="P83" s="25">
        <f t="shared" si="110"/>
        <v>0.12056525409631358</v>
      </c>
      <c r="Q83" s="25">
        <f t="shared" si="111"/>
        <v>0.12092647381484123</v>
      </c>
      <c r="R83" s="25">
        <f t="shared" si="161"/>
        <v>0.10775418297306394</v>
      </c>
      <c r="S83" s="25">
        <f t="shared" si="162"/>
        <v>0.11641865315328004</v>
      </c>
      <c r="T83" s="25">
        <f t="shared" si="163"/>
        <v>0.1209174461337601</v>
      </c>
      <c r="U83" s="25">
        <f t="shared" si="164"/>
        <v>0.12897266417416109</v>
      </c>
      <c r="V83" s="25">
        <f t="shared" si="165"/>
        <v>0.11820092472958277</v>
      </c>
      <c r="W83" s="25">
        <f t="shared" si="166"/>
        <v>9.3978569663999867E-2</v>
      </c>
      <c r="X83" s="36"/>
      <c r="Y83" s="36"/>
      <c r="AA83" s="124">
        <f t="shared" si="113"/>
        <v>40</v>
      </c>
      <c r="AB83" s="128">
        <f t="shared" si="167"/>
        <v>109651.34422186668</v>
      </c>
      <c r="AC83" s="124">
        <f t="shared" si="114"/>
        <v>40</v>
      </c>
      <c r="AD83" s="130">
        <f t="shared" si="227"/>
        <v>4.2500000000000003E-2</v>
      </c>
      <c r="AE83" s="127">
        <f t="shared" si="228"/>
        <v>1123</v>
      </c>
      <c r="AF83" s="128">
        <f t="shared" si="229"/>
        <v>112191.6</v>
      </c>
      <c r="AG83" s="128">
        <f t="shared" si="140"/>
        <v>112300</v>
      </c>
      <c r="AH83" s="128">
        <f t="shared" si="118"/>
        <v>112300</v>
      </c>
      <c r="AI83" s="130">
        <f t="shared" si="168"/>
        <v>4.2500000000000003E-2</v>
      </c>
      <c r="AJ83" s="128">
        <f t="shared" si="169"/>
        <v>112697.72916666669</v>
      </c>
      <c r="AK83" s="128" t="str">
        <f t="shared" si="170"/>
        <v>nie</v>
      </c>
      <c r="AL83" s="128">
        <f t="shared" si="171"/>
        <v>561.5</v>
      </c>
      <c r="AM83" s="128">
        <f t="shared" si="150"/>
        <v>112167.34562500002</v>
      </c>
      <c r="AN83" s="128">
        <f t="shared" si="172"/>
        <v>322.16062500001573</v>
      </c>
      <c r="AO83" s="130">
        <f t="shared" si="173"/>
        <v>4.2500000000000003E-2</v>
      </c>
      <c r="AP83" s="128">
        <f t="shared" si="174"/>
        <v>1316.8220854367282</v>
      </c>
      <c r="AQ83" s="128">
        <f t="shared" si="156"/>
        <v>113162.00708543672</v>
      </c>
      <c r="AS83" s="124">
        <f t="shared" si="119"/>
        <v>40</v>
      </c>
      <c r="AT83" s="130">
        <f t="shared" si="120"/>
        <v>4.2500000000000003E-2</v>
      </c>
      <c r="AU83" s="127">
        <f t="shared" si="230"/>
        <v>1077</v>
      </c>
      <c r="AV83" s="128">
        <f t="shared" si="231"/>
        <v>107599.70000000001</v>
      </c>
      <c r="AW83" s="128">
        <f t="shared" si="151"/>
        <v>107700</v>
      </c>
      <c r="AX83" s="128">
        <f t="shared" si="123"/>
        <v>107700</v>
      </c>
      <c r="AY83" s="130">
        <f t="shared" si="175"/>
        <v>4.4000000000000004E-2</v>
      </c>
      <c r="AZ83" s="128">
        <f t="shared" si="176"/>
        <v>108094.90000000001</v>
      </c>
      <c r="BA83" s="128" t="str">
        <f t="shared" si="177"/>
        <v>nie</v>
      </c>
      <c r="BB83" s="128">
        <f t="shared" si="178"/>
        <v>753.9</v>
      </c>
      <c r="BC83" s="128">
        <f t="shared" si="158"/>
        <v>107409.21</v>
      </c>
      <c r="BD83" s="128">
        <f t="shared" si="179"/>
        <v>319.86900000000708</v>
      </c>
      <c r="BE83" s="130">
        <f t="shared" si="51"/>
        <v>4.2500000000000003E-2</v>
      </c>
      <c r="BF83" s="128">
        <f t="shared" si="180"/>
        <v>5301.3030199064951</v>
      </c>
      <c r="BG83" s="128">
        <f t="shared" si="159"/>
        <v>112390.6440199065</v>
      </c>
      <c r="BI83" s="124">
        <f t="shared" si="124"/>
        <v>40</v>
      </c>
      <c r="BJ83" s="130">
        <f t="shared" si="242"/>
        <v>4.1300000000000003E-2</v>
      </c>
      <c r="BK83" s="127">
        <f t="shared" si="232"/>
        <v>1119</v>
      </c>
      <c r="BL83" s="128">
        <f t="shared" si="233"/>
        <v>111788.1</v>
      </c>
      <c r="BM83" s="128">
        <f t="shared" si="142"/>
        <v>111900</v>
      </c>
      <c r="BN83" s="128">
        <f t="shared" si="234"/>
        <v>111900</v>
      </c>
      <c r="BO83" s="130">
        <f t="shared" si="181"/>
        <v>4.65E-2</v>
      </c>
      <c r="BP83" s="128">
        <f t="shared" si="182"/>
        <v>113634.45000000001</v>
      </c>
      <c r="BQ83" s="128" t="str">
        <f t="shared" si="183"/>
        <v>nie</v>
      </c>
      <c r="BR83" s="128">
        <f t="shared" si="184"/>
        <v>1119</v>
      </c>
      <c r="BS83" s="128">
        <f t="shared" si="153"/>
        <v>112398.5145</v>
      </c>
      <c r="BT83" s="128">
        <f t="shared" si="128"/>
        <v>0</v>
      </c>
      <c r="BU83" s="130">
        <f t="shared" si="185"/>
        <v>4.2500000000000003E-2</v>
      </c>
      <c r="BV83" s="128">
        <f t="shared" si="60"/>
        <v>45.489130133998906</v>
      </c>
      <c r="BW83" s="128">
        <f t="shared" si="61"/>
        <v>112444.003630134</v>
      </c>
      <c r="BY83" s="130">
        <f t="shared" si="149"/>
        <v>2.8000000000000001E-2</v>
      </c>
      <c r="BZ83" s="127">
        <f t="shared" si="235"/>
        <v>1000</v>
      </c>
      <c r="CA83" s="128">
        <f t="shared" si="236"/>
        <v>100000</v>
      </c>
      <c r="CB83" s="128">
        <f t="shared" si="154"/>
        <v>100000</v>
      </c>
      <c r="CC83" s="128">
        <f t="shared" si="131"/>
        <v>100000</v>
      </c>
      <c r="CD83" s="130">
        <f t="shared" si="186"/>
        <v>4.2999999999999997E-2</v>
      </c>
      <c r="CE83" s="128">
        <f t="shared" si="187"/>
        <v>101433.33333333333</v>
      </c>
      <c r="CF83" s="128" t="str">
        <f t="shared" si="188"/>
        <v>nie</v>
      </c>
      <c r="CG83" s="128">
        <f t="shared" si="189"/>
        <v>2000</v>
      </c>
      <c r="CH83" s="128">
        <f t="shared" si="160"/>
        <v>99541</v>
      </c>
      <c r="CI83" s="128">
        <f t="shared" si="190"/>
        <v>0</v>
      </c>
      <c r="CJ83" s="130">
        <f t="shared" si="68"/>
        <v>4.2500000000000003E-2</v>
      </c>
      <c r="CK83" s="128">
        <f t="shared" si="191"/>
        <v>11557.729689484289</v>
      </c>
      <c r="CL83" s="128">
        <f t="shared" si="192"/>
        <v>111098.72968948429</v>
      </c>
      <c r="CN83" s="127">
        <f t="shared" si="237"/>
        <v>1000</v>
      </c>
      <c r="CO83" s="128">
        <f t="shared" si="238"/>
        <v>100000</v>
      </c>
      <c r="CP83" s="128">
        <f t="shared" si="134"/>
        <v>100000</v>
      </c>
      <c r="CQ83" s="128">
        <f t="shared" si="239"/>
        <v>115980.90240000001</v>
      </c>
      <c r="CR83" s="130">
        <f t="shared" si="193"/>
        <v>4.8000000000000001E-2</v>
      </c>
      <c r="CS83" s="128">
        <f t="shared" si="194"/>
        <v>117836.59683840002</v>
      </c>
      <c r="CT83" s="128" t="str">
        <f t="shared" si="195"/>
        <v>nie</v>
      </c>
      <c r="CU83" s="128">
        <f t="shared" si="196"/>
        <v>3000</v>
      </c>
      <c r="CV83" s="128">
        <f t="shared" si="197"/>
        <v>112017.64343910401</v>
      </c>
      <c r="CW83" s="128">
        <f t="shared" si="76"/>
        <v>0</v>
      </c>
      <c r="CX83" s="130">
        <f t="shared" si="198"/>
        <v>4.2500000000000003E-2</v>
      </c>
      <c r="CY83" s="128">
        <f t="shared" si="199"/>
        <v>0</v>
      </c>
      <c r="CZ83" s="128">
        <f t="shared" si="200"/>
        <v>112017.64343910401</v>
      </c>
      <c r="DA83" s="20"/>
      <c r="DB83" s="127">
        <f t="shared" si="144"/>
        <v>1000</v>
      </c>
      <c r="DC83" s="128">
        <f t="shared" si="145"/>
        <v>100000</v>
      </c>
      <c r="DD83" s="128">
        <f t="shared" si="136"/>
        <v>100000</v>
      </c>
      <c r="DE83" s="128">
        <f t="shared" si="240"/>
        <v>115541.58080000001</v>
      </c>
      <c r="DF83" s="130">
        <f t="shared" si="201"/>
        <v>4.8000000000000001E-2</v>
      </c>
      <c r="DG83" s="128">
        <f t="shared" si="202"/>
        <v>117390.24609280001</v>
      </c>
      <c r="DH83" s="128" t="str">
        <f t="shared" si="203"/>
        <v>nie</v>
      </c>
      <c r="DI83" s="128">
        <f t="shared" si="204"/>
        <v>2000</v>
      </c>
      <c r="DJ83" s="128">
        <f t="shared" si="205"/>
        <v>112466.09933516801</v>
      </c>
      <c r="DK83" s="128">
        <f t="shared" si="85"/>
        <v>0</v>
      </c>
      <c r="DL83" s="130">
        <f t="shared" si="206"/>
        <v>4.2500000000000003E-2</v>
      </c>
      <c r="DM83" s="128">
        <f t="shared" si="207"/>
        <v>0</v>
      </c>
      <c r="DN83" s="128">
        <f t="shared" si="208"/>
        <v>112466.09933516801</v>
      </c>
      <c r="DP83" s="127">
        <f t="shared" si="146"/>
        <v>1000</v>
      </c>
      <c r="DQ83" s="128">
        <f t="shared" si="147"/>
        <v>100000</v>
      </c>
      <c r="DR83" s="128">
        <f t="shared" si="138"/>
        <v>100000</v>
      </c>
      <c r="DS83" s="128">
        <f t="shared" si="241"/>
        <v>117367.43264999997</v>
      </c>
      <c r="DT83" s="130">
        <f t="shared" si="209"/>
        <v>5.3000000000000005E-2</v>
      </c>
      <c r="DU83" s="128">
        <f t="shared" si="210"/>
        <v>119440.92396014997</v>
      </c>
      <c r="DV83" s="128" t="str">
        <f t="shared" si="211"/>
        <v>nie</v>
      </c>
      <c r="DW83" s="128">
        <f t="shared" si="212"/>
        <v>3000</v>
      </c>
      <c r="DX83" s="128">
        <f t="shared" si="93"/>
        <v>113317.14840772148</v>
      </c>
      <c r="DY83" s="128">
        <f t="shared" si="94"/>
        <v>0</v>
      </c>
      <c r="DZ83" s="130">
        <f t="shared" si="213"/>
        <v>4.2500000000000003E-2</v>
      </c>
      <c r="EA83" s="128">
        <f t="shared" si="214"/>
        <v>0</v>
      </c>
      <c r="EB83" s="128">
        <f t="shared" si="215"/>
        <v>113317.14840772148</v>
      </c>
    </row>
    <row r="84" spans="1:134">
      <c r="A84" s="224"/>
      <c r="B84" s="188">
        <f t="shared" si="216"/>
        <v>40</v>
      </c>
      <c r="C84" s="128">
        <f t="shared" si="217"/>
        <v>113162.00708543672</v>
      </c>
      <c r="D84" s="128">
        <f t="shared" si="218"/>
        <v>112390.6440199065</v>
      </c>
      <c r="E84" s="128">
        <f t="shared" si="219"/>
        <v>112444.003630134</v>
      </c>
      <c r="F84" s="128">
        <f t="shared" si="220"/>
        <v>111098.72968948429</v>
      </c>
      <c r="G84" s="128">
        <f t="shared" si="221"/>
        <v>112017.64343910401</v>
      </c>
      <c r="H84" s="128">
        <f t="shared" si="222"/>
        <v>112466.09933516801</v>
      </c>
      <c r="I84" s="128">
        <f t="shared" si="223"/>
        <v>113317.14840772148</v>
      </c>
      <c r="J84" s="128">
        <f t="shared" si="224"/>
        <v>112140.87636324007</v>
      </c>
      <c r="K84" s="128">
        <f t="shared" si="225"/>
        <v>109651.34422186668</v>
      </c>
      <c r="M84" s="36"/>
      <c r="N84" s="32">
        <f t="shared" si="226"/>
        <v>40</v>
      </c>
      <c r="O84" s="25">
        <f t="shared" si="109"/>
        <v>0.13162007085436733</v>
      </c>
      <c r="P84" s="25">
        <f t="shared" si="110"/>
        <v>0.12390644019906505</v>
      </c>
      <c r="Q84" s="25">
        <f t="shared" si="111"/>
        <v>0.12444003630134004</v>
      </c>
      <c r="R84" s="25">
        <f t="shared" si="161"/>
        <v>0.11098729689484288</v>
      </c>
      <c r="S84" s="25">
        <f t="shared" si="162"/>
        <v>0.12017643439104009</v>
      </c>
      <c r="T84" s="25">
        <f t="shared" si="163"/>
        <v>0.12466099335168002</v>
      </c>
      <c r="U84" s="25">
        <f t="shared" si="164"/>
        <v>0.13317148407721491</v>
      </c>
      <c r="V84" s="25">
        <f t="shared" si="165"/>
        <v>0.12140876363240061</v>
      </c>
      <c r="W84" s="25">
        <f t="shared" si="166"/>
        <v>9.6513442218666645E-2</v>
      </c>
      <c r="X84" s="36"/>
      <c r="Y84" s="36"/>
      <c r="AA84" s="124">
        <f t="shared" si="113"/>
        <v>41</v>
      </c>
      <c r="AB84" s="128">
        <f t="shared" si="167"/>
        <v>109904.83147733334</v>
      </c>
      <c r="AC84" s="124">
        <f t="shared" si="114"/>
        <v>41</v>
      </c>
      <c r="AD84" s="130">
        <f t="shared" si="227"/>
        <v>4.2500000000000003E-2</v>
      </c>
      <c r="AE84" s="127">
        <f t="shared" si="228"/>
        <v>1123</v>
      </c>
      <c r="AF84" s="128">
        <f t="shared" si="229"/>
        <v>112191.6</v>
      </c>
      <c r="AG84" s="128">
        <f t="shared" si="140"/>
        <v>112300</v>
      </c>
      <c r="AH84" s="128">
        <f t="shared" si="118"/>
        <v>112300</v>
      </c>
      <c r="AI84" s="130">
        <f t="shared" si="168"/>
        <v>4.2500000000000003E-2</v>
      </c>
      <c r="AJ84" s="128">
        <f t="shared" si="169"/>
        <v>112697.72916666669</v>
      </c>
      <c r="AK84" s="128" t="str">
        <f t="shared" si="170"/>
        <v>nie</v>
      </c>
      <c r="AL84" s="128">
        <f t="shared" si="171"/>
        <v>561.5</v>
      </c>
      <c r="AM84" s="128">
        <f t="shared" si="150"/>
        <v>112167.34562500002</v>
      </c>
      <c r="AN84" s="128">
        <f t="shared" si="172"/>
        <v>322.16062500001573</v>
      </c>
      <c r="AO84" s="130">
        <f t="shared" si="173"/>
        <v>4.2500000000000003E-2</v>
      </c>
      <c r="AP84" s="128">
        <f t="shared" si="174"/>
        <v>1642.7603437943405</v>
      </c>
      <c r="AQ84" s="128">
        <f t="shared" si="156"/>
        <v>113487.94534379434</v>
      </c>
      <c r="AS84" s="124">
        <f t="shared" si="119"/>
        <v>41</v>
      </c>
      <c r="AT84" s="130">
        <f t="shared" si="120"/>
        <v>4.2500000000000003E-2</v>
      </c>
      <c r="AU84" s="127">
        <f t="shared" si="230"/>
        <v>1077</v>
      </c>
      <c r="AV84" s="128">
        <f t="shared" si="231"/>
        <v>107599.70000000001</v>
      </c>
      <c r="AW84" s="128">
        <f t="shared" si="151"/>
        <v>107700</v>
      </c>
      <c r="AX84" s="128">
        <f t="shared" si="123"/>
        <v>107700</v>
      </c>
      <c r="AY84" s="130">
        <f t="shared" si="175"/>
        <v>4.4000000000000004E-2</v>
      </c>
      <c r="AZ84" s="128">
        <f t="shared" si="176"/>
        <v>108094.90000000001</v>
      </c>
      <c r="BA84" s="128" t="str">
        <f t="shared" si="177"/>
        <v>nie</v>
      </c>
      <c r="BB84" s="128">
        <f t="shared" si="178"/>
        <v>753.9</v>
      </c>
      <c r="BC84" s="128">
        <f t="shared" si="158"/>
        <v>107409.21</v>
      </c>
      <c r="BD84" s="128">
        <f t="shared" si="179"/>
        <v>319.86900000000708</v>
      </c>
      <c r="BE84" s="130">
        <f t="shared" si="51"/>
        <v>4.2500000000000003E-2</v>
      </c>
      <c r="BF84" s="128">
        <f t="shared" si="180"/>
        <v>5636.3801329448588</v>
      </c>
      <c r="BG84" s="128">
        <f t="shared" si="159"/>
        <v>112725.72113294486</v>
      </c>
      <c r="BI84" s="124">
        <f t="shared" si="124"/>
        <v>41</v>
      </c>
      <c r="BJ84" s="130">
        <f t="shared" si="242"/>
        <v>4.1300000000000003E-2</v>
      </c>
      <c r="BK84" s="127">
        <f t="shared" si="232"/>
        <v>1119</v>
      </c>
      <c r="BL84" s="128">
        <f t="shared" si="233"/>
        <v>111788.1</v>
      </c>
      <c r="BM84" s="128">
        <f t="shared" si="142"/>
        <v>111900</v>
      </c>
      <c r="BN84" s="128">
        <f t="shared" si="234"/>
        <v>111900</v>
      </c>
      <c r="BO84" s="130">
        <f t="shared" si="181"/>
        <v>4.65E-2</v>
      </c>
      <c r="BP84" s="128">
        <f t="shared" si="182"/>
        <v>114068.06249999999</v>
      </c>
      <c r="BQ84" s="128" t="str">
        <f t="shared" si="183"/>
        <v>nie</v>
      </c>
      <c r="BR84" s="128">
        <f t="shared" si="184"/>
        <v>1119</v>
      </c>
      <c r="BS84" s="128">
        <f t="shared" si="153"/>
        <v>112749.74062499999</v>
      </c>
      <c r="BT84" s="128">
        <f t="shared" si="128"/>
        <v>0</v>
      </c>
      <c r="BU84" s="130">
        <f t="shared" si="185"/>
        <v>4.2500000000000003E-2</v>
      </c>
      <c r="BV84" s="128">
        <f t="shared" si="60"/>
        <v>45.619627076070813</v>
      </c>
      <c r="BW84" s="128">
        <f t="shared" si="61"/>
        <v>112795.36025207606</v>
      </c>
      <c r="BY84" s="130">
        <f t="shared" si="149"/>
        <v>2.8000000000000001E-2</v>
      </c>
      <c r="BZ84" s="127">
        <f t="shared" si="235"/>
        <v>1000</v>
      </c>
      <c r="CA84" s="128">
        <f t="shared" si="236"/>
        <v>100000</v>
      </c>
      <c r="CB84" s="128">
        <f t="shared" si="154"/>
        <v>100000</v>
      </c>
      <c r="CC84" s="128">
        <f t="shared" si="131"/>
        <v>100000</v>
      </c>
      <c r="CD84" s="130">
        <f t="shared" si="186"/>
        <v>4.2999999999999997E-2</v>
      </c>
      <c r="CE84" s="128">
        <f t="shared" si="187"/>
        <v>101791.66666666666</v>
      </c>
      <c r="CF84" s="128" t="str">
        <f t="shared" si="188"/>
        <v>nie</v>
      </c>
      <c r="CG84" s="128">
        <f t="shared" si="189"/>
        <v>2000</v>
      </c>
      <c r="CH84" s="128">
        <f t="shared" si="160"/>
        <v>99831.249999999985</v>
      </c>
      <c r="CI84" s="128">
        <f t="shared" si="190"/>
        <v>0</v>
      </c>
      <c r="CJ84" s="130">
        <f t="shared" si="68"/>
        <v>4.2500000000000003E-2</v>
      </c>
      <c r="CK84" s="128">
        <f t="shared" si="191"/>
        <v>11590.885926530997</v>
      </c>
      <c r="CL84" s="128">
        <f t="shared" si="192"/>
        <v>111422.13592653099</v>
      </c>
      <c r="CN84" s="127">
        <f t="shared" si="237"/>
        <v>1000</v>
      </c>
      <c r="CO84" s="128">
        <f t="shared" si="238"/>
        <v>100000</v>
      </c>
      <c r="CP84" s="128">
        <f t="shared" si="134"/>
        <v>100000</v>
      </c>
      <c r="CQ84" s="128">
        <f t="shared" si="239"/>
        <v>115980.90240000001</v>
      </c>
      <c r="CR84" s="130">
        <f t="shared" si="193"/>
        <v>4.8000000000000001E-2</v>
      </c>
      <c r="CS84" s="128">
        <f t="shared" si="194"/>
        <v>118300.52044800001</v>
      </c>
      <c r="CT84" s="128" t="str">
        <f t="shared" si="195"/>
        <v>nie</v>
      </c>
      <c r="CU84" s="128">
        <f t="shared" si="196"/>
        <v>3000</v>
      </c>
      <c r="CV84" s="128">
        <f t="shared" si="197"/>
        <v>112393.42156288002</v>
      </c>
      <c r="CW84" s="128">
        <f t="shared" si="76"/>
        <v>0</v>
      </c>
      <c r="CX84" s="130">
        <f t="shared" si="198"/>
        <v>4.2500000000000003E-2</v>
      </c>
      <c r="CY84" s="128">
        <f t="shared" si="199"/>
        <v>0</v>
      </c>
      <c r="CZ84" s="128">
        <f t="shared" si="200"/>
        <v>112393.42156288002</v>
      </c>
      <c r="DA84" s="20"/>
      <c r="DB84" s="127">
        <f t="shared" si="144"/>
        <v>1000</v>
      </c>
      <c r="DC84" s="128">
        <f t="shared" si="145"/>
        <v>100000</v>
      </c>
      <c r="DD84" s="128">
        <f t="shared" si="136"/>
        <v>100000</v>
      </c>
      <c r="DE84" s="128">
        <f t="shared" si="240"/>
        <v>115541.58080000001</v>
      </c>
      <c r="DF84" s="130">
        <f t="shared" si="201"/>
        <v>4.8000000000000001E-2</v>
      </c>
      <c r="DG84" s="128">
        <f t="shared" si="202"/>
        <v>117852.41241600001</v>
      </c>
      <c r="DH84" s="128" t="str">
        <f t="shared" si="203"/>
        <v>nie</v>
      </c>
      <c r="DI84" s="128">
        <f t="shared" si="204"/>
        <v>2000</v>
      </c>
      <c r="DJ84" s="128">
        <f t="shared" si="205"/>
        <v>112840.45405696001</v>
      </c>
      <c r="DK84" s="128">
        <f t="shared" si="85"/>
        <v>0</v>
      </c>
      <c r="DL84" s="130">
        <f t="shared" si="206"/>
        <v>4.2500000000000003E-2</v>
      </c>
      <c r="DM84" s="128">
        <f t="shared" si="207"/>
        <v>0</v>
      </c>
      <c r="DN84" s="128">
        <f t="shared" si="208"/>
        <v>112840.45405696001</v>
      </c>
      <c r="DP84" s="127">
        <f t="shared" si="146"/>
        <v>1000</v>
      </c>
      <c r="DQ84" s="128">
        <f t="shared" si="147"/>
        <v>100000</v>
      </c>
      <c r="DR84" s="128">
        <f t="shared" si="138"/>
        <v>100000</v>
      </c>
      <c r="DS84" s="128">
        <f t="shared" si="241"/>
        <v>117367.43264999997</v>
      </c>
      <c r="DT84" s="130">
        <f t="shared" si="209"/>
        <v>5.3000000000000005E-2</v>
      </c>
      <c r="DU84" s="128">
        <f t="shared" si="210"/>
        <v>119959.29678768746</v>
      </c>
      <c r="DV84" s="128" t="str">
        <f t="shared" si="211"/>
        <v>nie</v>
      </c>
      <c r="DW84" s="128">
        <f t="shared" si="212"/>
        <v>3000</v>
      </c>
      <c r="DX84" s="128">
        <f t="shared" si="93"/>
        <v>113737.03039802684</v>
      </c>
      <c r="DY84" s="128">
        <f t="shared" si="94"/>
        <v>0</v>
      </c>
      <c r="DZ84" s="130">
        <f t="shared" si="213"/>
        <v>4.2500000000000003E-2</v>
      </c>
      <c r="EA84" s="128">
        <f t="shared" si="214"/>
        <v>0</v>
      </c>
      <c r="EB84" s="128">
        <f t="shared" si="215"/>
        <v>113737.03039802684</v>
      </c>
    </row>
    <row r="85" spans="1:134">
      <c r="A85" s="224"/>
      <c r="B85" s="188">
        <f t="shared" si="216"/>
        <v>41</v>
      </c>
      <c r="C85" s="128">
        <f t="shared" si="217"/>
        <v>113487.94534379434</v>
      </c>
      <c r="D85" s="128">
        <f t="shared" si="218"/>
        <v>112725.72113294486</v>
      </c>
      <c r="E85" s="128">
        <f t="shared" si="219"/>
        <v>112795.36025207606</v>
      </c>
      <c r="F85" s="128">
        <f t="shared" si="220"/>
        <v>111422.13592653099</v>
      </c>
      <c r="G85" s="128">
        <f t="shared" si="221"/>
        <v>112393.42156288002</v>
      </c>
      <c r="H85" s="128">
        <f t="shared" si="222"/>
        <v>112840.45405696001</v>
      </c>
      <c r="I85" s="128">
        <f t="shared" si="223"/>
        <v>113737.03039802684</v>
      </c>
      <c r="J85" s="128">
        <f t="shared" si="224"/>
        <v>112462.58050230712</v>
      </c>
      <c r="K85" s="128">
        <f t="shared" si="225"/>
        <v>109904.83147733334</v>
      </c>
      <c r="M85" s="36"/>
      <c r="N85" s="32">
        <f t="shared" si="226"/>
        <v>41</v>
      </c>
      <c r="O85" s="25">
        <f t="shared" si="109"/>
        <v>0.13487945343794339</v>
      </c>
      <c r="P85" s="25">
        <f t="shared" si="110"/>
        <v>0.12725721132944856</v>
      </c>
      <c r="Q85" s="25">
        <f t="shared" si="111"/>
        <v>0.1279536025207606</v>
      </c>
      <c r="R85" s="25">
        <f t="shared" si="161"/>
        <v>0.11422135926530985</v>
      </c>
      <c r="S85" s="25">
        <f t="shared" si="162"/>
        <v>0.12393421562880014</v>
      </c>
      <c r="T85" s="25">
        <f t="shared" si="163"/>
        <v>0.12840454056960016</v>
      </c>
      <c r="U85" s="25">
        <f t="shared" si="164"/>
        <v>0.13737030398026828</v>
      </c>
      <c r="V85" s="25">
        <f t="shared" si="165"/>
        <v>0.12462580502307108</v>
      </c>
      <c r="W85" s="25">
        <f t="shared" si="166"/>
        <v>9.9048314773333423E-2</v>
      </c>
      <c r="X85" s="36"/>
      <c r="Y85" s="36"/>
      <c r="AA85" s="124">
        <f t="shared" si="113"/>
        <v>42</v>
      </c>
      <c r="AB85" s="128">
        <f t="shared" si="167"/>
        <v>110158.31873280001</v>
      </c>
      <c r="AC85" s="124">
        <f t="shared" si="114"/>
        <v>42</v>
      </c>
      <c r="AD85" s="130">
        <f t="shared" si="227"/>
        <v>4.2500000000000003E-2</v>
      </c>
      <c r="AE85" s="127">
        <f t="shared" si="228"/>
        <v>1123</v>
      </c>
      <c r="AF85" s="128">
        <f t="shared" si="229"/>
        <v>112191.6</v>
      </c>
      <c r="AG85" s="128">
        <f t="shared" si="140"/>
        <v>112300</v>
      </c>
      <c r="AH85" s="128">
        <f t="shared" si="118"/>
        <v>112300</v>
      </c>
      <c r="AI85" s="130">
        <f t="shared" si="168"/>
        <v>4.2500000000000003E-2</v>
      </c>
      <c r="AJ85" s="128">
        <f t="shared" si="169"/>
        <v>112697.72916666669</v>
      </c>
      <c r="AK85" s="128" t="str">
        <f t="shared" si="170"/>
        <v>nie</v>
      </c>
      <c r="AL85" s="128">
        <f t="shared" si="171"/>
        <v>561.5</v>
      </c>
      <c r="AM85" s="128">
        <f t="shared" si="150"/>
        <v>112167.34562500002</v>
      </c>
      <c r="AN85" s="128">
        <f t="shared" si="172"/>
        <v>322.16062500001573</v>
      </c>
      <c r="AO85" s="130">
        <f t="shared" si="173"/>
        <v>4.2500000000000003E-2</v>
      </c>
      <c r="AP85" s="128">
        <f t="shared" si="174"/>
        <v>1969.6336375306162</v>
      </c>
      <c r="AQ85" s="128">
        <f t="shared" si="156"/>
        <v>113814.81863753061</v>
      </c>
      <c r="AS85" s="124">
        <f t="shared" si="119"/>
        <v>42</v>
      </c>
      <c r="AT85" s="130">
        <f t="shared" si="120"/>
        <v>4.2500000000000003E-2</v>
      </c>
      <c r="AU85" s="127">
        <f t="shared" si="230"/>
        <v>1077</v>
      </c>
      <c r="AV85" s="128">
        <f t="shared" si="231"/>
        <v>107599.70000000001</v>
      </c>
      <c r="AW85" s="128">
        <f t="shared" si="151"/>
        <v>107700</v>
      </c>
      <c r="AX85" s="128">
        <f t="shared" si="123"/>
        <v>107700</v>
      </c>
      <c r="AY85" s="130">
        <f t="shared" si="175"/>
        <v>4.4000000000000004E-2</v>
      </c>
      <c r="AZ85" s="128">
        <f t="shared" si="176"/>
        <v>108094.90000000001</v>
      </c>
      <c r="BA85" s="128" t="str">
        <f t="shared" si="177"/>
        <v>nie</v>
      </c>
      <c r="BB85" s="128">
        <f t="shared" si="178"/>
        <v>753.9</v>
      </c>
      <c r="BC85" s="128">
        <f t="shared" si="158"/>
        <v>107409.21</v>
      </c>
      <c r="BD85" s="128">
        <f t="shared" si="179"/>
        <v>319.86900000000708</v>
      </c>
      <c r="BE85" s="130">
        <f t="shared" si="51"/>
        <v>4.2500000000000003E-2</v>
      </c>
      <c r="BF85" s="128">
        <f t="shared" si="180"/>
        <v>5972.4184984512513</v>
      </c>
      <c r="BG85" s="128">
        <f t="shared" si="159"/>
        <v>113061.75949845125</v>
      </c>
      <c r="BI85" s="124">
        <f t="shared" si="124"/>
        <v>42</v>
      </c>
      <c r="BJ85" s="130">
        <f t="shared" si="242"/>
        <v>4.1300000000000003E-2</v>
      </c>
      <c r="BK85" s="127">
        <f t="shared" si="232"/>
        <v>1119</v>
      </c>
      <c r="BL85" s="128">
        <f t="shared" si="233"/>
        <v>111788.1</v>
      </c>
      <c r="BM85" s="128">
        <f t="shared" si="142"/>
        <v>111900</v>
      </c>
      <c r="BN85" s="128">
        <f t="shared" si="234"/>
        <v>111900</v>
      </c>
      <c r="BO85" s="130">
        <f t="shared" si="181"/>
        <v>4.65E-2</v>
      </c>
      <c r="BP85" s="128">
        <f t="shared" si="182"/>
        <v>114501.675</v>
      </c>
      <c r="BQ85" s="128" t="str">
        <f t="shared" si="183"/>
        <v>nie</v>
      </c>
      <c r="BR85" s="128">
        <f t="shared" si="184"/>
        <v>1119</v>
      </c>
      <c r="BS85" s="128">
        <f t="shared" si="153"/>
        <v>113100.96675000001</v>
      </c>
      <c r="BT85" s="128">
        <f t="shared" si="128"/>
        <v>0</v>
      </c>
      <c r="BU85" s="130">
        <f t="shared" si="185"/>
        <v>4.2500000000000003E-2</v>
      </c>
      <c r="BV85" s="128">
        <f t="shared" si="60"/>
        <v>45.750498381245293</v>
      </c>
      <c r="BW85" s="128">
        <f t="shared" si="61"/>
        <v>113146.71724838125</v>
      </c>
      <c r="BY85" s="130">
        <f t="shared" si="149"/>
        <v>2.8000000000000001E-2</v>
      </c>
      <c r="BZ85" s="127">
        <f t="shared" si="235"/>
        <v>1000</v>
      </c>
      <c r="CA85" s="128">
        <f t="shared" si="236"/>
        <v>100000</v>
      </c>
      <c r="CB85" s="128">
        <f t="shared" si="154"/>
        <v>100000</v>
      </c>
      <c r="CC85" s="128">
        <f t="shared" si="131"/>
        <v>100000</v>
      </c>
      <c r="CD85" s="130">
        <f t="shared" si="186"/>
        <v>4.2999999999999997E-2</v>
      </c>
      <c r="CE85" s="128">
        <f t="shared" si="187"/>
        <v>102150.00000000001</v>
      </c>
      <c r="CF85" s="128" t="str">
        <f t="shared" si="188"/>
        <v>nie</v>
      </c>
      <c r="CG85" s="128">
        <f t="shared" si="189"/>
        <v>2000</v>
      </c>
      <c r="CH85" s="128">
        <f t="shared" si="160"/>
        <v>100121.50000000001</v>
      </c>
      <c r="CI85" s="128">
        <f t="shared" si="190"/>
        <v>0</v>
      </c>
      <c r="CJ85" s="130">
        <f t="shared" si="68"/>
        <v>4.2500000000000003E-2</v>
      </c>
      <c r="CK85" s="128">
        <f t="shared" si="191"/>
        <v>11624.137280532732</v>
      </c>
      <c r="CL85" s="128">
        <f t="shared" si="192"/>
        <v>111745.63728053274</v>
      </c>
      <c r="CN85" s="127">
        <f t="shared" si="237"/>
        <v>1000</v>
      </c>
      <c r="CO85" s="128">
        <f t="shared" si="238"/>
        <v>100000</v>
      </c>
      <c r="CP85" s="128">
        <f t="shared" si="134"/>
        <v>100000</v>
      </c>
      <c r="CQ85" s="128">
        <f t="shared" si="239"/>
        <v>115980.90240000001</v>
      </c>
      <c r="CR85" s="130">
        <f t="shared" si="193"/>
        <v>4.8000000000000001E-2</v>
      </c>
      <c r="CS85" s="128">
        <f t="shared" si="194"/>
        <v>118764.44405760001</v>
      </c>
      <c r="CT85" s="128" t="str">
        <f t="shared" si="195"/>
        <v>nie</v>
      </c>
      <c r="CU85" s="128">
        <f t="shared" si="196"/>
        <v>3000</v>
      </c>
      <c r="CV85" s="128">
        <f t="shared" si="197"/>
        <v>112769.19968665601</v>
      </c>
      <c r="CW85" s="128">
        <f t="shared" si="76"/>
        <v>0</v>
      </c>
      <c r="CX85" s="130">
        <f t="shared" si="198"/>
        <v>4.2500000000000003E-2</v>
      </c>
      <c r="CY85" s="128">
        <f t="shared" si="199"/>
        <v>0</v>
      </c>
      <c r="CZ85" s="128">
        <f t="shared" si="200"/>
        <v>112769.19968665601</v>
      </c>
      <c r="DA85" s="20"/>
      <c r="DB85" s="127">
        <f t="shared" si="144"/>
        <v>1000</v>
      </c>
      <c r="DC85" s="128">
        <f t="shared" si="145"/>
        <v>100000</v>
      </c>
      <c r="DD85" s="128">
        <f t="shared" si="136"/>
        <v>100000</v>
      </c>
      <c r="DE85" s="128">
        <f t="shared" si="240"/>
        <v>115541.58080000001</v>
      </c>
      <c r="DF85" s="130">
        <f t="shared" si="201"/>
        <v>4.8000000000000001E-2</v>
      </c>
      <c r="DG85" s="128">
        <f t="shared" si="202"/>
        <v>118314.57873920002</v>
      </c>
      <c r="DH85" s="128" t="str">
        <f t="shared" si="203"/>
        <v>nie</v>
      </c>
      <c r="DI85" s="128">
        <f t="shared" si="204"/>
        <v>2000</v>
      </c>
      <c r="DJ85" s="128">
        <f t="shared" si="205"/>
        <v>113214.80877875202</v>
      </c>
      <c r="DK85" s="128">
        <f t="shared" si="85"/>
        <v>0</v>
      </c>
      <c r="DL85" s="130">
        <f t="shared" si="206"/>
        <v>4.2500000000000003E-2</v>
      </c>
      <c r="DM85" s="128">
        <f t="shared" si="207"/>
        <v>0</v>
      </c>
      <c r="DN85" s="128">
        <f t="shared" si="208"/>
        <v>113214.80877875202</v>
      </c>
      <c r="DP85" s="127">
        <f t="shared" si="146"/>
        <v>1000</v>
      </c>
      <c r="DQ85" s="128">
        <f t="shared" si="147"/>
        <v>100000</v>
      </c>
      <c r="DR85" s="128">
        <f t="shared" si="138"/>
        <v>100000</v>
      </c>
      <c r="DS85" s="128">
        <f t="shared" si="241"/>
        <v>117367.43264999997</v>
      </c>
      <c r="DT85" s="130">
        <f t="shared" si="209"/>
        <v>5.3000000000000005E-2</v>
      </c>
      <c r="DU85" s="128">
        <f t="shared" si="210"/>
        <v>120477.66961522496</v>
      </c>
      <c r="DV85" s="128" t="str">
        <f t="shared" si="211"/>
        <v>nie</v>
      </c>
      <c r="DW85" s="128">
        <f t="shared" si="212"/>
        <v>3000</v>
      </c>
      <c r="DX85" s="128">
        <f t="shared" si="93"/>
        <v>114156.91238833222</v>
      </c>
      <c r="DY85" s="128">
        <f t="shared" si="94"/>
        <v>0</v>
      </c>
      <c r="DZ85" s="130">
        <f t="shared" si="213"/>
        <v>4.2500000000000003E-2</v>
      </c>
      <c r="EA85" s="128">
        <f t="shared" si="214"/>
        <v>0</v>
      </c>
      <c r="EB85" s="128">
        <f t="shared" si="215"/>
        <v>114156.91238833222</v>
      </c>
    </row>
    <row r="86" spans="1:134">
      <c r="A86" s="224"/>
      <c r="B86" s="188">
        <f t="shared" si="216"/>
        <v>42</v>
      </c>
      <c r="C86" s="128">
        <f t="shared" si="217"/>
        <v>113814.81863753061</v>
      </c>
      <c r="D86" s="128">
        <f t="shared" si="218"/>
        <v>113061.75949845125</v>
      </c>
      <c r="E86" s="128">
        <f t="shared" si="219"/>
        <v>113146.71724838125</v>
      </c>
      <c r="F86" s="128">
        <f t="shared" si="220"/>
        <v>111745.63728053274</v>
      </c>
      <c r="G86" s="128">
        <f t="shared" si="221"/>
        <v>112769.19968665601</v>
      </c>
      <c r="H86" s="128">
        <f t="shared" si="222"/>
        <v>113214.80877875202</v>
      </c>
      <c r="I86" s="128">
        <f t="shared" si="223"/>
        <v>114156.91238833222</v>
      </c>
      <c r="J86" s="128">
        <f t="shared" si="224"/>
        <v>112785.20753012311</v>
      </c>
      <c r="K86" s="128">
        <f t="shared" si="225"/>
        <v>110158.31873280001</v>
      </c>
      <c r="M86" s="36"/>
      <c r="N86" s="32">
        <f t="shared" si="226"/>
        <v>42</v>
      </c>
      <c r="O86" s="25">
        <f t="shared" si="109"/>
        <v>0.13814818637530601</v>
      </c>
      <c r="P86" s="25">
        <f t="shared" si="110"/>
        <v>0.13061759498451253</v>
      </c>
      <c r="Q86" s="25">
        <f t="shared" si="111"/>
        <v>0.13146717248381257</v>
      </c>
      <c r="R86" s="25">
        <f t="shared" si="161"/>
        <v>0.1174563728053275</v>
      </c>
      <c r="S86" s="25">
        <f t="shared" si="162"/>
        <v>0.12769199686655996</v>
      </c>
      <c r="T86" s="25">
        <f t="shared" si="163"/>
        <v>0.1321480877875203</v>
      </c>
      <c r="U86" s="25">
        <f t="shared" si="164"/>
        <v>0.1415691238833221</v>
      </c>
      <c r="V86" s="25">
        <f t="shared" si="165"/>
        <v>0.12785207530123111</v>
      </c>
      <c r="W86" s="25">
        <f t="shared" si="166"/>
        <v>0.10158318732799998</v>
      </c>
      <c r="X86" s="36"/>
      <c r="Y86" s="36"/>
      <c r="AA86" s="124">
        <f t="shared" si="113"/>
        <v>43</v>
      </c>
      <c r="AB86" s="128">
        <f t="shared" si="167"/>
        <v>110411.80598826666</v>
      </c>
      <c r="AC86" s="124">
        <f t="shared" si="114"/>
        <v>43</v>
      </c>
      <c r="AD86" s="130">
        <f t="shared" si="227"/>
        <v>4.2500000000000003E-2</v>
      </c>
      <c r="AE86" s="127">
        <f t="shared" si="228"/>
        <v>1123</v>
      </c>
      <c r="AF86" s="128">
        <f t="shared" si="229"/>
        <v>112191.6</v>
      </c>
      <c r="AG86" s="128">
        <f t="shared" si="140"/>
        <v>112300</v>
      </c>
      <c r="AH86" s="128">
        <f t="shared" si="118"/>
        <v>112300</v>
      </c>
      <c r="AI86" s="130">
        <f t="shared" si="168"/>
        <v>4.2500000000000003E-2</v>
      </c>
      <c r="AJ86" s="128">
        <f t="shared" si="169"/>
        <v>112697.72916666669</v>
      </c>
      <c r="AK86" s="128" t="str">
        <f t="shared" si="170"/>
        <v>nie</v>
      </c>
      <c r="AL86" s="128">
        <f t="shared" si="171"/>
        <v>561.5</v>
      </c>
      <c r="AM86" s="128">
        <f t="shared" si="150"/>
        <v>112167.34562500002</v>
      </c>
      <c r="AN86" s="128">
        <f t="shared" si="172"/>
        <v>322.16062500001573</v>
      </c>
      <c r="AO86" s="130">
        <f t="shared" si="173"/>
        <v>4.2500000000000003E-2</v>
      </c>
      <c r="AP86" s="128">
        <f t="shared" si="174"/>
        <v>2297.444649028298</v>
      </c>
      <c r="AQ86" s="128">
        <f t="shared" si="156"/>
        <v>114142.6296490283</v>
      </c>
      <c r="AS86" s="124">
        <f t="shared" si="119"/>
        <v>43</v>
      </c>
      <c r="AT86" s="130">
        <f t="shared" si="120"/>
        <v>4.2500000000000003E-2</v>
      </c>
      <c r="AU86" s="127">
        <f t="shared" si="230"/>
        <v>1077</v>
      </c>
      <c r="AV86" s="128">
        <f t="shared" si="231"/>
        <v>107599.70000000001</v>
      </c>
      <c r="AW86" s="128">
        <f t="shared" si="151"/>
        <v>107700</v>
      </c>
      <c r="AX86" s="128">
        <f t="shared" si="123"/>
        <v>107700</v>
      </c>
      <c r="AY86" s="130">
        <f t="shared" si="175"/>
        <v>4.4000000000000004E-2</v>
      </c>
      <c r="AZ86" s="128">
        <f t="shared" si="176"/>
        <v>108094.90000000001</v>
      </c>
      <c r="BA86" s="128" t="str">
        <f t="shared" si="177"/>
        <v>nie</v>
      </c>
      <c r="BB86" s="128">
        <f t="shared" si="178"/>
        <v>753.9</v>
      </c>
      <c r="BC86" s="128">
        <f t="shared" si="158"/>
        <v>107409.21</v>
      </c>
      <c r="BD86" s="128">
        <f t="shared" si="179"/>
        <v>319.86900000000708</v>
      </c>
      <c r="BE86" s="130">
        <f t="shared" si="51"/>
        <v>4.2500000000000003E-2</v>
      </c>
      <c r="BF86" s="128">
        <f t="shared" si="180"/>
        <v>6309.4208740186905</v>
      </c>
      <c r="BG86" s="128">
        <f t="shared" si="159"/>
        <v>113398.76187401869</v>
      </c>
      <c r="BI86" s="124">
        <f t="shared" si="124"/>
        <v>43</v>
      </c>
      <c r="BJ86" s="130">
        <f t="shared" si="242"/>
        <v>4.1300000000000003E-2</v>
      </c>
      <c r="BK86" s="127">
        <f t="shared" si="232"/>
        <v>1119</v>
      </c>
      <c r="BL86" s="128">
        <f t="shared" si="233"/>
        <v>111788.1</v>
      </c>
      <c r="BM86" s="128">
        <f t="shared" si="142"/>
        <v>111900</v>
      </c>
      <c r="BN86" s="128">
        <f t="shared" si="234"/>
        <v>111900</v>
      </c>
      <c r="BO86" s="130">
        <f t="shared" si="181"/>
        <v>4.65E-2</v>
      </c>
      <c r="BP86" s="128">
        <f t="shared" si="182"/>
        <v>114935.28750000001</v>
      </c>
      <c r="BQ86" s="128" t="str">
        <f t="shared" si="183"/>
        <v>nie</v>
      </c>
      <c r="BR86" s="128">
        <f t="shared" si="184"/>
        <v>1119</v>
      </c>
      <c r="BS86" s="128">
        <f t="shared" si="153"/>
        <v>113452.19287500001</v>
      </c>
      <c r="BT86" s="128">
        <f t="shared" si="128"/>
        <v>0</v>
      </c>
      <c r="BU86" s="130">
        <f t="shared" si="185"/>
        <v>4.2500000000000003E-2</v>
      </c>
      <c r="BV86" s="128">
        <f t="shared" si="60"/>
        <v>45.881745123476492</v>
      </c>
      <c r="BW86" s="128">
        <f t="shared" si="61"/>
        <v>113498.07462012349</v>
      </c>
      <c r="BY86" s="130">
        <f t="shared" si="149"/>
        <v>2.8000000000000001E-2</v>
      </c>
      <c r="BZ86" s="127">
        <f t="shared" si="235"/>
        <v>1000</v>
      </c>
      <c r="CA86" s="128">
        <f t="shared" si="236"/>
        <v>100000</v>
      </c>
      <c r="CB86" s="128">
        <f t="shared" si="154"/>
        <v>100000</v>
      </c>
      <c r="CC86" s="128">
        <f t="shared" si="131"/>
        <v>100000</v>
      </c>
      <c r="CD86" s="130">
        <f t="shared" si="186"/>
        <v>4.2999999999999997E-2</v>
      </c>
      <c r="CE86" s="128">
        <f t="shared" si="187"/>
        <v>102508.33333333333</v>
      </c>
      <c r="CF86" s="128" t="str">
        <f t="shared" si="188"/>
        <v>nie</v>
      </c>
      <c r="CG86" s="128">
        <f t="shared" si="189"/>
        <v>2000</v>
      </c>
      <c r="CH86" s="128">
        <f t="shared" si="160"/>
        <v>100411.75</v>
      </c>
      <c r="CI86" s="128">
        <f t="shared" si="190"/>
        <v>0</v>
      </c>
      <c r="CJ86" s="130">
        <f t="shared" si="68"/>
        <v>4.2500000000000003E-2</v>
      </c>
      <c r="CK86" s="128">
        <f t="shared" si="191"/>
        <v>11657.484024356259</v>
      </c>
      <c r="CL86" s="128">
        <f t="shared" si="192"/>
        <v>112069.23402435626</v>
      </c>
      <c r="CN86" s="127">
        <f t="shared" si="237"/>
        <v>1000</v>
      </c>
      <c r="CO86" s="128">
        <f t="shared" si="238"/>
        <v>100000</v>
      </c>
      <c r="CP86" s="128">
        <f t="shared" si="134"/>
        <v>100000</v>
      </c>
      <c r="CQ86" s="128">
        <f t="shared" si="239"/>
        <v>115980.90240000001</v>
      </c>
      <c r="CR86" s="130">
        <f t="shared" si="193"/>
        <v>4.8000000000000001E-2</v>
      </c>
      <c r="CS86" s="128">
        <f t="shared" si="194"/>
        <v>119228.36766720001</v>
      </c>
      <c r="CT86" s="128" t="str">
        <f t="shared" si="195"/>
        <v>nie</v>
      </c>
      <c r="CU86" s="128">
        <f t="shared" si="196"/>
        <v>3000</v>
      </c>
      <c r="CV86" s="128">
        <f t="shared" si="197"/>
        <v>113144.97781043201</v>
      </c>
      <c r="CW86" s="128">
        <f t="shared" si="76"/>
        <v>0</v>
      </c>
      <c r="CX86" s="130">
        <f t="shared" si="198"/>
        <v>4.2500000000000003E-2</v>
      </c>
      <c r="CY86" s="128">
        <f t="shared" si="199"/>
        <v>0</v>
      </c>
      <c r="CZ86" s="128">
        <f t="shared" si="200"/>
        <v>113144.97781043201</v>
      </c>
      <c r="DA86" s="20"/>
      <c r="DB86" s="127">
        <f t="shared" si="144"/>
        <v>1000</v>
      </c>
      <c r="DC86" s="128">
        <f t="shared" si="145"/>
        <v>100000</v>
      </c>
      <c r="DD86" s="128">
        <f t="shared" si="136"/>
        <v>100000</v>
      </c>
      <c r="DE86" s="128">
        <f t="shared" si="240"/>
        <v>115541.58080000001</v>
      </c>
      <c r="DF86" s="130">
        <f t="shared" si="201"/>
        <v>4.8000000000000001E-2</v>
      </c>
      <c r="DG86" s="128">
        <f t="shared" si="202"/>
        <v>118776.74506240002</v>
      </c>
      <c r="DH86" s="128" t="str">
        <f t="shared" si="203"/>
        <v>nie</v>
      </c>
      <c r="DI86" s="128">
        <f t="shared" si="204"/>
        <v>2000</v>
      </c>
      <c r="DJ86" s="128">
        <f t="shared" si="205"/>
        <v>113589.16350054402</v>
      </c>
      <c r="DK86" s="128">
        <f t="shared" si="85"/>
        <v>0</v>
      </c>
      <c r="DL86" s="130">
        <f t="shared" si="206"/>
        <v>4.2500000000000003E-2</v>
      </c>
      <c r="DM86" s="128">
        <f t="shared" si="207"/>
        <v>0</v>
      </c>
      <c r="DN86" s="128">
        <f t="shared" si="208"/>
        <v>113589.16350054402</v>
      </c>
      <c r="DP86" s="127">
        <f t="shared" si="146"/>
        <v>1000</v>
      </c>
      <c r="DQ86" s="128">
        <f t="shared" si="147"/>
        <v>100000</v>
      </c>
      <c r="DR86" s="128">
        <f t="shared" si="138"/>
        <v>100000</v>
      </c>
      <c r="DS86" s="128">
        <f t="shared" si="241"/>
        <v>117367.43264999997</v>
      </c>
      <c r="DT86" s="130">
        <f t="shared" si="209"/>
        <v>5.3000000000000005E-2</v>
      </c>
      <c r="DU86" s="128">
        <f t="shared" si="210"/>
        <v>120996.04244276248</v>
      </c>
      <c r="DV86" s="128" t="str">
        <f t="shared" si="211"/>
        <v>nie</v>
      </c>
      <c r="DW86" s="128">
        <f t="shared" si="212"/>
        <v>3000</v>
      </c>
      <c r="DX86" s="128">
        <f t="shared" si="93"/>
        <v>114576.79437863761</v>
      </c>
      <c r="DY86" s="128">
        <f t="shared" si="94"/>
        <v>0</v>
      </c>
      <c r="DZ86" s="130">
        <f t="shared" si="213"/>
        <v>4.2500000000000003E-2</v>
      </c>
      <c r="EA86" s="128">
        <f t="shared" si="214"/>
        <v>0</v>
      </c>
      <c r="EB86" s="128">
        <f t="shared" si="215"/>
        <v>114576.79437863761</v>
      </c>
    </row>
    <row r="87" spans="1:134">
      <c r="A87" s="224"/>
      <c r="B87" s="188">
        <f t="shared" si="216"/>
        <v>43</v>
      </c>
      <c r="C87" s="128">
        <f t="shared" si="217"/>
        <v>114142.6296490283</v>
      </c>
      <c r="D87" s="128">
        <f t="shared" si="218"/>
        <v>113398.76187401869</v>
      </c>
      <c r="E87" s="128">
        <f t="shared" si="219"/>
        <v>113498.07462012349</v>
      </c>
      <c r="F87" s="128">
        <f t="shared" si="220"/>
        <v>112069.23402435626</v>
      </c>
      <c r="G87" s="128">
        <f t="shared" si="221"/>
        <v>113144.97781043201</v>
      </c>
      <c r="H87" s="128">
        <f t="shared" si="222"/>
        <v>113589.16350054402</v>
      </c>
      <c r="I87" s="128">
        <f t="shared" si="223"/>
        <v>114576.79437863761</v>
      </c>
      <c r="J87" s="128">
        <f t="shared" si="224"/>
        <v>113108.76009422514</v>
      </c>
      <c r="K87" s="128">
        <f t="shared" si="225"/>
        <v>110411.80598826666</v>
      </c>
      <c r="M87" s="36"/>
      <c r="N87" s="32">
        <f t="shared" si="226"/>
        <v>43</v>
      </c>
      <c r="O87" s="25">
        <f t="shared" si="109"/>
        <v>0.14142629649028304</v>
      </c>
      <c r="P87" s="25">
        <f t="shared" si="110"/>
        <v>0.13398761874018694</v>
      </c>
      <c r="Q87" s="25">
        <f t="shared" si="111"/>
        <v>0.1349807462012349</v>
      </c>
      <c r="R87" s="25">
        <f t="shared" si="161"/>
        <v>0.12069234024356268</v>
      </c>
      <c r="S87" s="25">
        <f t="shared" si="162"/>
        <v>0.13144977810432024</v>
      </c>
      <c r="T87" s="25">
        <f t="shared" si="163"/>
        <v>0.13589163500544021</v>
      </c>
      <c r="U87" s="25">
        <f t="shared" si="164"/>
        <v>0.14576794378637614</v>
      </c>
      <c r="V87" s="25">
        <f t="shared" si="165"/>
        <v>0.13108760094225147</v>
      </c>
      <c r="W87" s="25">
        <f t="shared" si="166"/>
        <v>0.10411805988266654</v>
      </c>
      <c r="X87" s="36"/>
      <c r="Y87" s="36"/>
      <c r="AA87" s="124">
        <f t="shared" si="113"/>
        <v>44</v>
      </c>
      <c r="AB87" s="128">
        <f t="shared" si="167"/>
        <v>110665.29324373332</v>
      </c>
      <c r="AC87" s="124">
        <f t="shared" si="114"/>
        <v>44</v>
      </c>
      <c r="AD87" s="130">
        <f t="shared" si="227"/>
        <v>4.2500000000000003E-2</v>
      </c>
      <c r="AE87" s="127">
        <f t="shared" si="228"/>
        <v>1123</v>
      </c>
      <c r="AF87" s="128">
        <f t="shared" si="229"/>
        <v>112191.6</v>
      </c>
      <c r="AG87" s="128">
        <f t="shared" si="140"/>
        <v>112300</v>
      </c>
      <c r="AH87" s="128">
        <f t="shared" si="118"/>
        <v>112300</v>
      </c>
      <c r="AI87" s="130">
        <f t="shared" si="168"/>
        <v>4.2500000000000003E-2</v>
      </c>
      <c r="AJ87" s="128">
        <f t="shared" si="169"/>
        <v>112697.72916666669</v>
      </c>
      <c r="AK87" s="128" t="str">
        <f t="shared" si="170"/>
        <v>nie</v>
      </c>
      <c r="AL87" s="128">
        <f t="shared" si="171"/>
        <v>561.5</v>
      </c>
      <c r="AM87" s="128">
        <f t="shared" si="150"/>
        <v>112167.34562500002</v>
      </c>
      <c r="AN87" s="128">
        <f t="shared" si="172"/>
        <v>322.16062500001573</v>
      </c>
      <c r="AO87" s="130">
        <f t="shared" si="173"/>
        <v>4.2500000000000003E-2</v>
      </c>
      <c r="AP87" s="128">
        <f t="shared" si="174"/>
        <v>2626.1960683652137</v>
      </c>
      <c r="AQ87" s="128">
        <f t="shared" si="156"/>
        <v>114471.38106836521</v>
      </c>
      <c r="AS87" s="124">
        <f t="shared" si="119"/>
        <v>44</v>
      </c>
      <c r="AT87" s="130">
        <f t="shared" si="120"/>
        <v>4.2500000000000003E-2</v>
      </c>
      <c r="AU87" s="127">
        <f t="shared" si="230"/>
        <v>1077</v>
      </c>
      <c r="AV87" s="128">
        <f t="shared" si="231"/>
        <v>107599.70000000001</v>
      </c>
      <c r="AW87" s="128">
        <f t="shared" si="151"/>
        <v>107700</v>
      </c>
      <c r="AX87" s="128">
        <f t="shared" si="123"/>
        <v>107700</v>
      </c>
      <c r="AY87" s="130">
        <f t="shared" si="175"/>
        <v>4.4000000000000004E-2</v>
      </c>
      <c r="AZ87" s="128">
        <f t="shared" si="176"/>
        <v>108094.90000000001</v>
      </c>
      <c r="BA87" s="128" t="str">
        <f t="shared" si="177"/>
        <v>nie</v>
      </c>
      <c r="BB87" s="128">
        <f t="shared" si="178"/>
        <v>753.9</v>
      </c>
      <c r="BC87" s="128">
        <f t="shared" si="158"/>
        <v>107409.21</v>
      </c>
      <c r="BD87" s="128">
        <f t="shared" si="179"/>
        <v>319.86900000000708</v>
      </c>
      <c r="BE87" s="130">
        <f t="shared" si="51"/>
        <v>4.2500000000000003E-2</v>
      </c>
      <c r="BF87" s="128">
        <f t="shared" si="180"/>
        <v>6647.3900251510386</v>
      </c>
      <c r="BG87" s="128">
        <f t="shared" si="159"/>
        <v>113736.73102515104</v>
      </c>
      <c r="BI87" s="124">
        <f t="shared" si="124"/>
        <v>44</v>
      </c>
      <c r="BJ87" s="130">
        <f t="shared" si="242"/>
        <v>4.1300000000000003E-2</v>
      </c>
      <c r="BK87" s="127">
        <f t="shared" si="232"/>
        <v>1119</v>
      </c>
      <c r="BL87" s="128">
        <f t="shared" si="233"/>
        <v>111788.1</v>
      </c>
      <c r="BM87" s="128">
        <f t="shared" si="142"/>
        <v>111900</v>
      </c>
      <c r="BN87" s="128">
        <f t="shared" si="234"/>
        <v>111900</v>
      </c>
      <c r="BO87" s="130">
        <f t="shared" si="181"/>
        <v>4.65E-2</v>
      </c>
      <c r="BP87" s="128">
        <f t="shared" si="182"/>
        <v>115368.9</v>
      </c>
      <c r="BQ87" s="128" t="str">
        <f t="shared" si="183"/>
        <v>nie</v>
      </c>
      <c r="BR87" s="128">
        <f t="shared" si="184"/>
        <v>1119</v>
      </c>
      <c r="BS87" s="128">
        <f t="shared" si="153"/>
        <v>113803.41899999999</v>
      </c>
      <c r="BT87" s="128">
        <f t="shared" si="128"/>
        <v>0</v>
      </c>
      <c r="BU87" s="130">
        <f t="shared" si="185"/>
        <v>4.2500000000000003E-2</v>
      </c>
      <c r="BV87" s="128">
        <f t="shared" si="60"/>
        <v>46.013368379799466</v>
      </c>
      <c r="BW87" s="128">
        <f t="shared" si="61"/>
        <v>113849.4323683798</v>
      </c>
      <c r="BY87" s="130">
        <f t="shared" si="149"/>
        <v>2.8000000000000001E-2</v>
      </c>
      <c r="BZ87" s="127">
        <f t="shared" si="235"/>
        <v>1000</v>
      </c>
      <c r="CA87" s="128">
        <f t="shared" si="236"/>
        <v>100000</v>
      </c>
      <c r="CB87" s="128">
        <f t="shared" si="154"/>
        <v>100000</v>
      </c>
      <c r="CC87" s="128">
        <f t="shared" si="131"/>
        <v>100000</v>
      </c>
      <c r="CD87" s="130">
        <f t="shared" si="186"/>
        <v>4.2999999999999997E-2</v>
      </c>
      <c r="CE87" s="128">
        <f t="shared" si="187"/>
        <v>102866.66666666666</v>
      </c>
      <c r="CF87" s="128" t="str">
        <f t="shared" si="188"/>
        <v>nie</v>
      </c>
      <c r="CG87" s="128">
        <f t="shared" si="189"/>
        <v>2000</v>
      </c>
      <c r="CH87" s="128">
        <f t="shared" si="160"/>
        <v>100701.99999999999</v>
      </c>
      <c r="CI87" s="128">
        <f t="shared" si="190"/>
        <v>0</v>
      </c>
      <c r="CJ87" s="130">
        <f t="shared" si="68"/>
        <v>4.2500000000000003E-2</v>
      </c>
      <c r="CK87" s="128">
        <f t="shared" si="191"/>
        <v>11690.926431651131</v>
      </c>
      <c r="CL87" s="128">
        <f t="shared" si="192"/>
        <v>112392.92643165111</v>
      </c>
      <c r="CN87" s="127">
        <f t="shared" si="237"/>
        <v>1000</v>
      </c>
      <c r="CO87" s="128">
        <f t="shared" si="238"/>
        <v>100000</v>
      </c>
      <c r="CP87" s="128">
        <f t="shared" si="134"/>
        <v>100000</v>
      </c>
      <c r="CQ87" s="128">
        <f t="shared" si="239"/>
        <v>115980.90240000001</v>
      </c>
      <c r="CR87" s="130">
        <f t="shared" si="193"/>
        <v>4.8000000000000001E-2</v>
      </c>
      <c r="CS87" s="128">
        <f t="shared" si="194"/>
        <v>119692.29127680001</v>
      </c>
      <c r="CT87" s="128" t="str">
        <f t="shared" si="195"/>
        <v>nie</v>
      </c>
      <c r="CU87" s="128">
        <f t="shared" si="196"/>
        <v>3000</v>
      </c>
      <c r="CV87" s="128">
        <f t="shared" si="197"/>
        <v>113520.75593420801</v>
      </c>
      <c r="CW87" s="128">
        <f t="shared" si="76"/>
        <v>0</v>
      </c>
      <c r="CX87" s="130">
        <f t="shared" si="198"/>
        <v>4.2500000000000003E-2</v>
      </c>
      <c r="CY87" s="128">
        <f t="shared" si="199"/>
        <v>0</v>
      </c>
      <c r="CZ87" s="128">
        <f t="shared" si="200"/>
        <v>113520.75593420801</v>
      </c>
      <c r="DA87" s="20"/>
      <c r="DB87" s="127">
        <f t="shared" si="144"/>
        <v>1000</v>
      </c>
      <c r="DC87" s="128">
        <f t="shared" si="145"/>
        <v>100000</v>
      </c>
      <c r="DD87" s="128">
        <f t="shared" si="136"/>
        <v>100000</v>
      </c>
      <c r="DE87" s="128">
        <f t="shared" si="240"/>
        <v>115541.58080000001</v>
      </c>
      <c r="DF87" s="130">
        <f t="shared" si="201"/>
        <v>4.8000000000000001E-2</v>
      </c>
      <c r="DG87" s="128">
        <f t="shared" si="202"/>
        <v>119238.91138560002</v>
      </c>
      <c r="DH87" s="128" t="str">
        <f t="shared" si="203"/>
        <v>nie</v>
      </c>
      <c r="DI87" s="128">
        <f t="shared" si="204"/>
        <v>2000</v>
      </c>
      <c r="DJ87" s="128">
        <f t="shared" si="205"/>
        <v>113963.51822233602</v>
      </c>
      <c r="DK87" s="128">
        <f t="shared" si="85"/>
        <v>0</v>
      </c>
      <c r="DL87" s="130">
        <f t="shared" si="206"/>
        <v>4.2500000000000003E-2</v>
      </c>
      <c r="DM87" s="128">
        <f t="shared" si="207"/>
        <v>0</v>
      </c>
      <c r="DN87" s="128">
        <f t="shared" si="208"/>
        <v>113963.51822233602</v>
      </c>
      <c r="DP87" s="127">
        <f t="shared" si="146"/>
        <v>1000</v>
      </c>
      <c r="DQ87" s="128">
        <f t="shared" si="147"/>
        <v>100000</v>
      </c>
      <c r="DR87" s="128">
        <f t="shared" si="138"/>
        <v>100000</v>
      </c>
      <c r="DS87" s="128">
        <f t="shared" si="241"/>
        <v>117367.43264999997</v>
      </c>
      <c r="DT87" s="130">
        <f t="shared" si="209"/>
        <v>5.3000000000000005E-2</v>
      </c>
      <c r="DU87" s="128">
        <f t="shared" si="210"/>
        <v>121514.41527029999</v>
      </c>
      <c r="DV87" s="128" t="str">
        <f t="shared" si="211"/>
        <v>nie</v>
      </c>
      <c r="DW87" s="128">
        <f t="shared" si="212"/>
        <v>3000</v>
      </c>
      <c r="DX87" s="128">
        <f t="shared" si="93"/>
        <v>114996.67636894299</v>
      </c>
      <c r="DY87" s="128">
        <f t="shared" si="94"/>
        <v>0</v>
      </c>
      <c r="DZ87" s="130">
        <f t="shared" si="213"/>
        <v>4.2500000000000003E-2</v>
      </c>
      <c r="EA87" s="128">
        <f t="shared" si="214"/>
        <v>0</v>
      </c>
      <c r="EB87" s="128">
        <f t="shared" si="215"/>
        <v>114996.67636894299</v>
      </c>
    </row>
    <row r="88" spans="1:134">
      <c r="A88" s="224"/>
      <c r="B88" s="188">
        <f t="shared" si="216"/>
        <v>44</v>
      </c>
      <c r="C88" s="128">
        <f t="shared" si="217"/>
        <v>114471.38106836521</v>
      </c>
      <c r="D88" s="128">
        <f t="shared" si="218"/>
        <v>113736.73102515104</v>
      </c>
      <c r="E88" s="128">
        <f t="shared" si="219"/>
        <v>113849.4323683798</v>
      </c>
      <c r="F88" s="128">
        <f t="shared" si="220"/>
        <v>112392.92643165111</v>
      </c>
      <c r="G88" s="128">
        <f t="shared" si="221"/>
        <v>113520.75593420801</v>
      </c>
      <c r="H88" s="128">
        <f t="shared" si="222"/>
        <v>113963.51822233602</v>
      </c>
      <c r="I88" s="128">
        <f t="shared" si="223"/>
        <v>114996.67636894299</v>
      </c>
      <c r="J88" s="128">
        <f t="shared" si="224"/>
        <v>113433.24084974545</v>
      </c>
      <c r="K88" s="128">
        <f t="shared" si="225"/>
        <v>110665.29324373332</v>
      </c>
      <c r="M88" s="36"/>
      <c r="N88" s="32">
        <f t="shared" si="226"/>
        <v>44</v>
      </c>
      <c r="O88" s="25">
        <f t="shared" si="109"/>
        <v>0.14471381068365208</v>
      </c>
      <c r="P88" s="25">
        <f t="shared" si="110"/>
        <v>0.13736731025151028</v>
      </c>
      <c r="Q88" s="25">
        <f t="shared" si="111"/>
        <v>0.1384943236837981</v>
      </c>
      <c r="R88" s="25">
        <f t="shared" si="161"/>
        <v>0.12392926431651108</v>
      </c>
      <c r="S88" s="25">
        <f t="shared" si="162"/>
        <v>0.13520755934208006</v>
      </c>
      <c r="T88" s="25">
        <f t="shared" si="163"/>
        <v>0.13963518222336013</v>
      </c>
      <c r="U88" s="25">
        <f t="shared" si="164"/>
        <v>0.14996676368942996</v>
      </c>
      <c r="V88" s="25">
        <f t="shared" si="165"/>
        <v>0.13433240849745443</v>
      </c>
      <c r="W88" s="25">
        <f t="shared" si="166"/>
        <v>0.10665293243733331</v>
      </c>
      <c r="X88" s="36"/>
      <c r="Y88" s="36"/>
      <c r="AA88" s="124">
        <f t="shared" si="113"/>
        <v>45</v>
      </c>
      <c r="AB88" s="128">
        <f t="shared" si="167"/>
        <v>110918.78049919999</v>
      </c>
      <c r="AC88" s="124">
        <f t="shared" si="114"/>
        <v>45</v>
      </c>
      <c r="AD88" s="130">
        <f t="shared" si="227"/>
        <v>4.2500000000000003E-2</v>
      </c>
      <c r="AE88" s="127">
        <f t="shared" si="228"/>
        <v>1123</v>
      </c>
      <c r="AF88" s="128">
        <f t="shared" si="229"/>
        <v>112191.6</v>
      </c>
      <c r="AG88" s="128">
        <f t="shared" si="140"/>
        <v>112300</v>
      </c>
      <c r="AH88" s="128">
        <f t="shared" si="118"/>
        <v>112300</v>
      </c>
      <c r="AI88" s="130">
        <f t="shared" si="168"/>
        <v>4.2500000000000003E-2</v>
      </c>
      <c r="AJ88" s="128">
        <f t="shared" si="169"/>
        <v>112697.72916666669</v>
      </c>
      <c r="AK88" s="128" t="str">
        <f t="shared" si="170"/>
        <v>nie</v>
      </c>
      <c r="AL88" s="128">
        <f t="shared" si="171"/>
        <v>561.5</v>
      </c>
      <c r="AM88" s="128">
        <f t="shared" si="150"/>
        <v>112167.34562500002</v>
      </c>
      <c r="AN88" s="128">
        <f t="shared" si="172"/>
        <v>322.16062500001573</v>
      </c>
      <c r="AO88" s="130">
        <f t="shared" si="173"/>
        <v>4.2500000000000003E-2</v>
      </c>
      <c r="AP88" s="128">
        <f t="shared" si="174"/>
        <v>2955.8905933363521</v>
      </c>
      <c r="AQ88" s="128">
        <f t="shared" si="156"/>
        <v>114801.07559333635</v>
      </c>
      <c r="AS88" s="124">
        <f t="shared" si="119"/>
        <v>45</v>
      </c>
      <c r="AT88" s="130">
        <f t="shared" si="120"/>
        <v>4.2500000000000003E-2</v>
      </c>
      <c r="AU88" s="127">
        <f t="shared" si="230"/>
        <v>1077</v>
      </c>
      <c r="AV88" s="128">
        <f t="shared" si="231"/>
        <v>107599.70000000001</v>
      </c>
      <c r="AW88" s="128">
        <f t="shared" si="151"/>
        <v>107700</v>
      </c>
      <c r="AX88" s="128">
        <f t="shared" si="123"/>
        <v>107700</v>
      </c>
      <c r="AY88" s="130">
        <f t="shared" si="175"/>
        <v>4.4000000000000004E-2</v>
      </c>
      <c r="AZ88" s="128">
        <f t="shared" si="176"/>
        <v>108094.90000000001</v>
      </c>
      <c r="BA88" s="128" t="str">
        <f t="shared" si="177"/>
        <v>nie</v>
      </c>
      <c r="BB88" s="128">
        <f t="shared" si="178"/>
        <v>753.9</v>
      </c>
      <c r="BC88" s="128">
        <f t="shared" si="158"/>
        <v>107409.21</v>
      </c>
      <c r="BD88" s="128">
        <f t="shared" si="179"/>
        <v>319.86900000000708</v>
      </c>
      <c r="BE88" s="130">
        <f t="shared" si="51"/>
        <v>4.2500000000000003E-2</v>
      </c>
      <c r="BF88" s="128">
        <f t="shared" si="180"/>
        <v>6986.3287252856971</v>
      </c>
      <c r="BG88" s="128">
        <f t="shared" si="159"/>
        <v>114075.6697252857</v>
      </c>
      <c r="BI88" s="124">
        <f t="shared" si="124"/>
        <v>45</v>
      </c>
      <c r="BJ88" s="130">
        <f t="shared" si="242"/>
        <v>4.1300000000000003E-2</v>
      </c>
      <c r="BK88" s="127">
        <f t="shared" si="232"/>
        <v>1119</v>
      </c>
      <c r="BL88" s="128">
        <f t="shared" si="233"/>
        <v>111788.1</v>
      </c>
      <c r="BM88" s="128">
        <f t="shared" si="142"/>
        <v>111900</v>
      </c>
      <c r="BN88" s="128">
        <f t="shared" si="234"/>
        <v>111900</v>
      </c>
      <c r="BO88" s="130">
        <f t="shared" si="181"/>
        <v>4.65E-2</v>
      </c>
      <c r="BP88" s="128">
        <f t="shared" si="182"/>
        <v>115802.5125</v>
      </c>
      <c r="BQ88" s="128" t="str">
        <f t="shared" si="183"/>
        <v>nie</v>
      </c>
      <c r="BR88" s="128">
        <f t="shared" si="184"/>
        <v>1119</v>
      </c>
      <c r="BS88" s="128">
        <f t="shared" si="153"/>
        <v>114154.645125</v>
      </c>
      <c r="BT88" s="128">
        <f t="shared" si="128"/>
        <v>0</v>
      </c>
      <c r="BU88" s="130">
        <f t="shared" si="185"/>
        <v>4.2500000000000003E-2</v>
      </c>
      <c r="BV88" s="128">
        <f t="shared" si="60"/>
        <v>46.145369230339014</v>
      </c>
      <c r="BW88" s="128">
        <f t="shared" ref="BW88:BW120" si="243">BV87*(1+BU88/12*(1-podatek_Belki))+BS88</f>
        <v>114200.79049423033</v>
      </c>
      <c r="BY88" s="130">
        <f t="shared" ref="BY88:BY119" si="244">MAX(INDEX(scenariusz_I_inflacja,MATCH(ROUNDUP(AA88/12,0)-1,scenariusz_I_rok,0)),0)</f>
        <v>2.8000000000000001E-2</v>
      </c>
      <c r="BZ88" s="127">
        <f t="shared" si="235"/>
        <v>1000</v>
      </c>
      <c r="CA88" s="128">
        <f t="shared" si="236"/>
        <v>100000</v>
      </c>
      <c r="CB88" s="128">
        <f t="shared" si="154"/>
        <v>100000</v>
      </c>
      <c r="CC88" s="128">
        <f t="shared" si="131"/>
        <v>100000</v>
      </c>
      <c r="CD88" s="130">
        <f t="shared" si="186"/>
        <v>4.2999999999999997E-2</v>
      </c>
      <c r="CE88" s="128">
        <f t="shared" si="187"/>
        <v>103224.99999999999</v>
      </c>
      <c r="CF88" s="128" t="str">
        <f t="shared" si="188"/>
        <v>nie</v>
      </c>
      <c r="CG88" s="128">
        <f t="shared" si="189"/>
        <v>2000</v>
      </c>
      <c r="CH88" s="128">
        <f t="shared" si="160"/>
        <v>100992.24999999999</v>
      </c>
      <c r="CI88" s="128">
        <f t="shared" si="190"/>
        <v>0</v>
      </c>
      <c r="CJ88" s="130">
        <f t="shared" si="68"/>
        <v>4.2500000000000003E-2</v>
      </c>
      <c r="CK88" s="128">
        <f t="shared" si="191"/>
        <v>11724.46477685193</v>
      </c>
      <c r="CL88" s="128">
        <f t="shared" si="192"/>
        <v>112716.71477685192</v>
      </c>
      <c r="CN88" s="127">
        <f t="shared" si="237"/>
        <v>1000</v>
      </c>
      <c r="CO88" s="128">
        <f t="shared" si="238"/>
        <v>100000</v>
      </c>
      <c r="CP88" s="128">
        <f t="shared" si="134"/>
        <v>100000</v>
      </c>
      <c r="CQ88" s="128">
        <f t="shared" si="239"/>
        <v>115980.90240000001</v>
      </c>
      <c r="CR88" s="130">
        <f t="shared" si="193"/>
        <v>4.8000000000000001E-2</v>
      </c>
      <c r="CS88" s="128">
        <f t="shared" si="194"/>
        <v>120156.2148864</v>
      </c>
      <c r="CT88" s="128" t="str">
        <f t="shared" si="195"/>
        <v>nie</v>
      </c>
      <c r="CU88" s="128">
        <f t="shared" si="196"/>
        <v>3000</v>
      </c>
      <c r="CV88" s="128">
        <f t="shared" si="197"/>
        <v>113896.534057984</v>
      </c>
      <c r="CW88" s="128">
        <f t="shared" si="76"/>
        <v>0</v>
      </c>
      <c r="CX88" s="130">
        <f t="shared" si="198"/>
        <v>4.2500000000000003E-2</v>
      </c>
      <c r="CY88" s="128">
        <f t="shared" si="199"/>
        <v>0</v>
      </c>
      <c r="CZ88" s="128">
        <f t="shared" si="200"/>
        <v>113896.534057984</v>
      </c>
      <c r="DA88" s="20"/>
      <c r="DB88" s="127">
        <f t="shared" si="144"/>
        <v>1000</v>
      </c>
      <c r="DC88" s="128">
        <f t="shared" si="145"/>
        <v>100000</v>
      </c>
      <c r="DD88" s="128">
        <f t="shared" si="136"/>
        <v>100000</v>
      </c>
      <c r="DE88" s="128">
        <f t="shared" si="240"/>
        <v>115541.58080000001</v>
      </c>
      <c r="DF88" s="130">
        <f t="shared" si="201"/>
        <v>4.8000000000000001E-2</v>
      </c>
      <c r="DG88" s="128">
        <f t="shared" si="202"/>
        <v>119701.07770880002</v>
      </c>
      <c r="DH88" s="128" t="str">
        <f t="shared" si="203"/>
        <v>nie</v>
      </c>
      <c r="DI88" s="128">
        <f t="shared" si="204"/>
        <v>2000</v>
      </c>
      <c r="DJ88" s="128">
        <f t="shared" si="205"/>
        <v>114337.87294412802</v>
      </c>
      <c r="DK88" s="128">
        <f t="shared" si="85"/>
        <v>0</v>
      </c>
      <c r="DL88" s="130">
        <f t="shared" si="206"/>
        <v>4.2500000000000003E-2</v>
      </c>
      <c r="DM88" s="128">
        <f t="shared" si="207"/>
        <v>0</v>
      </c>
      <c r="DN88" s="128">
        <f t="shared" si="208"/>
        <v>114337.87294412802</v>
      </c>
      <c r="DP88" s="127">
        <f t="shared" si="146"/>
        <v>1000</v>
      </c>
      <c r="DQ88" s="128">
        <f t="shared" si="147"/>
        <v>100000</v>
      </c>
      <c r="DR88" s="128">
        <f t="shared" si="138"/>
        <v>100000</v>
      </c>
      <c r="DS88" s="128">
        <f t="shared" si="241"/>
        <v>117367.43264999997</v>
      </c>
      <c r="DT88" s="130">
        <f t="shared" si="209"/>
        <v>5.3000000000000005E-2</v>
      </c>
      <c r="DU88" s="128">
        <f t="shared" si="210"/>
        <v>122032.78809783746</v>
      </c>
      <c r="DV88" s="128" t="str">
        <f t="shared" si="211"/>
        <v>nie</v>
      </c>
      <c r="DW88" s="128">
        <f t="shared" si="212"/>
        <v>3000</v>
      </c>
      <c r="DX88" s="128">
        <f t="shared" si="93"/>
        <v>115416.55835924835</v>
      </c>
      <c r="DY88" s="128">
        <f t="shared" si="94"/>
        <v>0</v>
      </c>
      <c r="DZ88" s="130">
        <f t="shared" si="213"/>
        <v>4.2500000000000003E-2</v>
      </c>
      <c r="EA88" s="128">
        <f t="shared" si="214"/>
        <v>0</v>
      </c>
      <c r="EB88" s="128">
        <f t="shared" si="215"/>
        <v>115416.55835924835</v>
      </c>
      <c r="EC88" s="19" t="s">
        <v>24</v>
      </c>
      <c r="ED88" s="68"/>
    </row>
    <row r="89" spans="1:134">
      <c r="A89" s="224"/>
      <c r="B89" s="188">
        <f t="shared" si="216"/>
        <v>45</v>
      </c>
      <c r="C89" s="128">
        <f t="shared" si="217"/>
        <v>114801.07559333635</v>
      </c>
      <c r="D89" s="128">
        <f t="shared" si="218"/>
        <v>114075.6697252857</v>
      </c>
      <c r="E89" s="128">
        <f t="shared" si="219"/>
        <v>114200.79049423033</v>
      </c>
      <c r="F89" s="128">
        <f t="shared" si="220"/>
        <v>112716.71477685192</v>
      </c>
      <c r="G89" s="128">
        <f t="shared" si="221"/>
        <v>113896.534057984</v>
      </c>
      <c r="H89" s="128">
        <f t="shared" si="222"/>
        <v>114337.87294412802</v>
      </c>
      <c r="I89" s="128">
        <f t="shared" si="223"/>
        <v>115416.55835924835</v>
      </c>
      <c r="J89" s="128">
        <f t="shared" si="224"/>
        <v>113758.65245943316</v>
      </c>
      <c r="K89" s="128">
        <f t="shared" si="225"/>
        <v>110918.78049919999</v>
      </c>
      <c r="M89" s="36"/>
      <c r="N89" s="32">
        <f t="shared" si="226"/>
        <v>45</v>
      </c>
      <c r="O89" s="25">
        <f t="shared" si="109"/>
        <v>0.14801075593336344</v>
      </c>
      <c r="P89" s="25">
        <f t="shared" si="110"/>
        <v>0.14075669725285689</v>
      </c>
      <c r="Q89" s="25">
        <f t="shared" si="111"/>
        <v>0.14200790494230331</v>
      </c>
      <c r="R89" s="25">
        <f t="shared" si="161"/>
        <v>0.12716714776851923</v>
      </c>
      <c r="S89" s="25">
        <f t="shared" si="162"/>
        <v>0.13896534057983989</v>
      </c>
      <c r="T89" s="25">
        <f t="shared" si="163"/>
        <v>0.14337872944128005</v>
      </c>
      <c r="U89" s="25">
        <f t="shared" si="164"/>
        <v>0.15416558359248356</v>
      </c>
      <c r="V89" s="25">
        <f t="shared" si="165"/>
        <v>0.13758652459433152</v>
      </c>
      <c r="W89" s="25">
        <f t="shared" si="166"/>
        <v>0.10918780499199987</v>
      </c>
      <c r="X89" s="36"/>
      <c r="Y89" s="36"/>
      <c r="AA89" s="124">
        <f t="shared" si="113"/>
        <v>46</v>
      </c>
      <c r="AB89" s="128">
        <f t="shared" si="167"/>
        <v>111172.26775466668</v>
      </c>
      <c r="AC89" s="124">
        <f t="shared" si="114"/>
        <v>46</v>
      </c>
      <c r="AD89" s="130">
        <f t="shared" si="227"/>
        <v>4.2500000000000003E-2</v>
      </c>
      <c r="AE89" s="127">
        <f t="shared" si="228"/>
        <v>1123</v>
      </c>
      <c r="AF89" s="128">
        <f t="shared" si="229"/>
        <v>112191.6</v>
      </c>
      <c r="AG89" s="128">
        <f t="shared" si="140"/>
        <v>112300</v>
      </c>
      <c r="AH89" s="128">
        <f t="shared" si="118"/>
        <v>112300</v>
      </c>
      <c r="AI89" s="130">
        <f t="shared" si="168"/>
        <v>4.2500000000000003E-2</v>
      </c>
      <c r="AJ89" s="128">
        <f t="shared" si="169"/>
        <v>112697.72916666669</v>
      </c>
      <c r="AK89" s="128" t="str">
        <f t="shared" si="170"/>
        <v>nie</v>
      </c>
      <c r="AL89" s="128">
        <f t="shared" si="171"/>
        <v>561.5</v>
      </c>
      <c r="AM89" s="128">
        <f t="shared" si="150"/>
        <v>112167.34562500002</v>
      </c>
      <c r="AN89" s="128">
        <f t="shared" si="172"/>
        <v>322.16062500001573</v>
      </c>
      <c r="AO89" s="130">
        <f t="shared" si="173"/>
        <v>4.2500000000000003E-2</v>
      </c>
      <c r="AP89" s="128">
        <f t="shared" si="174"/>
        <v>3286.5309294760018</v>
      </c>
      <c r="AQ89" s="128">
        <f t="shared" si="156"/>
        <v>115131.71592947601</v>
      </c>
      <c r="AS89" s="124">
        <f t="shared" si="119"/>
        <v>46</v>
      </c>
      <c r="AT89" s="130">
        <f t="shared" si="120"/>
        <v>4.2500000000000003E-2</v>
      </c>
      <c r="AU89" s="127">
        <f t="shared" si="230"/>
        <v>1077</v>
      </c>
      <c r="AV89" s="128">
        <f t="shared" si="231"/>
        <v>107599.70000000001</v>
      </c>
      <c r="AW89" s="128">
        <f t="shared" si="151"/>
        <v>107700</v>
      </c>
      <c r="AX89" s="128">
        <f t="shared" si="123"/>
        <v>107700</v>
      </c>
      <c r="AY89" s="130">
        <f t="shared" si="175"/>
        <v>4.4000000000000004E-2</v>
      </c>
      <c r="AZ89" s="128">
        <f t="shared" si="176"/>
        <v>108094.90000000001</v>
      </c>
      <c r="BA89" s="128" t="str">
        <f t="shared" si="177"/>
        <v>nie</v>
      </c>
      <c r="BB89" s="128">
        <f t="shared" si="178"/>
        <v>753.9</v>
      </c>
      <c r="BC89" s="128">
        <f t="shared" si="158"/>
        <v>107409.21</v>
      </c>
      <c r="BD89" s="128">
        <f t="shared" si="179"/>
        <v>319.86900000000708</v>
      </c>
      <c r="BE89" s="130">
        <f t="shared" si="51"/>
        <v>4.2500000000000003E-2</v>
      </c>
      <c r="BF89" s="128">
        <f t="shared" si="180"/>
        <v>7326.2397558163675</v>
      </c>
      <c r="BG89" s="128">
        <f t="shared" si="159"/>
        <v>114415.58075581637</v>
      </c>
      <c r="BI89" s="124">
        <f t="shared" si="124"/>
        <v>46</v>
      </c>
      <c r="BJ89" s="130">
        <f t="shared" si="242"/>
        <v>4.1300000000000003E-2</v>
      </c>
      <c r="BK89" s="127">
        <f t="shared" si="232"/>
        <v>1119</v>
      </c>
      <c r="BL89" s="128">
        <f t="shared" si="233"/>
        <v>111788.1</v>
      </c>
      <c r="BM89" s="128">
        <f t="shared" si="142"/>
        <v>111900</v>
      </c>
      <c r="BN89" s="128">
        <f t="shared" si="234"/>
        <v>111900</v>
      </c>
      <c r="BO89" s="130">
        <f t="shared" si="181"/>
        <v>4.65E-2</v>
      </c>
      <c r="BP89" s="128">
        <f t="shared" si="182"/>
        <v>116236.125</v>
      </c>
      <c r="BQ89" s="128" t="str">
        <f t="shared" si="183"/>
        <v>nie</v>
      </c>
      <c r="BR89" s="128">
        <f t="shared" si="184"/>
        <v>1119</v>
      </c>
      <c r="BS89" s="128">
        <f t="shared" si="153"/>
        <v>114505.87125</v>
      </c>
      <c r="BT89" s="128">
        <f t="shared" si="128"/>
        <v>0</v>
      </c>
      <c r="BU89" s="130">
        <f t="shared" si="185"/>
        <v>4.2500000000000003E-2</v>
      </c>
      <c r="BV89" s="128">
        <f t="shared" si="60"/>
        <v>46.277748758318545</v>
      </c>
      <c r="BW89" s="128">
        <f t="shared" si="243"/>
        <v>114552.14899875832</v>
      </c>
      <c r="BY89" s="130">
        <f t="shared" si="244"/>
        <v>2.8000000000000001E-2</v>
      </c>
      <c r="BZ89" s="127">
        <f t="shared" si="235"/>
        <v>1000</v>
      </c>
      <c r="CA89" s="128">
        <f t="shared" si="236"/>
        <v>100000</v>
      </c>
      <c r="CB89" s="128">
        <f t="shared" si="154"/>
        <v>100000</v>
      </c>
      <c r="CC89" s="128">
        <f t="shared" si="131"/>
        <v>100000</v>
      </c>
      <c r="CD89" s="130">
        <f t="shared" si="186"/>
        <v>4.2999999999999997E-2</v>
      </c>
      <c r="CE89" s="128">
        <f t="shared" si="187"/>
        <v>103583.33333333334</v>
      </c>
      <c r="CF89" s="128" t="str">
        <f t="shared" si="188"/>
        <v>nie</v>
      </c>
      <c r="CG89" s="128">
        <f t="shared" si="189"/>
        <v>2000</v>
      </c>
      <c r="CH89" s="128">
        <f t="shared" si="160"/>
        <v>101282.50000000001</v>
      </c>
      <c r="CI89" s="128">
        <f t="shared" si="190"/>
        <v>0</v>
      </c>
      <c r="CJ89" s="130">
        <f t="shared" si="68"/>
        <v>4.2500000000000003E-2</v>
      </c>
      <c r="CK89" s="128">
        <f t="shared" si="191"/>
        <v>11758.099335180523</v>
      </c>
      <c r="CL89" s="128">
        <f t="shared" si="192"/>
        <v>113040.59933518054</v>
      </c>
      <c r="CN89" s="127">
        <f t="shared" si="237"/>
        <v>1000</v>
      </c>
      <c r="CO89" s="128">
        <f t="shared" si="238"/>
        <v>100000</v>
      </c>
      <c r="CP89" s="128">
        <f t="shared" si="134"/>
        <v>100000</v>
      </c>
      <c r="CQ89" s="128">
        <f t="shared" si="239"/>
        <v>115980.90240000001</v>
      </c>
      <c r="CR89" s="130">
        <f t="shared" si="193"/>
        <v>4.8000000000000001E-2</v>
      </c>
      <c r="CS89" s="128">
        <f t="shared" si="194"/>
        <v>120620.13849600001</v>
      </c>
      <c r="CT89" s="128" t="str">
        <f t="shared" si="195"/>
        <v>nie</v>
      </c>
      <c r="CU89" s="128">
        <f t="shared" si="196"/>
        <v>3000</v>
      </c>
      <c r="CV89" s="128">
        <f t="shared" si="197"/>
        <v>114272.31218176</v>
      </c>
      <c r="CW89" s="128">
        <f t="shared" si="76"/>
        <v>0</v>
      </c>
      <c r="CX89" s="130">
        <f t="shared" si="198"/>
        <v>4.2500000000000003E-2</v>
      </c>
      <c r="CY89" s="128">
        <f t="shared" si="199"/>
        <v>0</v>
      </c>
      <c r="CZ89" s="128">
        <f t="shared" si="200"/>
        <v>114272.31218176</v>
      </c>
      <c r="DA89" s="20"/>
      <c r="DB89" s="127">
        <f t="shared" si="144"/>
        <v>1000</v>
      </c>
      <c r="DC89" s="128">
        <f t="shared" si="145"/>
        <v>100000</v>
      </c>
      <c r="DD89" s="128">
        <f t="shared" si="136"/>
        <v>100000</v>
      </c>
      <c r="DE89" s="128">
        <f t="shared" si="240"/>
        <v>115541.58080000001</v>
      </c>
      <c r="DF89" s="130">
        <f t="shared" si="201"/>
        <v>4.8000000000000001E-2</v>
      </c>
      <c r="DG89" s="128">
        <f t="shared" si="202"/>
        <v>120163.24403200002</v>
      </c>
      <c r="DH89" s="128" t="str">
        <f t="shared" si="203"/>
        <v>nie</v>
      </c>
      <c r="DI89" s="128">
        <f t="shared" si="204"/>
        <v>2000</v>
      </c>
      <c r="DJ89" s="128">
        <f t="shared" si="205"/>
        <v>114712.22766592001</v>
      </c>
      <c r="DK89" s="128">
        <f t="shared" si="85"/>
        <v>0</v>
      </c>
      <c r="DL89" s="130">
        <f t="shared" si="206"/>
        <v>4.2500000000000003E-2</v>
      </c>
      <c r="DM89" s="128">
        <f t="shared" si="207"/>
        <v>0</v>
      </c>
      <c r="DN89" s="128">
        <f t="shared" si="208"/>
        <v>114712.22766592001</v>
      </c>
      <c r="DP89" s="127">
        <f t="shared" si="146"/>
        <v>1000</v>
      </c>
      <c r="DQ89" s="128">
        <f t="shared" si="147"/>
        <v>100000</v>
      </c>
      <c r="DR89" s="128">
        <f t="shared" si="138"/>
        <v>100000</v>
      </c>
      <c r="DS89" s="128">
        <f t="shared" si="241"/>
        <v>117367.43264999997</v>
      </c>
      <c r="DT89" s="130">
        <f t="shared" si="209"/>
        <v>5.3000000000000005E-2</v>
      </c>
      <c r="DU89" s="128">
        <f t="shared" si="210"/>
        <v>122551.16092537498</v>
      </c>
      <c r="DV89" s="128" t="str">
        <f t="shared" si="211"/>
        <v>nie</v>
      </c>
      <c r="DW89" s="128">
        <f t="shared" si="212"/>
        <v>3000</v>
      </c>
      <c r="DX89" s="128">
        <f t="shared" si="93"/>
        <v>115836.44034955373</v>
      </c>
      <c r="DY89" s="128">
        <f t="shared" si="94"/>
        <v>0</v>
      </c>
      <c r="DZ89" s="130">
        <f t="shared" si="213"/>
        <v>4.2500000000000003E-2</v>
      </c>
      <c r="EA89" s="128">
        <f t="shared" si="214"/>
        <v>0</v>
      </c>
      <c r="EB89" s="128">
        <f t="shared" si="215"/>
        <v>115836.44034955373</v>
      </c>
    </row>
    <row r="90" spans="1:134">
      <c r="A90" s="224"/>
      <c r="B90" s="188">
        <f t="shared" si="216"/>
        <v>46</v>
      </c>
      <c r="C90" s="128">
        <f t="shared" si="217"/>
        <v>115131.71592947601</v>
      </c>
      <c r="D90" s="128">
        <f t="shared" si="218"/>
        <v>114415.58075581637</v>
      </c>
      <c r="E90" s="128">
        <f t="shared" si="219"/>
        <v>114552.14899875832</v>
      </c>
      <c r="F90" s="128">
        <f t="shared" si="220"/>
        <v>113040.59933518054</v>
      </c>
      <c r="G90" s="128">
        <f t="shared" si="221"/>
        <v>114272.31218176</v>
      </c>
      <c r="H90" s="128">
        <f t="shared" si="222"/>
        <v>114712.22766592001</v>
      </c>
      <c r="I90" s="128">
        <f t="shared" si="223"/>
        <v>115836.44034955373</v>
      </c>
      <c r="J90" s="128">
        <f t="shared" si="224"/>
        <v>114084.99759367615</v>
      </c>
      <c r="K90" s="128">
        <f t="shared" si="225"/>
        <v>111172.26775466668</v>
      </c>
      <c r="M90" s="36"/>
      <c r="N90" s="32">
        <f t="shared" si="226"/>
        <v>46</v>
      </c>
      <c r="O90" s="25">
        <f t="shared" si="109"/>
        <v>0.15131715929475997</v>
      </c>
      <c r="P90" s="25">
        <f t="shared" si="110"/>
        <v>0.14415580755816371</v>
      </c>
      <c r="Q90" s="25">
        <f t="shared" si="111"/>
        <v>0.14552148998758319</v>
      </c>
      <c r="R90" s="25">
        <f t="shared" si="161"/>
        <v>0.13040599335180536</v>
      </c>
      <c r="S90" s="25">
        <f t="shared" si="162"/>
        <v>0.14272312181759994</v>
      </c>
      <c r="T90" s="25">
        <f t="shared" si="163"/>
        <v>0.14712227665920019</v>
      </c>
      <c r="U90" s="25">
        <f t="shared" si="164"/>
        <v>0.15836440349553715</v>
      </c>
      <c r="V90" s="25">
        <f t="shared" si="165"/>
        <v>0.14084997593676141</v>
      </c>
      <c r="W90" s="25">
        <f t="shared" si="166"/>
        <v>0.11172267754666687</v>
      </c>
      <c r="X90" s="36"/>
      <c r="Y90" s="36"/>
      <c r="AA90" s="124">
        <f t="shared" si="113"/>
        <v>47</v>
      </c>
      <c r="AB90" s="128">
        <f t="shared" si="167"/>
        <v>111425.75501013333</v>
      </c>
      <c r="AC90" s="124">
        <f t="shared" si="114"/>
        <v>47</v>
      </c>
      <c r="AD90" s="130">
        <f t="shared" si="227"/>
        <v>4.2500000000000003E-2</v>
      </c>
      <c r="AE90" s="127">
        <f t="shared" si="228"/>
        <v>1123</v>
      </c>
      <c r="AF90" s="128">
        <f t="shared" si="229"/>
        <v>112191.6</v>
      </c>
      <c r="AG90" s="128">
        <f t="shared" si="140"/>
        <v>112300</v>
      </c>
      <c r="AH90" s="128">
        <f t="shared" si="118"/>
        <v>112300</v>
      </c>
      <c r="AI90" s="130">
        <f t="shared" si="168"/>
        <v>4.2500000000000003E-2</v>
      </c>
      <c r="AJ90" s="128">
        <f t="shared" si="169"/>
        <v>112697.72916666669</v>
      </c>
      <c r="AK90" s="128" t="str">
        <f t="shared" si="170"/>
        <v>nie</v>
      </c>
      <c r="AL90" s="128">
        <f t="shared" si="171"/>
        <v>561.5</v>
      </c>
      <c r="AM90" s="128">
        <f t="shared" si="150"/>
        <v>112167.34562500002</v>
      </c>
      <c r="AN90" s="128">
        <f t="shared" si="172"/>
        <v>322.16062500001573</v>
      </c>
      <c r="AO90" s="130">
        <f t="shared" si="173"/>
        <v>4.2500000000000003E-2</v>
      </c>
      <c r="AP90" s="128">
        <f t="shared" si="174"/>
        <v>3618.1197900799521</v>
      </c>
      <c r="AQ90" s="128">
        <f t="shared" si="156"/>
        <v>115463.30479007996</v>
      </c>
      <c r="AS90" s="124">
        <f t="shared" si="119"/>
        <v>47</v>
      </c>
      <c r="AT90" s="130">
        <f t="shared" si="120"/>
        <v>4.2500000000000003E-2</v>
      </c>
      <c r="AU90" s="127">
        <f t="shared" si="230"/>
        <v>1077</v>
      </c>
      <c r="AV90" s="128">
        <f t="shared" si="231"/>
        <v>107599.70000000001</v>
      </c>
      <c r="AW90" s="128">
        <f t="shared" si="151"/>
        <v>107700</v>
      </c>
      <c r="AX90" s="128">
        <f t="shared" si="123"/>
        <v>107700</v>
      </c>
      <c r="AY90" s="130">
        <f t="shared" si="175"/>
        <v>4.4000000000000004E-2</v>
      </c>
      <c r="AZ90" s="128">
        <f t="shared" si="176"/>
        <v>108094.90000000001</v>
      </c>
      <c r="BA90" s="128" t="str">
        <f t="shared" si="177"/>
        <v>nie</v>
      </c>
      <c r="BB90" s="128">
        <f t="shared" si="178"/>
        <v>753.9</v>
      </c>
      <c r="BC90" s="128">
        <f t="shared" si="158"/>
        <v>107409.21</v>
      </c>
      <c r="BD90" s="128">
        <f t="shared" si="179"/>
        <v>319.86900000000708</v>
      </c>
      <c r="BE90" s="130">
        <f t="shared" si="51"/>
        <v>4.2500000000000003E-2</v>
      </c>
      <c r="BF90" s="128">
        <f t="shared" si="180"/>
        <v>7667.1259061158726</v>
      </c>
      <c r="BG90" s="128">
        <f t="shared" si="159"/>
        <v>114756.46690611588</v>
      </c>
      <c r="BI90" s="124">
        <f t="shared" si="124"/>
        <v>47</v>
      </c>
      <c r="BJ90" s="130">
        <f t="shared" si="242"/>
        <v>4.1300000000000003E-2</v>
      </c>
      <c r="BK90" s="127">
        <f t="shared" si="232"/>
        <v>1119</v>
      </c>
      <c r="BL90" s="128">
        <f t="shared" si="233"/>
        <v>111788.1</v>
      </c>
      <c r="BM90" s="128">
        <f t="shared" si="142"/>
        <v>111900</v>
      </c>
      <c r="BN90" s="128">
        <f t="shared" si="234"/>
        <v>111900</v>
      </c>
      <c r="BO90" s="130">
        <f t="shared" si="181"/>
        <v>4.65E-2</v>
      </c>
      <c r="BP90" s="128">
        <f t="shared" si="182"/>
        <v>116669.73749999999</v>
      </c>
      <c r="BQ90" s="128" t="str">
        <f t="shared" si="183"/>
        <v>nie</v>
      </c>
      <c r="BR90" s="128">
        <f t="shared" si="184"/>
        <v>1119</v>
      </c>
      <c r="BS90" s="128">
        <f t="shared" si="153"/>
        <v>114857.097375</v>
      </c>
      <c r="BT90" s="128">
        <f t="shared" si="128"/>
        <v>0</v>
      </c>
      <c r="BU90" s="130">
        <f t="shared" si="185"/>
        <v>4.2500000000000003E-2</v>
      </c>
      <c r="BV90" s="128">
        <f t="shared" si="60"/>
        <v>46.41050805006897</v>
      </c>
      <c r="BW90" s="128">
        <f t="shared" si="243"/>
        <v>114903.50788305007</v>
      </c>
      <c r="BY90" s="130">
        <f t="shared" si="244"/>
        <v>2.8000000000000001E-2</v>
      </c>
      <c r="BZ90" s="127">
        <f t="shared" si="235"/>
        <v>1000</v>
      </c>
      <c r="CA90" s="128">
        <f t="shared" si="236"/>
        <v>100000</v>
      </c>
      <c r="CB90" s="128">
        <f t="shared" si="154"/>
        <v>100000</v>
      </c>
      <c r="CC90" s="128">
        <f t="shared" si="131"/>
        <v>100000</v>
      </c>
      <c r="CD90" s="130">
        <f t="shared" si="186"/>
        <v>4.2999999999999997E-2</v>
      </c>
      <c r="CE90" s="128">
        <f t="shared" si="187"/>
        <v>103941.66666666667</v>
      </c>
      <c r="CF90" s="128" t="str">
        <f t="shared" si="188"/>
        <v>nie</v>
      </c>
      <c r="CG90" s="128">
        <f t="shared" si="189"/>
        <v>2000</v>
      </c>
      <c r="CH90" s="128">
        <f t="shared" si="160"/>
        <v>101572.75</v>
      </c>
      <c r="CI90" s="128">
        <f t="shared" si="190"/>
        <v>0</v>
      </c>
      <c r="CJ90" s="130">
        <f t="shared" si="68"/>
        <v>4.2500000000000003E-2</v>
      </c>
      <c r="CK90" s="128">
        <f t="shared" si="191"/>
        <v>11791.830382648322</v>
      </c>
      <c r="CL90" s="128">
        <f t="shared" si="192"/>
        <v>113364.58038264832</v>
      </c>
      <c r="CN90" s="127">
        <f t="shared" si="237"/>
        <v>1000</v>
      </c>
      <c r="CO90" s="128">
        <f t="shared" si="238"/>
        <v>100000</v>
      </c>
      <c r="CP90" s="128">
        <f t="shared" si="134"/>
        <v>100000</v>
      </c>
      <c r="CQ90" s="128">
        <f t="shared" si="239"/>
        <v>115980.90240000001</v>
      </c>
      <c r="CR90" s="130">
        <f t="shared" si="193"/>
        <v>4.8000000000000001E-2</v>
      </c>
      <c r="CS90" s="128">
        <f t="shared" si="194"/>
        <v>121084.06210560001</v>
      </c>
      <c r="CT90" s="128" t="str">
        <f t="shared" si="195"/>
        <v>nie</v>
      </c>
      <c r="CU90" s="128">
        <f t="shared" si="196"/>
        <v>3000</v>
      </c>
      <c r="CV90" s="128">
        <f t="shared" si="197"/>
        <v>114648.09030553601</v>
      </c>
      <c r="CW90" s="128">
        <f t="shared" si="76"/>
        <v>0</v>
      </c>
      <c r="CX90" s="130">
        <f t="shared" si="198"/>
        <v>4.2500000000000003E-2</v>
      </c>
      <c r="CY90" s="128">
        <f t="shared" si="199"/>
        <v>0</v>
      </c>
      <c r="CZ90" s="128">
        <f t="shared" si="200"/>
        <v>114648.09030553601</v>
      </c>
      <c r="DA90" s="20"/>
      <c r="DB90" s="127">
        <f t="shared" si="144"/>
        <v>1000</v>
      </c>
      <c r="DC90" s="128">
        <f t="shared" si="145"/>
        <v>100000</v>
      </c>
      <c r="DD90" s="128">
        <f t="shared" si="136"/>
        <v>100000</v>
      </c>
      <c r="DE90" s="128">
        <f t="shared" si="240"/>
        <v>115541.58080000001</v>
      </c>
      <c r="DF90" s="130">
        <f t="shared" si="201"/>
        <v>4.8000000000000001E-2</v>
      </c>
      <c r="DG90" s="128">
        <f t="shared" si="202"/>
        <v>120625.41035520002</v>
      </c>
      <c r="DH90" s="128" t="str">
        <f t="shared" si="203"/>
        <v>nie</v>
      </c>
      <c r="DI90" s="128">
        <f t="shared" si="204"/>
        <v>2000</v>
      </c>
      <c r="DJ90" s="128">
        <f t="shared" si="205"/>
        <v>115086.58238771201</v>
      </c>
      <c r="DK90" s="128">
        <f t="shared" si="85"/>
        <v>0</v>
      </c>
      <c r="DL90" s="130">
        <f t="shared" si="206"/>
        <v>4.2500000000000003E-2</v>
      </c>
      <c r="DM90" s="128">
        <f t="shared" si="207"/>
        <v>0</v>
      </c>
      <c r="DN90" s="128">
        <f t="shared" si="208"/>
        <v>115086.58238771201</v>
      </c>
      <c r="DP90" s="127">
        <f t="shared" si="146"/>
        <v>1000</v>
      </c>
      <c r="DQ90" s="128">
        <f t="shared" si="147"/>
        <v>100000</v>
      </c>
      <c r="DR90" s="128">
        <f t="shared" si="138"/>
        <v>100000</v>
      </c>
      <c r="DS90" s="128">
        <f t="shared" si="241"/>
        <v>117367.43264999997</v>
      </c>
      <c r="DT90" s="130">
        <f t="shared" si="209"/>
        <v>5.3000000000000005E-2</v>
      </c>
      <c r="DU90" s="128">
        <f t="shared" si="210"/>
        <v>123069.53375291248</v>
      </c>
      <c r="DV90" s="128" t="str">
        <f t="shared" si="211"/>
        <v>nie</v>
      </c>
      <c r="DW90" s="128">
        <f t="shared" si="212"/>
        <v>3000</v>
      </c>
      <c r="DX90" s="128">
        <f t="shared" si="93"/>
        <v>116256.32233985911</v>
      </c>
      <c r="DY90" s="128">
        <f t="shared" si="94"/>
        <v>0</v>
      </c>
      <c r="DZ90" s="130">
        <f t="shared" si="213"/>
        <v>4.2500000000000003E-2</v>
      </c>
      <c r="EA90" s="128">
        <f t="shared" si="214"/>
        <v>0</v>
      </c>
      <c r="EB90" s="128">
        <f t="shared" si="215"/>
        <v>116256.32233985911</v>
      </c>
    </row>
    <row r="91" spans="1:134" ht="14.25" customHeight="1">
      <c r="A91" s="224"/>
      <c r="B91" s="188">
        <f t="shared" si="216"/>
        <v>47</v>
      </c>
      <c r="C91" s="128">
        <f t="shared" si="217"/>
        <v>115463.30479007996</v>
      </c>
      <c r="D91" s="128">
        <f t="shared" si="218"/>
        <v>114756.46690611588</v>
      </c>
      <c r="E91" s="128">
        <f t="shared" si="219"/>
        <v>114903.50788305007</v>
      </c>
      <c r="F91" s="128">
        <f t="shared" si="220"/>
        <v>113364.58038264832</v>
      </c>
      <c r="G91" s="128">
        <f t="shared" si="221"/>
        <v>114648.09030553601</v>
      </c>
      <c r="H91" s="128">
        <f t="shared" si="222"/>
        <v>115086.58238771201</v>
      </c>
      <c r="I91" s="128">
        <f t="shared" si="223"/>
        <v>116256.32233985911</v>
      </c>
      <c r="J91" s="128">
        <f t="shared" si="224"/>
        <v>114412.278930523</v>
      </c>
      <c r="K91" s="128">
        <f t="shared" si="225"/>
        <v>111425.75501013333</v>
      </c>
      <c r="M91" s="36"/>
      <c r="N91" s="32">
        <f t="shared" si="226"/>
        <v>47</v>
      </c>
      <c r="O91" s="25">
        <f t="shared" si="109"/>
        <v>0.15463304790079957</v>
      </c>
      <c r="P91" s="25">
        <f t="shared" si="110"/>
        <v>0.14756466906115873</v>
      </c>
      <c r="Q91" s="25">
        <f t="shared" si="111"/>
        <v>0.14903507883050082</v>
      </c>
      <c r="R91" s="25">
        <f t="shared" si="161"/>
        <v>0.13364580382648317</v>
      </c>
      <c r="S91" s="25">
        <f t="shared" si="162"/>
        <v>0.14648090305536021</v>
      </c>
      <c r="T91" s="25">
        <f t="shared" si="163"/>
        <v>0.15086582387712011</v>
      </c>
      <c r="U91" s="25">
        <f t="shared" si="164"/>
        <v>0.16256322339859097</v>
      </c>
      <c r="V91" s="25">
        <f t="shared" si="165"/>
        <v>0.14412278930522993</v>
      </c>
      <c r="W91" s="25">
        <f t="shared" si="166"/>
        <v>0.11425755010133343</v>
      </c>
      <c r="X91" s="36"/>
      <c r="Y91" s="36"/>
      <c r="AA91" s="124">
        <f t="shared" si="113"/>
        <v>48</v>
      </c>
      <c r="AB91" s="128">
        <f t="shared" si="167"/>
        <v>111679.2422656</v>
      </c>
      <c r="AC91" s="124">
        <f t="shared" si="114"/>
        <v>48</v>
      </c>
      <c r="AD91" s="130">
        <f t="shared" si="227"/>
        <v>4.2500000000000003E-2</v>
      </c>
      <c r="AE91" s="127">
        <f t="shared" si="228"/>
        <v>1123</v>
      </c>
      <c r="AF91" s="128">
        <f t="shared" si="229"/>
        <v>112191.6</v>
      </c>
      <c r="AG91" s="128">
        <f t="shared" si="140"/>
        <v>112300</v>
      </c>
      <c r="AH91" s="128">
        <f t="shared" si="118"/>
        <v>112300</v>
      </c>
      <c r="AI91" s="130">
        <f t="shared" si="168"/>
        <v>4.2500000000000003E-2</v>
      </c>
      <c r="AJ91" s="128">
        <f t="shared" si="169"/>
        <v>112697.72916666669</v>
      </c>
      <c r="AK91" s="128" t="str">
        <f t="shared" si="170"/>
        <v>tak</v>
      </c>
      <c r="AL91" s="128">
        <f t="shared" si="171"/>
        <v>0</v>
      </c>
      <c r="AM91" s="128">
        <f t="shared" si="150"/>
        <v>112622.16062500002</v>
      </c>
      <c r="AN91" s="128">
        <f t="shared" si="172"/>
        <v>434.96062500000932</v>
      </c>
      <c r="AO91" s="130">
        <f t="shared" si="173"/>
        <v>4.2500000000000003E-2</v>
      </c>
      <c r="AP91" s="128">
        <f t="shared" si="174"/>
        <v>4063.4598962277532</v>
      </c>
      <c r="AQ91" s="128">
        <f t="shared" si="156"/>
        <v>116250.65989622776</v>
      </c>
      <c r="AS91" s="124">
        <f t="shared" si="119"/>
        <v>48</v>
      </c>
      <c r="AT91" s="130">
        <f t="shared" si="120"/>
        <v>4.2500000000000003E-2</v>
      </c>
      <c r="AU91" s="127">
        <f t="shared" si="230"/>
        <v>1077</v>
      </c>
      <c r="AV91" s="128">
        <f t="shared" si="231"/>
        <v>107599.70000000001</v>
      </c>
      <c r="AW91" s="128">
        <f t="shared" si="151"/>
        <v>107700</v>
      </c>
      <c r="AX91" s="128">
        <f t="shared" si="123"/>
        <v>107700</v>
      </c>
      <c r="AY91" s="130">
        <f t="shared" si="175"/>
        <v>4.4000000000000004E-2</v>
      </c>
      <c r="AZ91" s="128">
        <f t="shared" si="176"/>
        <v>108094.90000000001</v>
      </c>
      <c r="BA91" s="128" t="str">
        <f t="shared" si="177"/>
        <v>tak</v>
      </c>
      <c r="BB91" s="128">
        <f t="shared" si="178"/>
        <v>0</v>
      </c>
      <c r="BC91" s="128">
        <f t="shared" si="158"/>
        <v>108019.86900000001</v>
      </c>
      <c r="BD91" s="128">
        <f t="shared" si="179"/>
        <v>428.06900000000093</v>
      </c>
      <c r="BE91" s="130">
        <f t="shared" si="51"/>
        <v>4.2500000000000003E-2</v>
      </c>
      <c r="BF91" s="128">
        <f t="shared" si="180"/>
        <v>8117.1899735590432</v>
      </c>
      <c r="BG91" s="128">
        <f t="shared" si="159"/>
        <v>115708.98997355904</v>
      </c>
      <c r="BI91" s="124">
        <f t="shared" si="124"/>
        <v>48</v>
      </c>
      <c r="BJ91" s="130">
        <f t="shared" si="242"/>
        <v>4.1300000000000003E-2</v>
      </c>
      <c r="BK91" s="127">
        <f t="shared" si="232"/>
        <v>1119</v>
      </c>
      <c r="BL91" s="128">
        <f t="shared" si="233"/>
        <v>111788.1</v>
      </c>
      <c r="BM91" s="128">
        <f t="shared" si="142"/>
        <v>111900</v>
      </c>
      <c r="BN91" s="128">
        <f t="shared" si="234"/>
        <v>111900</v>
      </c>
      <c r="BO91" s="130">
        <f t="shared" si="181"/>
        <v>4.65E-2</v>
      </c>
      <c r="BP91" s="128">
        <f t="shared" si="182"/>
        <v>117103.34999999999</v>
      </c>
      <c r="BQ91" s="128" t="str">
        <f t="shared" si="183"/>
        <v>nie</v>
      </c>
      <c r="BR91" s="128">
        <f t="shared" si="184"/>
        <v>1119</v>
      </c>
      <c r="BS91" s="128">
        <f t="shared" si="153"/>
        <v>115208.3235</v>
      </c>
      <c r="BT91" s="128">
        <f t="shared" si="128"/>
        <v>0</v>
      </c>
      <c r="BU91" s="130">
        <f t="shared" si="185"/>
        <v>4.2500000000000003E-2</v>
      </c>
      <c r="BV91" s="128">
        <f t="shared" si="60"/>
        <v>46.543648195037605</v>
      </c>
      <c r="BW91" s="128">
        <f t="shared" si="243"/>
        <v>115254.86714819503</v>
      </c>
      <c r="BY91" s="130">
        <f t="shared" si="244"/>
        <v>2.8000000000000001E-2</v>
      </c>
      <c r="BZ91" s="127">
        <f t="shared" si="235"/>
        <v>1000</v>
      </c>
      <c r="CA91" s="128">
        <f t="shared" si="236"/>
        <v>100000</v>
      </c>
      <c r="CB91" s="128">
        <f t="shared" si="154"/>
        <v>100000</v>
      </c>
      <c r="CC91" s="128">
        <f t="shared" si="131"/>
        <v>100000</v>
      </c>
      <c r="CD91" s="130">
        <f t="shared" si="186"/>
        <v>4.2999999999999997E-2</v>
      </c>
      <c r="CE91" s="128">
        <f t="shared" si="187"/>
        <v>104299.99999999999</v>
      </c>
      <c r="CF91" s="128" t="str">
        <f t="shared" si="188"/>
        <v>tak</v>
      </c>
      <c r="CG91" s="128">
        <f t="shared" si="189"/>
        <v>0</v>
      </c>
      <c r="CH91" s="128">
        <f t="shared" si="160"/>
        <v>103482.99999999999</v>
      </c>
      <c r="CI91" s="128">
        <f t="shared" si="190"/>
        <v>86.499999999985448</v>
      </c>
      <c r="CJ91" s="130">
        <f t="shared" si="68"/>
        <v>4.2500000000000003E-2</v>
      </c>
      <c r="CK91" s="128">
        <f t="shared" si="191"/>
        <v>11912.15819605853</v>
      </c>
      <c r="CL91" s="128">
        <f t="shared" si="192"/>
        <v>115308.65819605853</v>
      </c>
      <c r="CN91" s="127">
        <f t="shared" si="237"/>
        <v>1000</v>
      </c>
      <c r="CO91" s="128">
        <f t="shared" si="238"/>
        <v>100000</v>
      </c>
      <c r="CP91" s="128">
        <f t="shared" si="134"/>
        <v>100000</v>
      </c>
      <c r="CQ91" s="128">
        <f t="shared" si="239"/>
        <v>115980.90240000001</v>
      </c>
      <c r="CR91" s="130">
        <f t="shared" si="193"/>
        <v>4.8000000000000001E-2</v>
      </c>
      <c r="CS91" s="128">
        <f t="shared" si="194"/>
        <v>121547.98571520002</v>
      </c>
      <c r="CT91" s="128" t="str">
        <f t="shared" si="195"/>
        <v>nie</v>
      </c>
      <c r="CU91" s="128">
        <f t="shared" si="196"/>
        <v>3000</v>
      </c>
      <c r="CV91" s="128">
        <f t="shared" si="197"/>
        <v>115023.86842931202</v>
      </c>
      <c r="CW91" s="128">
        <f t="shared" si="76"/>
        <v>0</v>
      </c>
      <c r="CX91" s="130">
        <f t="shared" si="198"/>
        <v>4.2500000000000003E-2</v>
      </c>
      <c r="CY91" s="128">
        <f t="shared" si="199"/>
        <v>0</v>
      </c>
      <c r="CZ91" s="128">
        <f t="shared" si="200"/>
        <v>115023.86842931202</v>
      </c>
      <c r="DA91" s="20"/>
      <c r="DB91" s="127">
        <f t="shared" si="144"/>
        <v>1000</v>
      </c>
      <c r="DC91" s="128">
        <f t="shared" si="145"/>
        <v>100000</v>
      </c>
      <c r="DD91" s="128">
        <f t="shared" si="136"/>
        <v>100000</v>
      </c>
      <c r="DE91" s="128">
        <f t="shared" si="240"/>
        <v>115541.58080000001</v>
      </c>
      <c r="DF91" s="130">
        <f t="shared" si="201"/>
        <v>4.8000000000000001E-2</v>
      </c>
      <c r="DG91" s="128">
        <f t="shared" si="202"/>
        <v>121087.57667840002</v>
      </c>
      <c r="DH91" s="128" t="str">
        <f t="shared" si="203"/>
        <v>nie</v>
      </c>
      <c r="DI91" s="128">
        <f t="shared" si="204"/>
        <v>2000</v>
      </c>
      <c r="DJ91" s="128">
        <f t="shared" si="205"/>
        <v>115460.93710950401</v>
      </c>
      <c r="DK91" s="128">
        <f t="shared" si="85"/>
        <v>0</v>
      </c>
      <c r="DL91" s="130">
        <f t="shared" si="206"/>
        <v>4.2500000000000003E-2</v>
      </c>
      <c r="DM91" s="128">
        <f t="shared" si="207"/>
        <v>0</v>
      </c>
      <c r="DN91" s="128">
        <f t="shared" si="208"/>
        <v>115460.93710950401</v>
      </c>
      <c r="DP91" s="127">
        <f t="shared" si="146"/>
        <v>1000</v>
      </c>
      <c r="DQ91" s="128">
        <f t="shared" si="147"/>
        <v>100000</v>
      </c>
      <c r="DR91" s="128">
        <f t="shared" si="138"/>
        <v>100000</v>
      </c>
      <c r="DS91" s="128">
        <f t="shared" si="241"/>
        <v>117367.43264999997</v>
      </c>
      <c r="DT91" s="130">
        <f t="shared" si="209"/>
        <v>5.3000000000000005E-2</v>
      </c>
      <c r="DU91" s="128">
        <f t="shared" si="210"/>
        <v>123587.90658044997</v>
      </c>
      <c r="DV91" s="128" t="str">
        <f t="shared" si="211"/>
        <v>nie</v>
      </c>
      <c r="DW91" s="128">
        <f t="shared" si="212"/>
        <v>3000</v>
      </c>
      <c r="DX91" s="128">
        <f t="shared" si="93"/>
        <v>116676.20433016447</v>
      </c>
      <c r="DY91" s="128">
        <f t="shared" si="94"/>
        <v>0</v>
      </c>
      <c r="DZ91" s="130">
        <f t="shared" si="213"/>
        <v>4.2500000000000003E-2</v>
      </c>
      <c r="EA91" s="128">
        <f t="shared" si="214"/>
        <v>0</v>
      </c>
      <c r="EB91" s="128">
        <f t="shared" si="215"/>
        <v>116676.20433016447</v>
      </c>
    </row>
    <row r="92" spans="1:134">
      <c r="A92" s="224"/>
      <c r="B92" s="188">
        <f t="shared" si="216"/>
        <v>48</v>
      </c>
      <c r="C92" s="128">
        <f t="shared" si="217"/>
        <v>116250.65989622776</v>
      </c>
      <c r="D92" s="128">
        <f t="shared" si="218"/>
        <v>115708.98997355904</v>
      </c>
      <c r="E92" s="128">
        <f t="shared" si="219"/>
        <v>115254.86714819503</v>
      </c>
      <c r="F92" s="128">
        <f t="shared" si="220"/>
        <v>115308.65819605853</v>
      </c>
      <c r="G92" s="128">
        <f t="shared" si="221"/>
        <v>115023.86842931202</v>
      </c>
      <c r="H92" s="128">
        <f t="shared" si="222"/>
        <v>115460.93710950401</v>
      </c>
      <c r="I92" s="128">
        <f t="shared" si="223"/>
        <v>116676.20433016447</v>
      </c>
      <c r="J92" s="128">
        <f t="shared" si="224"/>
        <v>114740.49915570494</v>
      </c>
      <c r="K92" s="128">
        <f t="shared" si="225"/>
        <v>111679.2422656</v>
      </c>
      <c r="M92" s="36"/>
      <c r="N92" s="32">
        <f t="shared" si="226"/>
        <v>48</v>
      </c>
      <c r="O92" s="25">
        <f t="shared" si="109"/>
        <v>0.16250659896227759</v>
      </c>
      <c r="P92" s="25">
        <f t="shared" si="110"/>
        <v>0.15708989973559051</v>
      </c>
      <c r="Q92" s="25">
        <f t="shared" si="111"/>
        <v>0.15254867148195039</v>
      </c>
      <c r="R92" s="25">
        <f t="shared" si="161"/>
        <v>0.15308658196058533</v>
      </c>
      <c r="S92" s="25">
        <f t="shared" si="162"/>
        <v>0.15023868429312026</v>
      </c>
      <c r="T92" s="25">
        <f t="shared" si="163"/>
        <v>0.15460937109504003</v>
      </c>
      <c r="U92" s="25">
        <f t="shared" si="164"/>
        <v>0.16676204330164479</v>
      </c>
      <c r="V92" s="25">
        <f t="shared" si="165"/>
        <v>0.14740499155704945</v>
      </c>
      <c r="W92" s="25">
        <f t="shared" si="166"/>
        <v>0.11679242265599998</v>
      </c>
      <c r="X92" s="36"/>
      <c r="Y92" s="36"/>
      <c r="AA92" s="124">
        <f t="shared" si="113"/>
        <v>49</v>
      </c>
      <c r="AB92" s="128">
        <f t="shared" si="167"/>
        <v>111939.82716421972</v>
      </c>
      <c r="AC92" s="124">
        <f t="shared" si="114"/>
        <v>49</v>
      </c>
      <c r="AD92" s="130">
        <f t="shared" si="227"/>
        <v>4.2500000000000003E-2</v>
      </c>
      <c r="AE92" s="127">
        <f t="shared" si="228"/>
        <v>1167</v>
      </c>
      <c r="AF92" s="128">
        <f t="shared" si="229"/>
        <v>116587.3</v>
      </c>
      <c r="AG92" s="128">
        <f t="shared" si="140"/>
        <v>116700</v>
      </c>
      <c r="AH92" s="128">
        <f t="shared" si="118"/>
        <v>116700</v>
      </c>
      <c r="AI92" s="130">
        <f t="shared" si="168"/>
        <v>4.2500000000000003E-2</v>
      </c>
      <c r="AJ92" s="128">
        <f t="shared" si="169"/>
        <v>117113.31250000001</v>
      </c>
      <c r="AK92" s="128" t="str">
        <f t="shared" si="170"/>
        <v>nie</v>
      </c>
      <c r="AL92" s="128">
        <f t="shared" si="171"/>
        <v>413.31250000001455</v>
      </c>
      <c r="AM92" s="128">
        <f t="shared" si="150"/>
        <v>116700</v>
      </c>
      <c r="AN92" s="128">
        <f t="shared" si="172"/>
        <v>334.78312500001181</v>
      </c>
      <c r="AO92" s="130">
        <f t="shared" si="173"/>
        <v>4.2500000000000003E-2</v>
      </c>
      <c r="AP92" s="128">
        <f t="shared" si="174"/>
        <v>398.4250718050684</v>
      </c>
      <c r="AQ92" s="128">
        <f t="shared" si="156"/>
        <v>120775.11694680505</v>
      </c>
      <c r="AS92" s="124">
        <f t="shared" si="119"/>
        <v>49</v>
      </c>
      <c r="AT92" s="130">
        <f t="shared" si="120"/>
        <v>4.2500000000000003E-2</v>
      </c>
      <c r="AU92" s="127">
        <f t="shared" si="230"/>
        <v>1162</v>
      </c>
      <c r="AV92" s="128">
        <f t="shared" si="231"/>
        <v>116091.90000000001</v>
      </c>
      <c r="AW92" s="128">
        <f t="shared" si="151"/>
        <v>116200</v>
      </c>
      <c r="AX92" s="128">
        <f t="shared" si="123"/>
        <v>116200</v>
      </c>
      <c r="AY92" s="130">
        <f t="shared" si="175"/>
        <v>4.3999999999999997E-2</v>
      </c>
      <c r="AZ92" s="128">
        <f t="shared" si="176"/>
        <v>116626.06666666667</v>
      </c>
      <c r="BA92" s="128" t="str">
        <f t="shared" si="177"/>
        <v>nie</v>
      </c>
      <c r="BB92" s="128">
        <f t="shared" si="178"/>
        <v>426.0666666666657</v>
      </c>
      <c r="BC92" s="128">
        <f t="shared" si="158"/>
        <v>116200</v>
      </c>
      <c r="BD92" s="128">
        <f t="shared" si="179"/>
        <v>345.11399999999924</v>
      </c>
      <c r="BE92" s="130">
        <f t="shared" si="51"/>
        <v>4.2500000000000003E-2</v>
      </c>
      <c r="BF92" s="128">
        <f t="shared" si="180"/>
        <v>362.35328729568994</v>
      </c>
      <c r="BG92" s="128">
        <f t="shared" si="159"/>
        <v>124340.47616229569</v>
      </c>
      <c r="BI92" s="124">
        <f t="shared" si="124"/>
        <v>49</v>
      </c>
      <c r="BJ92" s="130">
        <f t="shared" si="242"/>
        <v>4.1300000000000003E-2</v>
      </c>
      <c r="BK92" s="127">
        <f t="shared" si="232"/>
        <v>1119</v>
      </c>
      <c r="BL92" s="128">
        <f t="shared" si="233"/>
        <v>111788.1</v>
      </c>
      <c r="BM92" s="128">
        <f t="shared" si="142"/>
        <v>111900</v>
      </c>
      <c r="BN92" s="128">
        <f t="shared" si="234"/>
        <v>117103.34999999999</v>
      </c>
      <c r="BO92" s="130">
        <f t="shared" si="181"/>
        <v>4.65E-2</v>
      </c>
      <c r="BP92" s="128">
        <f t="shared" si="182"/>
        <v>117557.12548125</v>
      </c>
      <c r="BQ92" s="128" t="str">
        <f t="shared" si="183"/>
        <v>nie</v>
      </c>
      <c r="BR92" s="128">
        <f t="shared" si="184"/>
        <v>1119</v>
      </c>
      <c r="BS92" s="128">
        <f t="shared" si="153"/>
        <v>115575.88163981249</v>
      </c>
      <c r="BT92" s="128">
        <f>IF(AND(BQ92="tak",BL93&lt;&gt;""),
 BS92-BL93,
0)</f>
        <v>0</v>
      </c>
      <c r="BU92" s="130">
        <f t="shared" si="185"/>
        <v>4.2500000000000003E-2</v>
      </c>
      <c r="BV92" s="128">
        <f t="shared" si="60"/>
        <v>46.677170285797118</v>
      </c>
      <c r="BW92" s="128">
        <f t="shared" si="243"/>
        <v>115622.55881009829</v>
      </c>
      <c r="BY92" s="130">
        <f t="shared" si="244"/>
        <v>2.8000000000000001E-2</v>
      </c>
      <c r="BZ92" s="127">
        <f t="shared" si="235"/>
        <v>1154</v>
      </c>
      <c r="CA92" s="128">
        <f t="shared" si="236"/>
        <v>115296.5</v>
      </c>
      <c r="CB92" s="128">
        <f t="shared" si="154"/>
        <v>115400</v>
      </c>
      <c r="CC92" s="128">
        <f t="shared" si="131"/>
        <v>115400</v>
      </c>
      <c r="CD92" s="130">
        <f t="shared" si="186"/>
        <v>0.05</v>
      </c>
      <c r="CE92" s="128">
        <f t="shared" si="187"/>
        <v>115880.83333333333</v>
      </c>
      <c r="CF92" s="128" t="str">
        <f t="shared" si="188"/>
        <v>nie</v>
      </c>
      <c r="CG92" s="128">
        <f t="shared" si="189"/>
        <v>480.83333333332848</v>
      </c>
      <c r="CH92" s="128">
        <f t="shared" si="160"/>
        <v>115400</v>
      </c>
      <c r="CI92" s="128">
        <f t="shared" si="190"/>
        <v>0</v>
      </c>
      <c r="CJ92" s="130">
        <f t="shared" si="68"/>
        <v>4.2500000000000003E-2</v>
      </c>
      <c r="CK92" s="128">
        <f t="shared" si="191"/>
        <v>12.193074883472846</v>
      </c>
      <c r="CL92" s="128">
        <f t="shared" si="192"/>
        <v>115412.19307488347</v>
      </c>
      <c r="CN92" s="127">
        <f t="shared" si="237"/>
        <v>1000</v>
      </c>
      <c r="CO92" s="128">
        <f t="shared" si="238"/>
        <v>100000</v>
      </c>
      <c r="CP92" s="128">
        <f t="shared" si="134"/>
        <v>100000</v>
      </c>
      <c r="CQ92" s="128">
        <f t="shared" si="239"/>
        <v>121547.98571520002</v>
      </c>
      <c r="CR92" s="130">
        <f t="shared" si="193"/>
        <v>4.8000000000000001E-2</v>
      </c>
      <c r="CS92" s="128">
        <f t="shared" si="194"/>
        <v>122034.17765806081</v>
      </c>
      <c r="CT92" s="128" t="str">
        <f t="shared" si="195"/>
        <v>nie</v>
      </c>
      <c r="CU92" s="128">
        <f t="shared" si="196"/>
        <v>3000</v>
      </c>
      <c r="CV92" s="128">
        <f t="shared" si="197"/>
        <v>115417.68390302926</v>
      </c>
      <c r="CW92" s="128">
        <f t="shared" si="76"/>
        <v>0</v>
      </c>
      <c r="CX92" s="130">
        <f t="shared" si="198"/>
        <v>4.2500000000000003E-2</v>
      </c>
      <c r="CY92" s="128">
        <f t="shared" si="199"/>
        <v>0</v>
      </c>
      <c r="CZ92" s="128">
        <f t="shared" si="200"/>
        <v>115417.68390302926</v>
      </c>
      <c r="DA92" s="20"/>
      <c r="DB92" s="127">
        <f t="shared" si="144"/>
        <v>1000</v>
      </c>
      <c r="DC92" s="128">
        <f t="shared" si="145"/>
        <v>100000</v>
      </c>
      <c r="DD92" s="128">
        <f t="shared" si="136"/>
        <v>100000</v>
      </c>
      <c r="DE92" s="128">
        <f t="shared" si="240"/>
        <v>121087.57667840002</v>
      </c>
      <c r="DF92" s="130">
        <f t="shared" si="201"/>
        <v>4.8000000000000001E-2</v>
      </c>
      <c r="DG92" s="128">
        <f t="shared" si="202"/>
        <v>121571.92698511362</v>
      </c>
      <c r="DH92" s="128" t="str">
        <f t="shared" si="203"/>
        <v>nie</v>
      </c>
      <c r="DI92" s="128">
        <f t="shared" si="204"/>
        <v>2000</v>
      </c>
      <c r="DJ92" s="128">
        <f t="shared" si="205"/>
        <v>115853.26085794203</v>
      </c>
      <c r="DK92" s="128">
        <f t="shared" si="85"/>
        <v>0</v>
      </c>
      <c r="DL92" s="130">
        <f t="shared" si="206"/>
        <v>4.2500000000000003E-2</v>
      </c>
      <c r="DM92" s="128">
        <f t="shared" si="207"/>
        <v>0</v>
      </c>
      <c r="DN92" s="128">
        <f t="shared" si="208"/>
        <v>115853.26085794203</v>
      </c>
      <c r="DP92" s="127">
        <f t="shared" si="146"/>
        <v>1000</v>
      </c>
      <c r="DQ92" s="128">
        <f t="shared" si="147"/>
        <v>100000</v>
      </c>
      <c r="DR92" s="128">
        <f t="shared" si="138"/>
        <v>100000</v>
      </c>
      <c r="DS92" s="128">
        <f t="shared" si="241"/>
        <v>123587.90658044997</v>
      </c>
      <c r="DT92" s="130">
        <f t="shared" si="209"/>
        <v>5.3000000000000005E-2</v>
      </c>
      <c r="DU92" s="128">
        <f t="shared" si="210"/>
        <v>124133.75316784697</v>
      </c>
      <c r="DV92" s="128" t="str">
        <f t="shared" si="211"/>
        <v>nie</v>
      </c>
      <c r="DW92" s="128">
        <f t="shared" si="212"/>
        <v>3000</v>
      </c>
      <c r="DX92" s="128">
        <f t="shared" si="93"/>
        <v>117118.34006595604</v>
      </c>
      <c r="DY92" s="128">
        <f t="shared" si="94"/>
        <v>0</v>
      </c>
      <c r="DZ92" s="130">
        <f t="shared" si="213"/>
        <v>4.2500000000000003E-2</v>
      </c>
      <c r="EA92" s="128">
        <f t="shared" si="214"/>
        <v>0</v>
      </c>
      <c r="EB92" s="128">
        <f t="shared" si="215"/>
        <v>117118.34006595604</v>
      </c>
    </row>
    <row r="93" spans="1:134">
      <c r="A93" s="224">
        <f>ROUNDUP(B104/12,0)</f>
        <v>5</v>
      </c>
      <c r="B93" s="188">
        <f t="shared" si="216"/>
        <v>49</v>
      </c>
      <c r="C93" s="128">
        <f t="shared" si="217"/>
        <v>120775.11694680505</v>
      </c>
      <c r="D93" s="128">
        <f t="shared" si="218"/>
        <v>124340.47616229569</v>
      </c>
      <c r="E93" s="128">
        <f t="shared" si="219"/>
        <v>115622.55881009829</v>
      </c>
      <c r="F93" s="128">
        <f t="shared" si="220"/>
        <v>115412.19307488347</v>
      </c>
      <c r="G93" s="128">
        <f t="shared" si="221"/>
        <v>115417.68390302926</v>
      </c>
      <c r="H93" s="128">
        <f t="shared" si="222"/>
        <v>115853.26085794203</v>
      </c>
      <c r="I93" s="128">
        <f t="shared" si="223"/>
        <v>117118.34006595604</v>
      </c>
      <c r="J93" s="128">
        <f t="shared" si="224"/>
        <v>115069.66096265786</v>
      </c>
      <c r="K93" s="128">
        <f t="shared" si="225"/>
        <v>111939.82716421972</v>
      </c>
      <c r="M93" s="36"/>
      <c r="N93" s="32">
        <f t="shared" si="226"/>
        <v>49</v>
      </c>
      <c r="O93" s="25">
        <f t="shared" si="109"/>
        <v>0.2077511694680505</v>
      </c>
      <c r="P93" s="25">
        <f t="shared" si="110"/>
        <v>0.24340476162295688</v>
      </c>
      <c r="Q93" s="25">
        <f t="shared" si="111"/>
        <v>0.15622558810098286</v>
      </c>
      <c r="R93" s="25">
        <f t="shared" si="161"/>
        <v>0.15412193074883462</v>
      </c>
      <c r="S93" s="25">
        <f t="shared" si="162"/>
        <v>0.15417683903029267</v>
      </c>
      <c r="T93" s="25">
        <f t="shared" si="163"/>
        <v>0.15853260857942031</v>
      </c>
      <c r="U93" s="25">
        <f t="shared" si="164"/>
        <v>0.1711834006595605</v>
      </c>
      <c r="V93" s="25">
        <f t="shared" si="165"/>
        <v>0.15069660962657849</v>
      </c>
      <c r="W93" s="25">
        <f t="shared" si="166"/>
        <v>0.1193982716421973</v>
      </c>
      <c r="X93" s="36"/>
      <c r="Y93" s="36"/>
      <c r="AA93" s="124">
        <f t="shared" si="113"/>
        <v>50</v>
      </c>
      <c r="AB93" s="128">
        <f t="shared" si="167"/>
        <v>112200.41206283946</v>
      </c>
      <c r="AC93" s="124">
        <f t="shared" si="114"/>
        <v>50</v>
      </c>
      <c r="AD93" s="130">
        <f t="shared" si="227"/>
        <v>4.2500000000000003E-2</v>
      </c>
      <c r="AE93" s="127">
        <f t="shared" si="228"/>
        <v>1167</v>
      </c>
      <c r="AF93" s="128">
        <f t="shared" si="229"/>
        <v>116587.3</v>
      </c>
      <c r="AG93" s="128">
        <f t="shared" si="140"/>
        <v>116700</v>
      </c>
      <c r="AH93" s="128">
        <f t="shared" si="118"/>
        <v>116700</v>
      </c>
      <c r="AI93" s="130">
        <f t="shared" si="168"/>
        <v>4.2500000000000003E-2</v>
      </c>
      <c r="AJ93" s="128">
        <f t="shared" si="169"/>
        <v>117113.31250000001</v>
      </c>
      <c r="AK93" s="128" t="str">
        <f t="shared" si="170"/>
        <v>nie</v>
      </c>
      <c r="AL93" s="128">
        <f t="shared" si="171"/>
        <v>583.5</v>
      </c>
      <c r="AM93" s="128">
        <f t="shared" si="150"/>
        <v>116562.14812500001</v>
      </c>
      <c r="AN93" s="128">
        <f t="shared" si="172"/>
        <v>334.78312500001181</v>
      </c>
      <c r="AO93" s="130">
        <f t="shared" si="173"/>
        <v>4.2500000000000003E-2</v>
      </c>
      <c r="AP93" s="128">
        <f t="shared" si="174"/>
        <v>734.35117872982096</v>
      </c>
      <c r="AQ93" s="128">
        <f t="shared" si="156"/>
        <v>116961.71617872981</v>
      </c>
      <c r="AS93" s="124">
        <f t="shared" si="119"/>
        <v>50</v>
      </c>
      <c r="AT93" s="130">
        <f t="shared" si="120"/>
        <v>4.2500000000000003E-2</v>
      </c>
      <c r="AU93" s="127">
        <f t="shared" si="230"/>
        <v>1162</v>
      </c>
      <c r="AV93" s="128">
        <f t="shared" si="231"/>
        <v>116091.90000000001</v>
      </c>
      <c r="AW93" s="128">
        <f t="shared" si="151"/>
        <v>116200</v>
      </c>
      <c r="AX93" s="128">
        <f t="shared" si="123"/>
        <v>116200</v>
      </c>
      <c r="AY93" s="130">
        <f t="shared" si="175"/>
        <v>4.4000000000000004E-2</v>
      </c>
      <c r="AZ93" s="128">
        <f t="shared" si="176"/>
        <v>116626.06666666667</v>
      </c>
      <c r="BA93" s="128" t="str">
        <f t="shared" si="177"/>
        <v>nie</v>
      </c>
      <c r="BB93" s="128">
        <f t="shared" si="178"/>
        <v>813.4</v>
      </c>
      <c r="BC93" s="128">
        <f t="shared" si="158"/>
        <v>115886.26000000001</v>
      </c>
      <c r="BD93" s="128">
        <f t="shared" si="179"/>
        <v>345.11399999999924</v>
      </c>
      <c r="BE93" s="130">
        <f t="shared" si="51"/>
        <v>4.2500000000000003E-2</v>
      </c>
      <c r="BF93" s="128">
        <f t="shared" si="180"/>
        <v>708.50678828861874</v>
      </c>
      <c r="BG93" s="128">
        <f t="shared" si="159"/>
        <v>116249.65278828863</v>
      </c>
      <c r="BI93" s="124">
        <f t="shared" si="124"/>
        <v>50</v>
      </c>
      <c r="BJ93" s="130">
        <f t="shared" si="242"/>
        <v>4.1300000000000003E-2</v>
      </c>
      <c r="BK93" s="127">
        <f t="shared" si="232"/>
        <v>1119</v>
      </c>
      <c r="BL93" s="128">
        <f t="shared" si="233"/>
        <v>111788.1</v>
      </c>
      <c r="BM93" s="128">
        <f t="shared" si="142"/>
        <v>111900</v>
      </c>
      <c r="BN93" s="128">
        <f t="shared" si="234"/>
        <v>117103.34999999999</v>
      </c>
      <c r="BO93" s="130">
        <f t="shared" si="181"/>
        <v>4.65E-2</v>
      </c>
      <c r="BP93" s="128">
        <f t="shared" si="182"/>
        <v>118010.90096249999</v>
      </c>
      <c r="BQ93" s="128" t="str">
        <f t="shared" si="183"/>
        <v>nie</v>
      </c>
      <c r="BR93" s="128">
        <f t="shared" si="184"/>
        <v>1119</v>
      </c>
      <c r="BS93" s="128">
        <f t="shared" si="153"/>
        <v>115943.439779625</v>
      </c>
      <c r="BT93" s="128">
        <f t="shared" si="128"/>
        <v>0</v>
      </c>
      <c r="BU93" s="130">
        <f t="shared" si="185"/>
        <v>4.2500000000000003E-2</v>
      </c>
      <c r="BV93" s="128">
        <f t="shared" si="60"/>
        <v>46.8110754180545</v>
      </c>
      <c r="BW93" s="128">
        <f t="shared" si="243"/>
        <v>115990.25085504305</v>
      </c>
      <c r="BY93" s="130">
        <f t="shared" si="244"/>
        <v>2.8000000000000001E-2</v>
      </c>
      <c r="BZ93" s="127">
        <f t="shared" si="235"/>
        <v>1154</v>
      </c>
      <c r="CA93" s="128">
        <f t="shared" si="236"/>
        <v>115296.5</v>
      </c>
      <c r="CB93" s="128">
        <f t="shared" si="154"/>
        <v>115400</v>
      </c>
      <c r="CC93" s="128">
        <f t="shared" si="131"/>
        <v>115400</v>
      </c>
      <c r="CD93" s="130">
        <f t="shared" si="186"/>
        <v>0.05</v>
      </c>
      <c r="CE93" s="128">
        <f t="shared" si="187"/>
        <v>116361.66666666666</v>
      </c>
      <c r="CF93" s="128" t="str">
        <f t="shared" si="188"/>
        <v>nie</v>
      </c>
      <c r="CG93" s="128">
        <f t="shared" si="189"/>
        <v>961.66666666665697</v>
      </c>
      <c r="CH93" s="128">
        <f t="shared" si="160"/>
        <v>115400</v>
      </c>
      <c r="CI93" s="128">
        <f t="shared" si="190"/>
        <v>0</v>
      </c>
      <c r="CJ93" s="130">
        <f t="shared" si="68"/>
        <v>4.2500000000000003E-2</v>
      </c>
      <c r="CK93" s="128">
        <f t="shared" si="191"/>
        <v>12.228053767044809</v>
      </c>
      <c r="CL93" s="128">
        <f t="shared" si="192"/>
        <v>115412.22805376704</v>
      </c>
      <c r="CN93" s="127">
        <f t="shared" si="237"/>
        <v>1000</v>
      </c>
      <c r="CO93" s="128">
        <f t="shared" si="238"/>
        <v>100000</v>
      </c>
      <c r="CP93" s="128">
        <f t="shared" si="134"/>
        <v>100000</v>
      </c>
      <c r="CQ93" s="128">
        <f t="shared" si="239"/>
        <v>121547.98571520002</v>
      </c>
      <c r="CR93" s="130">
        <f t="shared" si="193"/>
        <v>4.8000000000000001E-2</v>
      </c>
      <c r="CS93" s="128">
        <f t="shared" si="194"/>
        <v>122520.36960092162</v>
      </c>
      <c r="CT93" s="128" t="str">
        <f t="shared" si="195"/>
        <v>nie</v>
      </c>
      <c r="CU93" s="128">
        <f t="shared" si="196"/>
        <v>3000</v>
      </c>
      <c r="CV93" s="128">
        <f t="shared" si="197"/>
        <v>115811.49937674652</v>
      </c>
      <c r="CW93" s="128">
        <f t="shared" si="76"/>
        <v>0</v>
      </c>
      <c r="CX93" s="130">
        <f t="shared" si="198"/>
        <v>4.2500000000000003E-2</v>
      </c>
      <c r="CY93" s="128">
        <f t="shared" si="199"/>
        <v>0</v>
      </c>
      <c r="CZ93" s="128">
        <f t="shared" si="200"/>
        <v>115811.49937674652</v>
      </c>
      <c r="DA93" s="20"/>
      <c r="DB93" s="127">
        <f t="shared" si="144"/>
        <v>1000</v>
      </c>
      <c r="DC93" s="128">
        <f t="shared" si="145"/>
        <v>100000</v>
      </c>
      <c r="DD93" s="128">
        <f t="shared" si="136"/>
        <v>100000</v>
      </c>
      <c r="DE93" s="128">
        <f t="shared" si="240"/>
        <v>121087.57667840002</v>
      </c>
      <c r="DF93" s="130">
        <f t="shared" si="201"/>
        <v>4.8000000000000001E-2</v>
      </c>
      <c r="DG93" s="128">
        <f t="shared" si="202"/>
        <v>122056.27729182721</v>
      </c>
      <c r="DH93" s="128" t="str">
        <f t="shared" si="203"/>
        <v>nie</v>
      </c>
      <c r="DI93" s="128">
        <f t="shared" si="204"/>
        <v>2000</v>
      </c>
      <c r="DJ93" s="128">
        <f t="shared" si="205"/>
        <v>116245.58460638004</v>
      </c>
      <c r="DK93" s="128">
        <f t="shared" si="85"/>
        <v>0</v>
      </c>
      <c r="DL93" s="130">
        <f t="shared" si="206"/>
        <v>4.2500000000000003E-2</v>
      </c>
      <c r="DM93" s="128">
        <f t="shared" si="207"/>
        <v>0</v>
      </c>
      <c r="DN93" s="128">
        <f t="shared" si="208"/>
        <v>116245.58460638004</v>
      </c>
      <c r="DP93" s="127">
        <f t="shared" si="146"/>
        <v>1000</v>
      </c>
      <c r="DQ93" s="128">
        <f t="shared" si="147"/>
        <v>100000</v>
      </c>
      <c r="DR93" s="128">
        <f t="shared" si="138"/>
        <v>100000</v>
      </c>
      <c r="DS93" s="128">
        <f t="shared" si="241"/>
        <v>123587.90658044997</v>
      </c>
      <c r="DT93" s="130">
        <f t="shared" si="209"/>
        <v>5.3000000000000005E-2</v>
      </c>
      <c r="DU93" s="128">
        <f t="shared" si="210"/>
        <v>124679.59975524394</v>
      </c>
      <c r="DV93" s="128" t="str">
        <f t="shared" si="211"/>
        <v>nie</v>
      </c>
      <c r="DW93" s="128">
        <f t="shared" si="212"/>
        <v>3000</v>
      </c>
      <c r="DX93" s="128">
        <f t="shared" si="93"/>
        <v>117560.47580174758</v>
      </c>
      <c r="DY93" s="128">
        <f t="shared" si="94"/>
        <v>0</v>
      </c>
      <c r="DZ93" s="130">
        <f t="shared" si="213"/>
        <v>4.2500000000000003E-2</v>
      </c>
      <c r="EA93" s="128">
        <f t="shared" si="214"/>
        <v>0</v>
      </c>
      <c r="EB93" s="128">
        <f t="shared" si="215"/>
        <v>117560.47580174758</v>
      </c>
    </row>
    <row r="94" spans="1:134">
      <c r="A94" s="224"/>
      <c r="B94" s="188">
        <f t="shared" si="216"/>
        <v>50</v>
      </c>
      <c r="C94" s="128">
        <f t="shared" si="217"/>
        <v>116961.71617872981</v>
      </c>
      <c r="D94" s="128">
        <f t="shared" si="218"/>
        <v>116249.65278828863</v>
      </c>
      <c r="E94" s="128">
        <f t="shared" si="219"/>
        <v>115990.25085504305</v>
      </c>
      <c r="F94" s="128">
        <f t="shared" si="220"/>
        <v>115412.22805376704</v>
      </c>
      <c r="G94" s="128">
        <f t="shared" si="221"/>
        <v>115811.49937674652</v>
      </c>
      <c r="H94" s="128">
        <f t="shared" si="222"/>
        <v>116245.58460638004</v>
      </c>
      <c r="I94" s="128">
        <f t="shared" si="223"/>
        <v>117560.47580174758</v>
      </c>
      <c r="J94" s="128">
        <f t="shared" si="224"/>
        <v>115399.76705254448</v>
      </c>
      <c r="K94" s="128">
        <f t="shared" si="225"/>
        <v>112200.41206283946</v>
      </c>
      <c r="M94" s="36"/>
      <c r="N94" s="32">
        <f t="shared" si="226"/>
        <v>50</v>
      </c>
      <c r="O94" s="25">
        <f t="shared" si="109"/>
        <v>0.16961716178729813</v>
      </c>
      <c r="P94" s="25">
        <f t="shared" si="110"/>
        <v>0.16249652788288627</v>
      </c>
      <c r="Q94" s="25">
        <f t="shared" si="111"/>
        <v>0.15990250855043042</v>
      </c>
      <c r="R94" s="25">
        <f t="shared" si="161"/>
        <v>0.15412228053767052</v>
      </c>
      <c r="S94" s="25">
        <f t="shared" si="162"/>
        <v>0.15811499376746529</v>
      </c>
      <c r="T94" s="25">
        <f t="shared" si="163"/>
        <v>0.16245584606380037</v>
      </c>
      <c r="U94" s="25">
        <f t="shared" si="164"/>
        <v>0.17560475801747577</v>
      </c>
      <c r="V94" s="25">
        <f t="shared" si="165"/>
        <v>0.15399767052544489</v>
      </c>
      <c r="W94" s="25">
        <f t="shared" si="166"/>
        <v>0.12200412062839461</v>
      </c>
      <c r="X94" s="36"/>
      <c r="Y94" s="36"/>
      <c r="AA94" s="124">
        <f t="shared" si="113"/>
        <v>51</v>
      </c>
      <c r="AB94" s="128">
        <f t="shared" si="167"/>
        <v>112460.99696145918</v>
      </c>
      <c r="AC94" s="124">
        <f t="shared" si="114"/>
        <v>51</v>
      </c>
      <c r="AD94" s="130">
        <f t="shared" si="227"/>
        <v>4.2500000000000003E-2</v>
      </c>
      <c r="AE94" s="127">
        <f t="shared" si="228"/>
        <v>1167</v>
      </c>
      <c r="AF94" s="128">
        <f t="shared" si="229"/>
        <v>116587.3</v>
      </c>
      <c r="AG94" s="128">
        <f t="shared" si="140"/>
        <v>116700</v>
      </c>
      <c r="AH94" s="128">
        <f t="shared" si="118"/>
        <v>116700</v>
      </c>
      <c r="AI94" s="130">
        <f t="shared" si="168"/>
        <v>4.2500000000000003E-2</v>
      </c>
      <c r="AJ94" s="128">
        <f t="shared" si="169"/>
        <v>117113.31250000001</v>
      </c>
      <c r="AK94" s="128" t="str">
        <f t="shared" si="170"/>
        <v>nie</v>
      </c>
      <c r="AL94" s="128">
        <f t="shared" si="171"/>
        <v>583.5</v>
      </c>
      <c r="AM94" s="128">
        <f t="shared" si="150"/>
        <v>116562.14812500001</v>
      </c>
      <c r="AN94" s="128">
        <f t="shared" si="172"/>
        <v>334.78312500001181</v>
      </c>
      <c r="AO94" s="130">
        <f t="shared" si="173"/>
        <v>4.2500000000000003E-2</v>
      </c>
      <c r="AP94" s="128">
        <f t="shared" si="174"/>
        <v>1071.2409736738139</v>
      </c>
      <c r="AQ94" s="128">
        <f t="shared" si="156"/>
        <v>117298.60597367381</v>
      </c>
      <c r="AS94" s="124">
        <f t="shared" si="119"/>
        <v>51</v>
      </c>
      <c r="AT94" s="130">
        <f t="shared" si="120"/>
        <v>4.2500000000000003E-2</v>
      </c>
      <c r="AU94" s="127">
        <f t="shared" si="230"/>
        <v>1162</v>
      </c>
      <c r="AV94" s="128">
        <f t="shared" si="231"/>
        <v>116091.90000000001</v>
      </c>
      <c r="AW94" s="128">
        <f t="shared" si="151"/>
        <v>116200</v>
      </c>
      <c r="AX94" s="128">
        <f t="shared" si="123"/>
        <v>116200</v>
      </c>
      <c r="AY94" s="130">
        <f t="shared" si="175"/>
        <v>4.4000000000000004E-2</v>
      </c>
      <c r="AZ94" s="128">
        <f t="shared" si="176"/>
        <v>116626.06666666667</v>
      </c>
      <c r="BA94" s="128" t="str">
        <f t="shared" si="177"/>
        <v>nie</v>
      </c>
      <c r="BB94" s="128">
        <f t="shared" si="178"/>
        <v>813.4</v>
      </c>
      <c r="BC94" s="128">
        <f t="shared" si="158"/>
        <v>115886.26000000001</v>
      </c>
      <c r="BD94" s="128">
        <f t="shared" si="179"/>
        <v>345.11399999999924</v>
      </c>
      <c r="BE94" s="130">
        <f t="shared" si="51"/>
        <v>4.2500000000000003E-2</v>
      </c>
      <c r="BF94" s="128">
        <f t="shared" si="180"/>
        <v>1055.6533171375208</v>
      </c>
      <c r="BG94" s="128">
        <f t="shared" si="159"/>
        <v>116596.79931713753</v>
      </c>
      <c r="BI94" s="124">
        <f t="shared" si="124"/>
        <v>51</v>
      </c>
      <c r="BJ94" s="130">
        <f t="shared" si="242"/>
        <v>4.1300000000000003E-2</v>
      </c>
      <c r="BK94" s="127">
        <f t="shared" si="232"/>
        <v>1119</v>
      </c>
      <c r="BL94" s="128">
        <f t="shared" si="233"/>
        <v>111788.1</v>
      </c>
      <c r="BM94" s="128">
        <f t="shared" si="142"/>
        <v>111900</v>
      </c>
      <c r="BN94" s="128">
        <f t="shared" si="234"/>
        <v>117103.34999999999</v>
      </c>
      <c r="BO94" s="130">
        <f t="shared" si="181"/>
        <v>4.65E-2</v>
      </c>
      <c r="BP94" s="128">
        <f t="shared" si="182"/>
        <v>118464.67644375</v>
      </c>
      <c r="BQ94" s="128" t="str">
        <f t="shared" si="183"/>
        <v>nie</v>
      </c>
      <c r="BR94" s="128">
        <f t="shared" si="184"/>
        <v>1119</v>
      </c>
      <c r="BS94" s="128">
        <f t="shared" si="153"/>
        <v>116310.99791943749</v>
      </c>
      <c r="BT94" s="128">
        <f t="shared" si="128"/>
        <v>0</v>
      </c>
      <c r="BU94" s="130">
        <f t="shared" si="185"/>
        <v>4.2500000000000003E-2</v>
      </c>
      <c r="BV94" s="128">
        <f t="shared" si="60"/>
        <v>46.945364690660043</v>
      </c>
      <c r="BW94" s="128">
        <f t="shared" si="243"/>
        <v>116357.94328412815</v>
      </c>
      <c r="BY94" s="130">
        <f t="shared" si="244"/>
        <v>2.8000000000000001E-2</v>
      </c>
      <c r="BZ94" s="127">
        <f t="shared" si="235"/>
        <v>1154</v>
      </c>
      <c r="CA94" s="128">
        <f t="shared" si="236"/>
        <v>115296.5</v>
      </c>
      <c r="CB94" s="128">
        <f t="shared" si="154"/>
        <v>115400</v>
      </c>
      <c r="CC94" s="128">
        <f t="shared" si="131"/>
        <v>115400</v>
      </c>
      <c r="CD94" s="130">
        <f t="shared" si="186"/>
        <v>0.05</v>
      </c>
      <c r="CE94" s="128">
        <f t="shared" si="187"/>
        <v>116842.5</v>
      </c>
      <c r="CF94" s="128" t="str">
        <f t="shared" si="188"/>
        <v>nie</v>
      </c>
      <c r="CG94" s="128">
        <f t="shared" si="189"/>
        <v>1442.5</v>
      </c>
      <c r="CH94" s="128">
        <f t="shared" si="160"/>
        <v>115400</v>
      </c>
      <c r="CI94" s="128">
        <f t="shared" si="190"/>
        <v>0</v>
      </c>
      <c r="CJ94" s="130">
        <f t="shared" si="68"/>
        <v>4.2500000000000003E-2</v>
      </c>
      <c r="CK94" s="128">
        <f t="shared" si="191"/>
        <v>12.263132996289018</v>
      </c>
      <c r="CL94" s="128">
        <f t="shared" si="192"/>
        <v>115412.26313299629</v>
      </c>
      <c r="CN94" s="127">
        <f t="shared" si="237"/>
        <v>1000</v>
      </c>
      <c r="CO94" s="128">
        <f t="shared" si="238"/>
        <v>100000</v>
      </c>
      <c r="CP94" s="128">
        <f t="shared" si="134"/>
        <v>100000</v>
      </c>
      <c r="CQ94" s="128">
        <f t="shared" si="239"/>
        <v>121547.98571520002</v>
      </c>
      <c r="CR94" s="130">
        <f t="shared" si="193"/>
        <v>4.8000000000000001E-2</v>
      </c>
      <c r="CS94" s="128">
        <f t="shared" si="194"/>
        <v>123006.56154378242</v>
      </c>
      <c r="CT94" s="128" t="str">
        <f t="shared" si="195"/>
        <v>nie</v>
      </c>
      <c r="CU94" s="128">
        <f t="shared" si="196"/>
        <v>3000</v>
      </c>
      <c r="CV94" s="128">
        <f t="shared" si="197"/>
        <v>116205.31485046375</v>
      </c>
      <c r="CW94" s="128">
        <f t="shared" si="76"/>
        <v>0</v>
      </c>
      <c r="CX94" s="130">
        <f t="shared" si="198"/>
        <v>4.2500000000000003E-2</v>
      </c>
      <c r="CY94" s="128">
        <f t="shared" si="199"/>
        <v>0</v>
      </c>
      <c r="CZ94" s="128">
        <f t="shared" si="200"/>
        <v>116205.31485046375</v>
      </c>
      <c r="DA94" s="20"/>
      <c r="DB94" s="127">
        <f t="shared" si="144"/>
        <v>1000</v>
      </c>
      <c r="DC94" s="128">
        <f t="shared" si="145"/>
        <v>100000</v>
      </c>
      <c r="DD94" s="128">
        <f t="shared" si="136"/>
        <v>100000</v>
      </c>
      <c r="DE94" s="128">
        <f t="shared" si="240"/>
        <v>121087.57667840002</v>
      </c>
      <c r="DF94" s="130">
        <f t="shared" si="201"/>
        <v>4.8000000000000001E-2</v>
      </c>
      <c r="DG94" s="128">
        <f t="shared" si="202"/>
        <v>122540.62759854081</v>
      </c>
      <c r="DH94" s="128" t="str">
        <f t="shared" si="203"/>
        <v>nie</v>
      </c>
      <c r="DI94" s="128">
        <f t="shared" si="204"/>
        <v>2000</v>
      </c>
      <c r="DJ94" s="128">
        <f t="shared" si="205"/>
        <v>116637.90835481806</v>
      </c>
      <c r="DK94" s="128">
        <f t="shared" si="85"/>
        <v>0</v>
      </c>
      <c r="DL94" s="130">
        <f t="shared" si="206"/>
        <v>4.2500000000000003E-2</v>
      </c>
      <c r="DM94" s="128">
        <f t="shared" si="207"/>
        <v>0</v>
      </c>
      <c r="DN94" s="128">
        <f t="shared" si="208"/>
        <v>116637.90835481806</v>
      </c>
      <c r="DP94" s="127">
        <f t="shared" si="146"/>
        <v>1000</v>
      </c>
      <c r="DQ94" s="128">
        <f t="shared" si="147"/>
        <v>100000</v>
      </c>
      <c r="DR94" s="128">
        <f t="shared" si="138"/>
        <v>100000</v>
      </c>
      <c r="DS94" s="128">
        <f t="shared" si="241"/>
        <v>123587.90658044997</v>
      </c>
      <c r="DT94" s="130">
        <f t="shared" si="209"/>
        <v>5.3000000000000005E-2</v>
      </c>
      <c r="DU94" s="128">
        <f t="shared" si="210"/>
        <v>125225.44634264093</v>
      </c>
      <c r="DV94" s="128" t="str">
        <f t="shared" si="211"/>
        <v>nie</v>
      </c>
      <c r="DW94" s="128">
        <f t="shared" si="212"/>
        <v>3000</v>
      </c>
      <c r="DX94" s="128">
        <f t="shared" si="93"/>
        <v>118002.61153753915</v>
      </c>
      <c r="DY94" s="128">
        <f t="shared" si="94"/>
        <v>0</v>
      </c>
      <c r="DZ94" s="130">
        <f t="shared" si="213"/>
        <v>4.2500000000000003E-2</v>
      </c>
      <c r="EA94" s="128">
        <f t="shared" si="214"/>
        <v>0</v>
      </c>
      <c r="EB94" s="128">
        <f t="shared" si="215"/>
        <v>118002.61153753915</v>
      </c>
    </row>
    <row r="95" spans="1:134">
      <c r="A95" s="224"/>
      <c r="B95" s="188">
        <f t="shared" si="216"/>
        <v>51</v>
      </c>
      <c r="C95" s="128">
        <f t="shared" si="217"/>
        <v>117298.60597367381</v>
      </c>
      <c r="D95" s="128">
        <f t="shared" si="218"/>
        <v>116596.79931713753</v>
      </c>
      <c r="E95" s="128">
        <f t="shared" si="219"/>
        <v>116357.94328412815</v>
      </c>
      <c r="F95" s="128">
        <f t="shared" si="220"/>
        <v>115412.26313299629</v>
      </c>
      <c r="G95" s="128">
        <f t="shared" si="221"/>
        <v>116205.31485046375</v>
      </c>
      <c r="H95" s="128">
        <f t="shared" si="222"/>
        <v>116637.90835481806</v>
      </c>
      <c r="I95" s="128">
        <f t="shared" si="223"/>
        <v>118002.61153753915</v>
      </c>
      <c r="J95" s="128">
        <f t="shared" si="224"/>
        <v>115730.82013427647</v>
      </c>
      <c r="K95" s="128">
        <f t="shared" si="225"/>
        <v>112460.99696145918</v>
      </c>
      <c r="M95" s="36"/>
      <c r="N95" s="32">
        <f t="shared" si="226"/>
        <v>51</v>
      </c>
      <c r="O95" s="25">
        <f t="shared" si="109"/>
        <v>0.17298605973673808</v>
      </c>
      <c r="P95" s="25">
        <f t="shared" si="110"/>
        <v>0.16596799317137534</v>
      </c>
      <c r="Q95" s="25">
        <f t="shared" si="111"/>
        <v>0.16357943284128162</v>
      </c>
      <c r="R95" s="25">
        <f t="shared" si="161"/>
        <v>0.15412263132996284</v>
      </c>
      <c r="S95" s="25">
        <f t="shared" si="162"/>
        <v>0.16205314850463748</v>
      </c>
      <c r="T95" s="25">
        <f t="shared" si="163"/>
        <v>0.16637908354818065</v>
      </c>
      <c r="U95" s="25">
        <f t="shared" si="164"/>
        <v>0.18002611537539148</v>
      </c>
      <c r="V95" s="25">
        <f t="shared" si="165"/>
        <v>0.15730820134276469</v>
      </c>
      <c r="W95" s="25">
        <f t="shared" si="166"/>
        <v>0.12460996961459192</v>
      </c>
      <c r="X95" s="36"/>
      <c r="Y95" s="36"/>
      <c r="AA95" s="124">
        <f t="shared" si="113"/>
        <v>52</v>
      </c>
      <c r="AB95" s="128">
        <f t="shared" si="167"/>
        <v>112721.58186007894</v>
      </c>
      <c r="AC95" s="124">
        <f t="shared" si="114"/>
        <v>52</v>
      </c>
      <c r="AD95" s="130">
        <f t="shared" si="227"/>
        <v>4.2500000000000003E-2</v>
      </c>
      <c r="AE95" s="127">
        <f t="shared" si="228"/>
        <v>1167</v>
      </c>
      <c r="AF95" s="128">
        <f t="shared" si="229"/>
        <v>116587.3</v>
      </c>
      <c r="AG95" s="128">
        <f t="shared" si="140"/>
        <v>116700</v>
      </c>
      <c r="AH95" s="128">
        <f t="shared" si="118"/>
        <v>116700</v>
      </c>
      <c r="AI95" s="130">
        <f t="shared" si="168"/>
        <v>4.2500000000000003E-2</v>
      </c>
      <c r="AJ95" s="128">
        <f t="shared" si="169"/>
        <v>117113.31250000001</v>
      </c>
      <c r="AK95" s="128" t="str">
        <f t="shared" si="170"/>
        <v>nie</v>
      </c>
      <c r="AL95" s="128">
        <f t="shared" si="171"/>
        <v>583.5</v>
      </c>
      <c r="AM95" s="128">
        <f t="shared" si="150"/>
        <v>116562.14812500001</v>
      </c>
      <c r="AN95" s="128">
        <f t="shared" si="172"/>
        <v>334.78312500001181</v>
      </c>
      <c r="AO95" s="130">
        <f t="shared" si="173"/>
        <v>4.2500000000000003E-2</v>
      </c>
      <c r="AP95" s="128">
        <f t="shared" si="174"/>
        <v>1409.0972212170523</v>
      </c>
      <c r="AQ95" s="128">
        <f t="shared" si="156"/>
        <v>117636.46222121705</v>
      </c>
      <c r="AS95" s="124">
        <f t="shared" si="119"/>
        <v>52</v>
      </c>
      <c r="AT95" s="130">
        <f t="shared" si="120"/>
        <v>4.2500000000000003E-2</v>
      </c>
      <c r="AU95" s="127">
        <f t="shared" si="230"/>
        <v>1162</v>
      </c>
      <c r="AV95" s="128">
        <f t="shared" si="231"/>
        <v>116091.90000000001</v>
      </c>
      <c r="AW95" s="128">
        <f t="shared" si="151"/>
        <v>116200</v>
      </c>
      <c r="AX95" s="128">
        <f t="shared" si="123"/>
        <v>116200</v>
      </c>
      <c r="AY95" s="130">
        <f t="shared" si="175"/>
        <v>4.4000000000000004E-2</v>
      </c>
      <c r="AZ95" s="128">
        <f t="shared" si="176"/>
        <v>116626.06666666667</v>
      </c>
      <c r="BA95" s="128" t="str">
        <f t="shared" si="177"/>
        <v>nie</v>
      </c>
      <c r="BB95" s="128">
        <f t="shared" si="178"/>
        <v>813.4</v>
      </c>
      <c r="BC95" s="128">
        <f t="shared" si="158"/>
        <v>115886.26000000001</v>
      </c>
      <c r="BD95" s="128">
        <f t="shared" si="179"/>
        <v>345.11399999999924</v>
      </c>
      <c r="BE95" s="130">
        <f t="shared" si="51"/>
        <v>4.2500000000000003E-2</v>
      </c>
      <c r="BF95" s="128">
        <f t="shared" si="180"/>
        <v>1403.7957225910582</v>
      </c>
      <c r="BG95" s="128">
        <f t="shared" si="159"/>
        <v>116944.94172259107</v>
      </c>
      <c r="BI95" s="124">
        <f t="shared" si="124"/>
        <v>52</v>
      </c>
      <c r="BJ95" s="130">
        <f t="shared" si="242"/>
        <v>4.1300000000000003E-2</v>
      </c>
      <c r="BK95" s="127">
        <f t="shared" si="232"/>
        <v>1119</v>
      </c>
      <c r="BL95" s="128">
        <f t="shared" si="233"/>
        <v>111788.1</v>
      </c>
      <c r="BM95" s="128">
        <f t="shared" si="142"/>
        <v>111900</v>
      </c>
      <c r="BN95" s="128">
        <f t="shared" si="234"/>
        <v>117103.34999999999</v>
      </c>
      <c r="BO95" s="130">
        <f t="shared" si="181"/>
        <v>4.65E-2</v>
      </c>
      <c r="BP95" s="128">
        <f t="shared" si="182"/>
        <v>118918.451925</v>
      </c>
      <c r="BQ95" s="128" t="str">
        <f t="shared" si="183"/>
        <v>nie</v>
      </c>
      <c r="BR95" s="128">
        <f t="shared" si="184"/>
        <v>1119</v>
      </c>
      <c r="BS95" s="128">
        <f t="shared" si="153"/>
        <v>116678.55605925</v>
      </c>
      <c r="BT95" s="128">
        <f t="shared" si="128"/>
        <v>0</v>
      </c>
      <c r="BU95" s="130">
        <f t="shared" si="185"/>
        <v>4.2500000000000003E-2</v>
      </c>
      <c r="BV95" s="128">
        <f t="shared" si="60"/>
        <v>47.080039205616373</v>
      </c>
      <c r="BW95" s="128">
        <f t="shared" si="243"/>
        <v>116725.63609845561</v>
      </c>
      <c r="BY95" s="130">
        <f t="shared" si="244"/>
        <v>2.8000000000000001E-2</v>
      </c>
      <c r="BZ95" s="127">
        <f t="shared" si="235"/>
        <v>1154</v>
      </c>
      <c r="CA95" s="128">
        <f t="shared" si="236"/>
        <v>115296.5</v>
      </c>
      <c r="CB95" s="128">
        <f t="shared" si="154"/>
        <v>115400</v>
      </c>
      <c r="CC95" s="128">
        <f t="shared" si="131"/>
        <v>115400</v>
      </c>
      <c r="CD95" s="130">
        <f t="shared" si="186"/>
        <v>0.05</v>
      </c>
      <c r="CE95" s="128">
        <f t="shared" si="187"/>
        <v>117323.33333333333</v>
      </c>
      <c r="CF95" s="128" t="str">
        <f t="shared" si="188"/>
        <v>nie</v>
      </c>
      <c r="CG95" s="128">
        <f t="shared" si="189"/>
        <v>1923.3333333333285</v>
      </c>
      <c r="CH95" s="128">
        <f t="shared" si="160"/>
        <v>115400</v>
      </c>
      <c r="CI95" s="128">
        <f t="shared" si="190"/>
        <v>0</v>
      </c>
      <c r="CJ95" s="130">
        <f t="shared" si="68"/>
        <v>4.2500000000000003E-2</v>
      </c>
      <c r="CK95" s="128">
        <f t="shared" si="191"/>
        <v>12.298312859072121</v>
      </c>
      <c r="CL95" s="128">
        <f t="shared" si="192"/>
        <v>115412.29831285907</v>
      </c>
      <c r="CN95" s="127">
        <f t="shared" si="237"/>
        <v>1000</v>
      </c>
      <c r="CO95" s="128">
        <f t="shared" si="238"/>
        <v>100000</v>
      </c>
      <c r="CP95" s="128">
        <f t="shared" si="134"/>
        <v>100000</v>
      </c>
      <c r="CQ95" s="128">
        <f t="shared" si="239"/>
        <v>121547.98571520002</v>
      </c>
      <c r="CR95" s="130">
        <f t="shared" si="193"/>
        <v>4.8000000000000001E-2</v>
      </c>
      <c r="CS95" s="128">
        <f t="shared" si="194"/>
        <v>123492.75348664323</v>
      </c>
      <c r="CT95" s="128" t="str">
        <f t="shared" si="195"/>
        <v>nie</v>
      </c>
      <c r="CU95" s="128">
        <f t="shared" si="196"/>
        <v>3000</v>
      </c>
      <c r="CV95" s="128">
        <f t="shared" si="197"/>
        <v>116599.13032418101</v>
      </c>
      <c r="CW95" s="128">
        <f t="shared" si="76"/>
        <v>0</v>
      </c>
      <c r="CX95" s="130">
        <f t="shared" si="198"/>
        <v>4.2500000000000003E-2</v>
      </c>
      <c r="CY95" s="128">
        <f t="shared" si="199"/>
        <v>0</v>
      </c>
      <c r="CZ95" s="128">
        <f t="shared" si="200"/>
        <v>116599.13032418101</v>
      </c>
      <c r="DA95" s="20"/>
      <c r="DB95" s="127">
        <f t="shared" si="144"/>
        <v>1000</v>
      </c>
      <c r="DC95" s="128">
        <f t="shared" si="145"/>
        <v>100000</v>
      </c>
      <c r="DD95" s="128">
        <f t="shared" si="136"/>
        <v>100000</v>
      </c>
      <c r="DE95" s="128">
        <f t="shared" si="240"/>
        <v>121087.57667840002</v>
      </c>
      <c r="DF95" s="130">
        <f t="shared" si="201"/>
        <v>4.8000000000000001E-2</v>
      </c>
      <c r="DG95" s="128">
        <f t="shared" si="202"/>
        <v>123024.97790525442</v>
      </c>
      <c r="DH95" s="128" t="str">
        <f t="shared" si="203"/>
        <v>nie</v>
      </c>
      <c r="DI95" s="128">
        <f t="shared" si="204"/>
        <v>2000</v>
      </c>
      <c r="DJ95" s="128">
        <f t="shared" si="205"/>
        <v>117030.23210325607</v>
      </c>
      <c r="DK95" s="128">
        <f t="shared" si="85"/>
        <v>0</v>
      </c>
      <c r="DL95" s="130">
        <f t="shared" si="206"/>
        <v>4.2500000000000003E-2</v>
      </c>
      <c r="DM95" s="128">
        <f t="shared" si="207"/>
        <v>0</v>
      </c>
      <c r="DN95" s="128">
        <f t="shared" si="208"/>
        <v>117030.23210325607</v>
      </c>
      <c r="DP95" s="127">
        <f t="shared" si="146"/>
        <v>1000</v>
      </c>
      <c r="DQ95" s="128">
        <f t="shared" si="147"/>
        <v>100000</v>
      </c>
      <c r="DR95" s="128">
        <f t="shared" si="138"/>
        <v>100000</v>
      </c>
      <c r="DS95" s="128">
        <f t="shared" si="241"/>
        <v>123587.90658044997</v>
      </c>
      <c r="DT95" s="130">
        <f t="shared" si="209"/>
        <v>5.3000000000000005E-2</v>
      </c>
      <c r="DU95" s="128">
        <f t="shared" si="210"/>
        <v>125771.29293003793</v>
      </c>
      <c r="DV95" s="128" t="str">
        <f t="shared" si="211"/>
        <v>nie</v>
      </c>
      <c r="DW95" s="128">
        <f t="shared" si="212"/>
        <v>3000</v>
      </c>
      <c r="DX95" s="128">
        <f t="shared" si="93"/>
        <v>118444.74727333072</v>
      </c>
      <c r="DY95" s="128">
        <f t="shared" si="94"/>
        <v>0</v>
      </c>
      <c r="DZ95" s="130">
        <f t="shared" si="213"/>
        <v>4.2500000000000003E-2</v>
      </c>
      <c r="EA95" s="128">
        <f t="shared" si="214"/>
        <v>0</v>
      </c>
      <c r="EB95" s="128">
        <f t="shared" si="215"/>
        <v>118444.74727333072</v>
      </c>
    </row>
    <row r="96" spans="1:134">
      <c r="A96" s="224"/>
      <c r="B96" s="188">
        <f t="shared" si="216"/>
        <v>52</v>
      </c>
      <c r="C96" s="128">
        <f t="shared" si="217"/>
        <v>117636.46222121705</v>
      </c>
      <c r="D96" s="128">
        <f t="shared" si="218"/>
        <v>116944.94172259107</v>
      </c>
      <c r="E96" s="128">
        <f t="shared" si="219"/>
        <v>116725.63609845561</v>
      </c>
      <c r="F96" s="128">
        <f t="shared" si="220"/>
        <v>115412.29831285907</v>
      </c>
      <c r="G96" s="128">
        <f t="shared" si="221"/>
        <v>116599.13032418101</v>
      </c>
      <c r="H96" s="128">
        <f t="shared" si="222"/>
        <v>117030.23210325607</v>
      </c>
      <c r="I96" s="128">
        <f t="shared" si="223"/>
        <v>118444.74727333072</v>
      </c>
      <c r="J96" s="128">
        <f t="shared" si="224"/>
        <v>116062.82292453667</v>
      </c>
      <c r="K96" s="128">
        <f t="shared" si="225"/>
        <v>112721.58186007894</v>
      </c>
      <c r="M96" s="36"/>
      <c r="N96" s="32">
        <f t="shared" si="226"/>
        <v>52</v>
      </c>
      <c r="O96" s="25">
        <f t="shared" si="109"/>
        <v>0.17636462221217042</v>
      </c>
      <c r="P96" s="25">
        <f t="shared" si="110"/>
        <v>0.16944941722591067</v>
      </c>
      <c r="Q96" s="25">
        <f t="shared" si="111"/>
        <v>0.1672563609845561</v>
      </c>
      <c r="R96" s="25">
        <f t="shared" si="161"/>
        <v>0.15412298312859063</v>
      </c>
      <c r="S96" s="25">
        <f t="shared" si="162"/>
        <v>0.16599130324181011</v>
      </c>
      <c r="T96" s="25">
        <f t="shared" si="163"/>
        <v>0.17030232103256071</v>
      </c>
      <c r="U96" s="25">
        <f t="shared" si="164"/>
        <v>0.18444747273330719</v>
      </c>
      <c r="V96" s="25">
        <f t="shared" si="165"/>
        <v>0.16062822924536668</v>
      </c>
      <c r="W96" s="25">
        <f t="shared" si="166"/>
        <v>0.12721581860078945</v>
      </c>
      <c r="X96" s="36"/>
      <c r="Y96" s="36"/>
      <c r="AA96" s="124">
        <f t="shared" si="113"/>
        <v>53</v>
      </c>
      <c r="AB96" s="128">
        <f t="shared" si="167"/>
        <v>112982.16675869867</v>
      </c>
      <c r="AC96" s="124">
        <f t="shared" si="114"/>
        <v>53</v>
      </c>
      <c r="AD96" s="130">
        <f t="shared" si="227"/>
        <v>4.2500000000000003E-2</v>
      </c>
      <c r="AE96" s="127">
        <f t="shared" si="228"/>
        <v>1167</v>
      </c>
      <c r="AF96" s="128">
        <f t="shared" si="229"/>
        <v>116587.3</v>
      </c>
      <c r="AG96" s="128">
        <f t="shared" si="140"/>
        <v>116700</v>
      </c>
      <c r="AH96" s="128">
        <f t="shared" si="118"/>
        <v>116700</v>
      </c>
      <c r="AI96" s="130">
        <f t="shared" si="168"/>
        <v>4.2500000000000003E-2</v>
      </c>
      <c r="AJ96" s="128">
        <f t="shared" si="169"/>
        <v>117113.31250000001</v>
      </c>
      <c r="AK96" s="128" t="str">
        <f t="shared" si="170"/>
        <v>nie</v>
      </c>
      <c r="AL96" s="128">
        <f t="shared" si="171"/>
        <v>583.5</v>
      </c>
      <c r="AM96" s="128">
        <f t="shared" si="150"/>
        <v>116562.14812500001</v>
      </c>
      <c r="AN96" s="128">
        <f t="shared" si="172"/>
        <v>334.78312500001181</v>
      </c>
      <c r="AO96" s="130">
        <f t="shared" si="173"/>
        <v>4.2500000000000003E-2</v>
      </c>
      <c r="AP96" s="128">
        <f t="shared" si="174"/>
        <v>1747.9226938704303</v>
      </c>
      <c r="AQ96" s="128">
        <f t="shared" si="156"/>
        <v>117975.28769387043</v>
      </c>
      <c r="AS96" s="124">
        <f t="shared" si="119"/>
        <v>53</v>
      </c>
      <c r="AT96" s="130">
        <f t="shared" si="120"/>
        <v>4.2500000000000003E-2</v>
      </c>
      <c r="AU96" s="127">
        <f t="shared" si="230"/>
        <v>1162</v>
      </c>
      <c r="AV96" s="128">
        <f t="shared" si="231"/>
        <v>116091.90000000001</v>
      </c>
      <c r="AW96" s="128">
        <f t="shared" si="151"/>
        <v>116200</v>
      </c>
      <c r="AX96" s="128">
        <f t="shared" si="123"/>
        <v>116200</v>
      </c>
      <c r="AY96" s="130">
        <f t="shared" si="175"/>
        <v>4.4000000000000004E-2</v>
      </c>
      <c r="AZ96" s="128">
        <f t="shared" si="176"/>
        <v>116626.06666666667</v>
      </c>
      <c r="BA96" s="128" t="str">
        <f t="shared" si="177"/>
        <v>nie</v>
      </c>
      <c r="BB96" s="128">
        <f t="shared" si="178"/>
        <v>813.4</v>
      </c>
      <c r="BC96" s="128">
        <f t="shared" si="158"/>
        <v>115886.26000000001</v>
      </c>
      <c r="BD96" s="128">
        <f t="shared" si="179"/>
        <v>345.11399999999924</v>
      </c>
      <c r="BE96" s="130">
        <f t="shared" si="51"/>
        <v>4.2500000000000003E-2</v>
      </c>
      <c r="BF96" s="128">
        <f t="shared" si="180"/>
        <v>1752.9368615702406</v>
      </c>
      <c r="BG96" s="128">
        <f t="shared" si="159"/>
        <v>117294.08286157025</v>
      </c>
      <c r="BI96" s="124">
        <f t="shared" si="124"/>
        <v>53</v>
      </c>
      <c r="BJ96" s="130">
        <f t="shared" si="242"/>
        <v>4.1300000000000003E-2</v>
      </c>
      <c r="BK96" s="127">
        <f t="shared" si="232"/>
        <v>1119</v>
      </c>
      <c r="BL96" s="128">
        <f t="shared" si="233"/>
        <v>111788.1</v>
      </c>
      <c r="BM96" s="128">
        <f t="shared" si="142"/>
        <v>111900</v>
      </c>
      <c r="BN96" s="128">
        <f t="shared" si="234"/>
        <v>117103.34999999999</v>
      </c>
      <c r="BO96" s="130">
        <f t="shared" si="181"/>
        <v>4.65E-2</v>
      </c>
      <c r="BP96" s="128">
        <f t="shared" si="182"/>
        <v>119372.22740624998</v>
      </c>
      <c r="BQ96" s="128" t="str">
        <f t="shared" si="183"/>
        <v>nie</v>
      </c>
      <c r="BR96" s="128">
        <f t="shared" si="184"/>
        <v>1119</v>
      </c>
      <c r="BS96" s="128">
        <f t="shared" si="153"/>
        <v>117046.11419906249</v>
      </c>
      <c r="BT96" s="128">
        <f t="shared" si="128"/>
        <v>0</v>
      </c>
      <c r="BU96" s="130">
        <f t="shared" si="185"/>
        <v>4.2500000000000003E-2</v>
      </c>
      <c r="BV96" s="128">
        <f t="shared" si="60"/>
        <v>47.215100068087487</v>
      </c>
      <c r="BW96" s="128">
        <f t="shared" si="243"/>
        <v>117093.32929913058</v>
      </c>
      <c r="BY96" s="130">
        <f t="shared" si="244"/>
        <v>2.8000000000000001E-2</v>
      </c>
      <c r="BZ96" s="127">
        <f t="shared" si="235"/>
        <v>1154</v>
      </c>
      <c r="CA96" s="128">
        <f t="shared" si="236"/>
        <v>115296.5</v>
      </c>
      <c r="CB96" s="128">
        <f t="shared" si="154"/>
        <v>115400</v>
      </c>
      <c r="CC96" s="128">
        <f t="shared" si="131"/>
        <v>115400</v>
      </c>
      <c r="CD96" s="130">
        <f t="shared" si="186"/>
        <v>0.05</v>
      </c>
      <c r="CE96" s="128">
        <f t="shared" si="187"/>
        <v>117804.16666666666</v>
      </c>
      <c r="CF96" s="128" t="str">
        <f t="shared" si="188"/>
        <v>nie</v>
      </c>
      <c r="CG96" s="128">
        <f t="shared" si="189"/>
        <v>2308</v>
      </c>
      <c r="CH96" s="128">
        <f t="shared" si="160"/>
        <v>115477.89499999999</v>
      </c>
      <c r="CI96" s="128">
        <f t="shared" si="190"/>
        <v>0</v>
      </c>
      <c r="CJ96" s="130">
        <f t="shared" si="68"/>
        <v>4.2500000000000003E-2</v>
      </c>
      <c r="CK96" s="128">
        <f t="shared" si="191"/>
        <v>12.333593644086584</v>
      </c>
      <c r="CL96" s="128">
        <f t="shared" si="192"/>
        <v>115490.22859364407</v>
      </c>
      <c r="CN96" s="127">
        <f t="shared" si="237"/>
        <v>1000</v>
      </c>
      <c r="CO96" s="128">
        <f t="shared" si="238"/>
        <v>100000</v>
      </c>
      <c r="CP96" s="128">
        <f t="shared" si="134"/>
        <v>100000</v>
      </c>
      <c r="CQ96" s="128">
        <f t="shared" si="239"/>
        <v>121547.98571520002</v>
      </c>
      <c r="CR96" s="130">
        <f t="shared" si="193"/>
        <v>4.8000000000000001E-2</v>
      </c>
      <c r="CS96" s="128">
        <f t="shared" si="194"/>
        <v>123978.94542950402</v>
      </c>
      <c r="CT96" s="128" t="str">
        <f t="shared" si="195"/>
        <v>nie</v>
      </c>
      <c r="CU96" s="128">
        <f t="shared" si="196"/>
        <v>3000</v>
      </c>
      <c r="CV96" s="128">
        <f t="shared" si="197"/>
        <v>116992.94579789825</v>
      </c>
      <c r="CW96" s="128">
        <f t="shared" si="76"/>
        <v>0</v>
      </c>
      <c r="CX96" s="130">
        <f t="shared" si="198"/>
        <v>4.2500000000000003E-2</v>
      </c>
      <c r="CY96" s="128">
        <f t="shared" si="199"/>
        <v>0</v>
      </c>
      <c r="CZ96" s="128">
        <f t="shared" si="200"/>
        <v>116992.94579789825</v>
      </c>
      <c r="DA96" s="20"/>
      <c r="DB96" s="127">
        <f t="shared" si="144"/>
        <v>1000</v>
      </c>
      <c r="DC96" s="128">
        <f t="shared" si="145"/>
        <v>100000</v>
      </c>
      <c r="DD96" s="128">
        <f t="shared" si="136"/>
        <v>100000</v>
      </c>
      <c r="DE96" s="128">
        <f t="shared" si="240"/>
        <v>121087.57667840002</v>
      </c>
      <c r="DF96" s="130">
        <f t="shared" si="201"/>
        <v>4.8000000000000001E-2</v>
      </c>
      <c r="DG96" s="128">
        <f t="shared" si="202"/>
        <v>123509.32821196802</v>
      </c>
      <c r="DH96" s="128" t="str">
        <f t="shared" si="203"/>
        <v>nie</v>
      </c>
      <c r="DI96" s="128">
        <f t="shared" si="204"/>
        <v>2000</v>
      </c>
      <c r="DJ96" s="128">
        <f t="shared" si="205"/>
        <v>117422.55585169409</v>
      </c>
      <c r="DK96" s="128">
        <f t="shared" si="85"/>
        <v>0</v>
      </c>
      <c r="DL96" s="130">
        <f t="shared" si="206"/>
        <v>4.2500000000000003E-2</v>
      </c>
      <c r="DM96" s="128">
        <f t="shared" si="207"/>
        <v>0</v>
      </c>
      <c r="DN96" s="128">
        <f t="shared" si="208"/>
        <v>117422.55585169409</v>
      </c>
      <c r="DP96" s="127">
        <f t="shared" si="146"/>
        <v>1000</v>
      </c>
      <c r="DQ96" s="128">
        <f t="shared" si="147"/>
        <v>100000</v>
      </c>
      <c r="DR96" s="128">
        <f t="shared" si="138"/>
        <v>100000</v>
      </c>
      <c r="DS96" s="128">
        <f t="shared" si="241"/>
        <v>123587.90658044997</v>
      </c>
      <c r="DT96" s="130">
        <f t="shared" si="209"/>
        <v>5.3000000000000005E-2</v>
      </c>
      <c r="DU96" s="128">
        <f t="shared" si="210"/>
        <v>126317.13951743489</v>
      </c>
      <c r="DV96" s="128" t="str">
        <f t="shared" si="211"/>
        <v>nie</v>
      </c>
      <c r="DW96" s="128">
        <f t="shared" si="212"/>
        <v>3000</v>
      </c>
      <c r="DX96" s="128">
        <f t="shared" si="93"/>
        <v>118886.88300912226</v>
      </c>
      <c r="DY96" s="128">
        <f t="shared" si="94"/>
        <v>0</v>
      </c>
      <c r="DZ96" s="130">
        <f t="shared" si="213"/>
        <v>4.2500000000000003E-2</v>
      </c>
      <c r="EA96" s="128">
        <f t="shared" si="214"/>
        <v>0</v>
      </c>
      <c r="EB96" s="128">
        <f t="shared" si="215"/>
        <v>118886.88300912226</v>
      </c>
    </row>
    <row r="97" spans="1:132">
      <c r="A97" s="224"/>
      <c r="B97" s="188">
        <f t="shared" si="216"/>
        <v>53</v>
      </c>
      <c r="C97" s="128">
        <f t="shared" si="217"/>
        <v>117975.28769387043</v>
      </c>
      <c r="D97" s="128">
        <f t="shared" si="218"/>
        <v>117294.08286157025</v>
      </c>
      <c r="E97" s="128">
        <f t="shared" si="219"/>
        <v>117093.32929913058</v>
      </c>
      <c r="F97" s="128">
        <f t="shared" si="220"/>
        <v>115490.22859364407</v>
      </c>
      <c r="G97" s="128">
        <f t="shared" si="221"/>
        <v>116992.94579789825</v>
      </c>
      <c r="H97" s="128">
        <f t="shared" si="222"/>
        <v>117422.55585169409</v>
      </c>
      <c r="I97" s="128">
        <f t="shared" si="223"/>
        <v>118886.88300912226</v>
      </c>
      <c r="J97" s="128">
        <f t="shared" si="224"/>
        <v>116395.77814780142</v>
      </c>
      <c r="K97" s="128">
        <f t="shared" si="225"/>
        <v>112982.16675869867</v>
      </c>
      <c r="M97" s="36"/>
      <c r="N97" s="32">
        <f t="shared" si="226"/>
        <v>53</v>
      </c>
      <c r="O97" s="25">
        <f t="shared" si="109"/>
        <v>0.17975287693870423</v>
      </c>
      <c r="P97" s="25">
        <f t="shared" si="110"/>
        <v>0.17294082861570259</v>
      </c>
      <c r="Q97" s="25">
        <f t="shared" si="111"/>
        <v>0.17093329299130589</v>
      </c>
      <c r="R97" s="25">
        <f t="shared" si="161"/>
        <v>0.15490228593644084</v>
      </c>
      <c r="S97" s="25">
        <f t="shared" si="162"/>
        <v>0.16992945797898251</v>
      </c>
      <c r="T97" s="25">
        <f t="shared" si="163"/>
        <v>0.17422555851694099</v>
      </c>
      <c r="U97" s="25">
        <f t="shared" si="164"/>
        <v>0.18886883009122268</v>
      </c>
      <c r="V97" s="25">
        <f t="shared" si="165"/>
        <v>0.16395778147801421</v>
      </c>
      <c r="W97" s="25">
        <f t="shared" si="166"/>
        <v>0.12982166758698677</v>
      </c>
      <c r="X97" s="36"/>
      <c r="Y97" s="36"/>
      <c r="AA97" s="124">
        <f t="shared" si="113"/>
        <v>54</v>
      </c>
      <c r="AB97" s="128">
        <f t="shared" si="167"/>
        <v>113242.7516573184</v>
      </c>
      <c r="AC97" s="124">
        <f t="shared" si="114"/>
        <v>54</v>
      </c>
      <c r="AD97" s="130">
        <f t="shared" si="227"/>
        <v>4.2500000000000003E-2</v>
      </c>
      <c r="AE97" s="127">
        <f t="shared" si="228"/>
        <v>1167</v>
      </c>
      <c r="AF97" s="128">
        <f t="shared" si="229"/>
        <v>116587.3</v>
      </c>
      <c r="AG97" s="128">
        <f t="shared" si="140"/>
        <v>116700</v>
      </c>
      <c r="AH97" s="128">
        <f t="shared" si="118"/>
        <v>116700</v>
      </c>
      <c r="AI97" s="130">
        <f t="shared" si="168"/>
        <v>4.2500000000000003E-2</v>
      </c>
      <c r="AJ97" s="128">
        <f t="shared" si="169"/>
        <v>117113.31250000001</v>
      </c>
      <c r="AK97" s="128" t="str">
        <f t="shared" si="170"/>
        <v>nie</v>
      </c>
      <c r="AL97" s="128">
        <f t="shared" si="171"/>
        <v>583.5</v>
      </c>
      <c r="AM97" s="128">
        <f t="shared" si="150"/>
        <v>116562.14812500001</v>
      </c>
      <c r="AN97" s="128">
        <f t="shared" si="172"/>
        <v>334.78312500001181</v>
      </c>
      <c r="AO97" s="130">
        <f t="shared" si="173"/>
        <v>4.2500000000000003E-2</v>
      </c>
      <c r="AP97" s="128">
        <f t="shared" si="174"/>
        <v>2087.7201720984831</v>
      </c>
      <c r="AQ97" s="128">
        <f t="shared" si="156"/>
        <v>118315.08517209848</v>
      </c>
      <c r="AS97" s="124">
        <f t="shared" si="119"/>
        <v>54</v>
      </c>
      <c r="AT97" s="130">
        <f t="shared" si="120"/>
        <v>4.2500000000000003E-2</v>
      </c>
      <c r="AU97" s="127">
        <f t="shared" si="230"/>
        <v>1162</v>
      </c>
      <c r="AV97" s="128">
        <f t="shared" si="231"/>
        <v>116091.90000000001</v>
      </c>
      <c r="AW97" s="128">
        <f t="shared" si="151"/>
        <v>116200</v>
      </c>
      <c r="AX97" s="128">
        <f t="shared" si="123"/>
        <v>116200</v>
      </c>
      <c r="AY97" s="130">
        <f t="shared" si="175"/>
        <v>4.4000000000000004E-2</v>
      </c>
      <c r="AZ97" s="128">
        <f t="shared" si="176"/>
        <v>116626.06666666667</v>
      </c>
      <c r="BA97" s="128" t="str">
        <f t="shared" si="177"/>
        <v>nie</v>
      </c>
      <c r="BB97" s="128">
        <f t="shared" si="178"/>
        <v>813.4</v>
      </c>
      <c r="BC97" s="128">
        <f t="shared" si="158"/>
        <v>115886.26000000001</v>
      </c>
      <c r="BD97" s="128">
        <f t="shared" si="179"/>
        <v>345.11399999999924</v>
      </c>
      <c r="BE97" s="130">
        <f t="shared" si="51"/>
        <v>4.2500000000000003E-2</v>
      </c>
      <c r="BF97" s="128">
        <f t="shared" si="180"/>
        <v>2103.0795991918694</v>
      </c>
      <c r="BG97" s="128">
        <f t="shared" si="159"/>
        <v>117644.22559919188</v>
      </c>
      <c r="BI97" s="124">
        <f t="shared" si="124"/>
        <v>54</v>
      </c>
      <c r="BJ97" s="130">
        <f t="shared" si="242"/>
        <v>4.1300000000000003E-2</v>
      </c>
      <c r="BK97" s="127">
        <f t="shared" si="232"/>
        <v>1119</v>
      </c>
      <c r="BL97" s="128">
        <f t="shared" si="233"/>
        <v>111788.1</v>
      </c>
      <c r="BM97" s="128">
        <f t="shared" si="142"/>
        <v>111900</v>
      </c>
      <c r="BN97" s="128">
        <f t="shared" si="234"/>
        <v>117103.34999999999</v>
      </c>
      <c r="BO97" s="130">
        <f t="shared" si="181"/>
        <v>4.65E-2</v>
      </c>
      <c r="BP97" s="128">
        <f t="shared" si="182"/>
        <v>119826.00288749998</v>
      </c>
      <c r="BQ97" s="128" t="str">
        <f t="shared" si="183"/>
        <v>nie</v>
      </c>
      <c r="BR97" s="128">
        <f t="shared" si="184"/>
        <v>1119</v>
      </c>
      <c r="BS97" s="128">
        <f t="shared" si="153"/>
        <v>117413.67233887498</v>
      </c>
      <c r="BT97" s="128">
        <f t="shared" si="128"/>
        <v>0</v>
      </c>
      <c r="BU97" s="130">
        <f t="shared" si="185"/>
        <v>4.2500000000000003E-2</v>
      </c>
      <c r="BV97" s="128">
        <f t="shared" si="60"/>
        <v>47.350548386407809</v>
      </c>
      <c r="BW97" s="128">
        <f t="shared" si="243"/>
        <v>117461.0228872614</v>
      </c>
      <c r="BY97" s="130">
        <f t="shared" si="244"/>
        <v>2.8000000000000001E-2</v>
      </c>
      <c r="BZ97" s="127">
        <f t="shared" si="235"/>
        <v>1154</v>
      </c>
      <c r="CA97" s="128">
        <f t="shared" si="236"/>
        <v>115296.5</v>
      </c>
      <c r="CB97" s="128">
        <f t="shared" si="154"/>
        <v>115400</v>
      </c>
      <c r="CC97" s="128">
        <f t="shared" si="131"/>
        <v>115400</v>
      </c>
      <c r="CD97" s="130">
        <f t="shared" si="186"/>
        <v>0.05</v>
      </c>
      <c r="CE97" s="128">
        <f t="shared" si="187"/>
        <v>118284.99999999999</v>
      </c>
      <c r="CF97" s="128" t="str">
        <f t="shared" si="188"/>
        <v>nie</v>
      </c>
      <c r="CG97" s="128">
        <f t="shared" si="189"/>
        <v>2308</v>
      </c>
      <c r="CH97" s="128">
        <f t="shared" si="160"/>
        <v>115867.37</v>
      </c>
      <c r="CI97" s="128">
        <f t="shared" si="190"/>
        <v>0</v>
      </c>
      <c r="CJ97" s="130">
        <f t="shared" si="68"/>
        <v>4.2500000000000003E-2</v>
      </c>
      <c r="CK97" s="128">
        <f t="shared" si="191"/>
        <v>12.368975640853057</v>
      </c>
      <c r="CL97" s="128">
        <f t="shared" si="192"/>
        <v>115879.73897564085</v>
      </c>
      <c r="CN97" s="127">
        <f t="shared" si="237"/>
        <v>1000</v>
      </c>
      <c r="CO97" s="128">
        <f t="shared" si="238"/>
        <v>100000</v>
      </c>
      <c r="CP97" s="128">
        <f t="shared" si="134"/>
        <v>100000</v>
      </c>
      <c r="CQ97" s="128">
        <f t="shared" si="239"/>
        <v>121547.98571520002</v>
      </c>
      <c r="CR97" s="130">
        <f t="shared" si="193"/>
        <v>4.8000000000000001E-2</v>
      </c>
      <c r="CS97" s="128">
        <f t="shared" si="194"/>
        <v>124465.13737236483</v>
      </c>
      <c r="CT97" s="128" t="str">
        <f t="shared" si="195"/>
        <v>nie</v>
      </c>
      <c r="CU97" s="128">
        <f t="shared" si="196"/>
        <v>3000</v>
      </c>
      <c r="CV97" s="128">
        <f t="shared" si="197"/>
        <v>117386.76127161551</v>
      </c>
      <c r="CW97" s="128">
        <f t="shared" si="76"/>
        <v>0</v>
      </c>
      <c r="CX97" s="130">
        <f t="shared" si="198"/>
        <v>4.2500000000000003E-2</v>
      </c>
      <c r="CY97" s="128">
        <f t="shared" si="199"/>
        <v>0</v>
      </c>
      <c r="CZ97" s="128">
        <f t="shared" si="200"/>
        <v>117386.76127161551</v>
      </c>
      <c r="DA97" s="20"/>
      <c r="DB97" s="127">
        <f t="shared" si="144"/>
        <v>1000</v>
      </c>
      <c r="DC97" s="128">
        <f t="shared" si="145"/>
        <v>100000</v>
      </c>
      <c r="DD97" s="128">
        <f t="shared" si="136"/>
        <v>100000</v>
      </c>
      <c r="DE97" s="128">
        <f t="shared" si="240"/>
        <v>121087.57667840002</v>
      </c>
      <c r="DF97" s="130">
        <f t="shared" si="201"/>
        <v>4.8000000000000001E-2</v>
      </c>
      <c r="DG97" s="128">
        <f t="shared" si="202"/>
        <v>123993.67851868161</v>
      </c>
      <c r="DH97" s="128" t="str">
        <f t="shared" si="203"/>
        <v>nie</v>
      </c>
      <c r="DI97" s="128">
        <f t="shared" si="204"/>
        <v>2000</v>
      </c>
      <c r="DJ97" s="128">
        <f t="shared" si="205"/>
        <v>117814.8796001321</v>
      </c>
      <c r="DK97" s="128">
        <f t="shared" si="85"/>
        <v>0</v>
      </c>
      <c r="DL97" s="130">
        <f t="shared" si="206"/>
        <v>4.2500000000000003E-2</v>
      </c>
      <c r="DM97" s="128">
        <f t="shared" si="207"/>
        <v>0</v>
      </c>
      <c r="DN97" s="128">
        <f t="shared" si="208"/>
        <v>117814.8796001321</v>
      </c>
      <c r="DP97" s="127">
        <f t="shared" si="146"/>
        <v>1000</v>
      </c>
      <c r="DQ97" s="128">
        <f t="shared" si="147"/>
        <v>100000</v>
      </c>
      <c r="DR97" s="128">
        <f t="shared" si="138"/>
        <v>100000</v>
      </c>
      <c r="DS97" s="128">
        <f t="shared" si="241"/>
        <v>123587.90658044997</v>
      </c>
      <c r="DT97" s="130">
        <f t="shared" si="209"/>
        <v>5.3000000000000005E-2</v>
      </c>
      <c r="DU97" s="128">
        <f t="shared" si="210"/>
        <v>126862.98610483189</v>
      </c>
      <c r="DV97" s="128" t="str">
        <f t="shared" si="211"/>
        <v>nie</v>
      </c>
      <c r="DW97" s="128">
        <f t="shared" si="212"/>
        <v>3000</v>
      </c>
      <c r="DX97" s="128">
        <f t="shared" si="93"/>
        <v>119329.01874491383</v>
      </c>
      <c r="DY97" s="128">
        <f t="shared" si="94"/>
        <v>0</v>
      </c>
      <c r="DZ97" s="130">
        <f t="shared" si="213"/>
        <v>4.2500000000000003E-2</v>
      </c>
      <c r="EA97" s="128">
        <f t="shared" si="214"/>
        <v>0</v>
      </c>
      <c r="EB97" s="128">
        <f t="shared" si="215"/>
        <v>119329.01874491383</v>
      </c>
    </row>
    <row r="98" spans="1:132">
      <c r="A98" s="224"/>
      <c r="B98" s="188">
        <f t="shared" si="216"/>
        <v>54</v>
      </c>
      <c r="C98" s="128">
        <f t="shared" si="217"/>
        <v>118315.08517209848</v>
      </c>
      <c r="D98" s="128">
        <f t="shared" si="218"/>
        <v>117644.22559919188</v>
      </c>
      <c r="E98" s="128">
        <f t="shared" si="219"/>
        <v>117461.0228872614</v>
      </c>
      <c r="F98" s="128">
        <f t="shared" si="220"/>
        <v>115879.73897564085</v>
      </c>
      <c r="G98" s="128">
        <f t="shared" si="221"/>
        <v>117386.76127161551</v>
      </c>
      <c r="H98" s="128">
        <f t="shared" si="222"/>
        <v>117814.8796001321</v>
      </c>
      <c r="I98" s="128">
        <f t="shared" si="223"/>
        <v>119329.01874491383</v>
      </c>
      <c r="J98" s="128">
        <f t="shared" si="224"/>
        <v>116729.68853636293</v>
      </c>
      <c r="K98" s="128">
        <f t="shared" si="225"/>
        <v>113242.7516573184</v>
      </c>
      <c r="M98" s="36"/>
      <c r="N98" s="32">
        <f t="shared" si="226"/>
        <v>54</v>
      </c>
      <c r="O98" s="25">
        <f t="shared" si="109"/>
        <v>0.18315085172098478</v>
      </c>
      <c r="P98" s="25">
        <f t="shared" si="110"/>
        <v>0.17644225599191876</v>
      </c>
      <c r="Q98" s="25">
        <f t="shared" si="111"/>
        <v>0.1746102288726139</v>
      </c>
      <c r="R98" s="25">
        <f t="shared" si="161"/>
        <v>0.15879738975640856</v>
      </c>
      <c r="S98" s="25">
        <f t="shared" si="162"/>
        <v>0.17386761271615514</v>
      </c>
      <c r="T98" s="25">
        <f t="shared" si="163"/>
        <v>0.17814879600132105</v>
      </c>
      <c r="U98" s="25">
        <f t="shared" si="164"/>
        <v>0.1932901874491384</v>
      </c>
      <c r="V98" s="25">
        <f t="shared" si="165"/>
        <v>0.16729688536362919</v>
      </c>
      <c r="W98" s="25">
        <f t="shared" si="166"/>
        <v>0.13242751657318386</v>
      </c>
      <c r="X98" s="36"/>
      <c r="Y98" s="36"/>
      <c r="AA98" s="124">
        <f t="shared" si="113"/>
        <v>55</v>
      </c>
      <c r="AB98" s="128">
        <f t="shared" si="167"/>
        <v>113503.33655593813</v>
      </c>
      <c r="AC98" s="124">
        <f t="shared" si="114"/>
        <v>55</v>
      </c>
      <c r="AD98" s="130">
        <f t="shared" si="227"/>
        <v>4.2500000000000003E-2</v>
      </c>
      <c r="AE98" s="127">
        <f t="shared" si="228"/>
        <v>1167</v>
      </c>
      <c r="AF98" s="128">
        <f t="shared" si="229"/>
        <v>116587.3</v>
      </c>
      <c r="AG98" s="128">
        <f t="shared" si="140"/>
        <v>116700</v>
      </c>
      <c r="AH98" s="128">
        <f t="shared" si="118"/>
        <v>116700</v>
      </c>
      <c r="AI98" s="130">
        <f t="shared" si="168"/>
        <v>4.2500000000000003E-2</v>
      </c>
      <c r="AJ98" s="128">
        <f t="shared" si="169"/>
        <v>117113.31250000001</v>
      </c>
      <c r="AK98" s="128" t="str">
        <f t="shared" si="170"/>
        <v>nie</v>
      </c>
      <c r="AL98" s="128">
        <f t="shared" si="171"/>
        <v>583.5</v>
      </c>
      <c r="AM98" s="128">
        <f t="shared" si="150"/>
        <v>116562.14812500001</v>
      </c>
      <c r="AN98" s="128">
        <f t="shared" si="172"/>
        <v>334.78312500001181</v>
      </c>
      <c r="AO98" s="130">
        <f t="shared" si="173"/>
        <v>4.2500000000000003E-2</v>
      </c>
      <c r="AP98" s="128">
        <f t="shared" si="174"/>
        <v>2428.4924443422024</v>
      </c>
      <c r="AQ98" s="128">
        <f t="shared" si="156"/>
        <v>118655.8574443422</v>
      </c>
      <c r="AS98" s="124">
        <f t="shared" si="119"/>
        <v>55</v>
      </c>
      <c r="AT98" s="130">
        <f t="shared" si="120"/>
        <v>4.2500000000000003E-2</v>
      </c>
      <c r="AU98" s="127">
        <f t="shared" si="230"/>
        <v>1162</v>
      </c>
      <c r="AV98" s="128">
        <f t="shared" si="231"/>
        <v>116091.90000000001</v>
      </c>
      <c r="AW98" s="128">
        <f t="shared" si="151"/>
        <v>116200</v>
      </c>
      <c r="AX98" s="128">
        <f t="shared" si="123"/>
        <v>116200</v>
      </c>
      <c r="AY98" s="130">
        <f t="shared" si="175"/>
        <v>4.4000000000000004E-2</v>
      </c>
      <c r="AZ98" s="128">
        <f t="shared" si="176"/>
        <v>116626.06666666667</v>
      </c>
      <c r="BA98" s="128" t="str">
        <f t="shared" si="177"/>
        <v>nie</v>
      </c>
      <c r="BB98" s="128">
        <f t="shared" si="178"/>
        <v>813.4</v>
      </c>
      <c r="BC98" s="128">
        <f t="shared" si="158"/>
        <v>115886.26000000001</v>
      </c>
      <c r="BD98" s="128">
        <f t="shared" si="179"/>
        <v>345.11399999999924</v>
      </c>
      <c r="BE98" s="130">
        <f t="shared" si="51"/>
        <v>4.2500000000000003E-2</v>
      </c>
      <c r="BF98" s="128">
        <f t="shared" si="180"/>
        <v>2454.2268087920502</v>
      </c>
      <c r="BG98" s="128">
        <f t="shared" si="159"/>
        <v>117995.37280879206</v>
      </c>
      <c r="BI98" s="124">
        <f t="shared" si="124"/>
        <v>55</v>
      </c>
      <c r="BJ98" s="130">
        <f t="shared" si="242"/>
        <v>4.1300000000000003E-2</v>
      </c>
      <c r="BK98" s="127">
        <f t="shared" si="232"/>
        <v>1119</v>
      </c>
      <c r="BL98" s="128">
        <f t="shared" si="233"/>
        <v>111788.1</v>
      </c>
      <c r="BM98" s="128">
        <f t="shared" si="142"/>
        <v>111900</v>
      </c>
      <c r="BN98" s="128">
        <f t="shared" si="234"/>
        <v>117103.34999999999</v>
      </c>
      <c r="BO98" s="130">
        <f t="shared" si="181"/>
        <v>4.65E-2</v>
      </c>
      <c r="BP98" s="128">
        <f t="shared" si="182"/>
        <v>120279.77836875001</v>
      </c>
      <c r="BQ98" s="128" t="str">
        <f t="shared" si="183"/>
        <v>nie</v>
      </c>
      <c r="BR98" s="128">
        <f t="shared" si="184"/>
        <v>1119</v>
      </c>
      <c r="BS98" s="128">
        <f t="shared" si="153"/>
        <v>117781.2304786875</v>
      </c>
      <c r="BT98" s="128">
        <f t="shared" si="128"/>
        <v>0</v>
      </c>
      <c r="BU98" s="130">
        <f t="shared" si="185"/>
        <v>4.2500000000000003E-2</v>
      </c>
      <c r="BV98" s="128">
        <f t="shared" si="60"/>
        <v>47.486385272091312</v>
      </c>
      <c r="BW98" s="128">
        <f t="shared" si="243"/>
        <v>117828.71686395959</v>
      </c>
      <c r="BY98" s="130">
        <f t="shared" si="244"/>
        <v>2.8000000000000001E-2</v>
      </c>
      <c r="BZ98" s="127">
        <f t="shared" si="235"/>
        <v>1154</v>
      </c>
      <c r="CA98" s="128">
        <f t="shared" si="236"/>
        <v>115296.5</v>
      </c>
      <c r="CB98" s="128">
        <f t="shared" si="154"/>
        <v>115400</v>
      </c>
      <c r="CC98" s="128">
        <f t="shared" si="131"/>
        <v>115400</v>
      </c>
      <c r="CD98" s="130">
        <f t="shared" si="186"/>
        <v>0.05</v>
      </c>
      <c r="CE98" s="128">
        <f t="shared" si="187"/>
        <v>118765.83333333333</v>
      </c>
      <c r="CF98" s="128" t="str">
        <f t="shared" si="188"/>
        <v>nie</v>
      </c>
      <c r="CG98" s="128">
        <f t="shared" si="189"/>
        <v>2308</v>
      </c>
      <c r="CH98" s="128">
        <f t="shared" si="160"/>
        <v>116256.845</v>
      </c>
      <c r="CI98" s="128">
        <f t="shared" si="190"/>
        <v>0</v>
      </c>
      <c r="CJ98" s="130">
        <f t="shared" si="68"/>
        <v>4.2500000000000003E-2</v>
      </c>
      <c r="CK98" s="128">
        <f t="shared" si="191"/>
        <v>12.404459139722753</v>
      </c>
      <c r="CL98" s="128">
        <f t="shared" si="192"/>
        <v>116269.24945913973</v>
      </c>
      <c r="CN98" s="127">
        <f t="shared" si="237"/>
        <v>1000</v>
      </c>
      <c r="CO98" s="128">
        <f t="shared" si="238"/>
        <v>100000</v>
      </c>
      <c r="CP98" s="128">
        <f t="shared" si="134"/>
        <v>100000</v>
      </c>
      <c r="CQ98" s="128">
        <f t="shared" si="239"/>
        <v>121547.98571520002</v>
      </c>
      <c r="CR98" s="130">
        <f t="shared" si="193"/>
        <v>4.8000000000000001E-2</v>
      </c>
      <c r="CS98" s="128">
        <f t="shared" si="194"/>
        <v>124951.32931522562</v>
      </c>
      <c r="CT98" s="128" t="str">
        <f t="shared" si="195"/>
        <v>nie</v>
      </c>
      <c r="CU98" s="128">
        <f t="shared" si="196"/>
        <v>3000</v>
      </c>
      <c r="CV98" s="128">
        <f t="shared" si="197"/>
        <v>117780.57674533276</v>
      </c>
      <c r="CW98" s="128">
        <f t="shared" si="76"/>
        <v>0</v>
      </c>
      <c r="CX98" s="130">
        <f t="shared" si="198"/>
        <v>4.2500000000000003E-2</v>
      </c>
      <c r="CY98" s="128">
        <f t="shared" si="199"/>
        <v>0</v>
      </c>
      <c r="CZ98" s="128">
        <f t="shared" si="200"/>
        <v>117780.57674533276</v>
      </c>
      <c r="DA98" s="20"/>
      <c r="DB98" s="127">
        <f t="shared" si="144"/>
        <v>1000</v>
      </c>
      <c r="DC98" s="128">
        <f t="shared" si="145"/>
        <v>100000</v>
      </c>
      <c r="DD98" s="128">
        <f t="shared" si="136"/>
        <v>100000</v>
      </c>
      <c r="DE98" s="128">
        <f t="shared" si="240"/>
        <v>121087.57667840002</v>
      </c>
      <c r="DF98" s="130">
        <f t="shared" si="201"/>
        <v>4.8000000000000001E-2</v>
      </c>
      <c r="DG98" s="128">
        <f t="shared" si="202"/>
        <v>124478.02882539522</v>
      </c>
      <c r="DH98" s="128" t="str">
        <f t="shared" si="203"/>
        <v>nie</v>
      </c>
      <c r="DI98" s="128">
        <f t="shared" si="204"/>
        <v>2000</v>
      </c>
      <c r="DJ98" s="128">
        <f t="shared" si="205"/>
        <v>118207.20334857012</v>
      </c>
      <c r="DK98" s="128">
        <f t="shared" si="85"/>
        <v>0</v>
      </c>
      <c r="DL98" s="130">
        <f t="shared" si="206"/>
        <v>4.2500000000000003E-2</v>
      </c>
      <c r="DM98" s="128">
        <f t="shared" si="207"/>
        <v>0</v>
      </c>
      <c r="DN98" s="128">
        <f t="shared" si="208"/>
        <v>118207.20334857012</v>
      </c>
      <c r="DP98" s="127">
        <f t="shared" si="146"/>
        <v>1000</v>
      </c>
      <c r="DQ98" s="128">
        <f t="shared" si="147"/>
        <v>100000</v>
      </c>
      <c r="DR98" s="128">
        <f t="shared" si="138"/>
        <v>100000</v>
      </c>
      <c r="DS98" s="128">
        <f t="shared" si="241"/>
        <v>123587.90658044997</v>
      </c>
      <c r="DT98" s="130">
        <f t="shared" si="209"/>
        <v>5.3000000000000005E-2</v>
      </c>
      <c r="DU98" s="128">
        <f t="shared" si="210"/>
        <v>127408.83269222888</v>
      </c>
      <c r="DV98" s="128" t="str">
        <f t="shared" si="211"/>
        <v>nie</v>
      </c>
      <c r="DW98" s="128">
        <f t="shared" si="212"/>
        <v>3000</v>
      </c>
      <c r="DX98" s="128">
        <f t="shared" si="93"/>
        <v>119771.1544807054</v>
      </c>
      <c r="DY98" s="128">
        <f t="shared" si="94"/>
        <v>0</v>
      </c>
      <c r="DZ98" s="130">
        <f t="shared" si="213"/>
        <v>4.2500000000000003E-2</v>
      </c>
      <c r="EA98" s="128">
        <f t="shared" si="214"/>
        <v>0</v>
      </c>
      <c r="EB98" s="128">
        <f t="shared" si="215"/>
        <v>119771.1544807054</v>
      </c>
    </row>
    <row r="99" spans="1:132">
      <c r="A99" s="224"/>
      <c r="B99" s="188">
        <f t="shared" si="216"/>
        <v>55</v>
      </c>
      <c r="C99" s="128">
        <f t="shared" si="217"/>
        <v>118655.8574443422</v>
      </c>
      <c r="D99" s="128">
        <f t="shared" si="218"/>
        <v>117995.37280879206</v>
      </c>
      <c r="E99" s="128">
        <f t="shared" si="219"/>
        <v>117828.71686395959</v>
      </c>
      <c r="F99" s="128">
        <f t="shared" si="220"/>
        <v>116269.24945913973</v>
      </c>
      <c r="G99" s="128">
        <f t="shared" si="221"/>
        <v>117780.57674533276</v>
      </c>
      <c r="H99" s="128">
        <f t="shared" si="222"/>
        <v>118207.20334857012</v>
      </c>
      <c r="I99" s="128">
        <f t="shared" si="223"/>
        <v>119771.1544807054</v>
      </c>
      <c r="J99" s="128">
        <f t="shared" si="224"/>
        <v>117064.55683035162</v>
      </c>
      <c r="K99" s="128">
        <f t="shared" si="225"/>
        <v>113503.33655593813</v>
      </c>
      <c r="M99" s="36"/>
      <c r="N99" s="32">
        <f t="shared" si="226"/>
        <v>55</v>
      </c>
      <c r="O99" s="25">
        <f t="shared" si="109"/>
        <v>0.18655857444342194</v>
      </c>
      <c r="P99" s="25">
        <f t="shared" si="110"/>
        <v>0.17995372808792065</v>
      </c>
      <c r="Q99" s="25">
        <f t="shared" si="111"/>
        <v>0.17828716863959593</v>
      </c>
      <c r="R99" s="25">
        <f t="shared" si="161"/>
        <v>0.16269249459139723</v>
      </c>
      <c r="S99" s="25">
        <f t="shared" si="162"/>
        <v>0.17780576745332755</v>
      </c>
      <c r="T99" s="25">
        <f t="shared" si="163"/>
        <v>0.18207203348570133</v>
      </c>
      <c r="U99" s="25">
        <f t="shared" si="164"/>
        <v>0.19771154480705411</v>
      </c>
      <c r="V99" s="25">
        <f t="shared" si="165"/>
        <v>0.17064556830351618</v>
      </c>
      <c r="W99" s="25">
        <f t="shared" si="166"/>
        <v>0.13503336555938139</v>
      </c>
      <c r="X99" s="36"/>
      <c r="Y99" s="36"/>
      <c r="AA99" s="124">
        <f t="shared" si="113"/>
        <v>56</v>
      </c>
      <c r="AB99" s="128">
        <f t="shared" si="167"/>
        <v>113763.92145455786</v>
      </c>
      <c r="AC99" s="124">
        <f t="shared" si="114"/>
        <v>56</v>
      </c>
      <c r="AD99" s="130">
        <f t="shared" si="227"/>
        <v>4.2500000000000003E-2</v>
      </c>
      <c r="AE99" s="127">
        <f t="shared" si="228"/>
        <v>1167</v>
      </c>
      <c r="AF99" s="128">
        <f t="shared" si="229"/>
        <v>116587.3</v>
      </c>
      <c r="AG99" s="128">
        <f t="shared" si="140"/>
        <v>116700</v>
      </c>
      <c r="AH99" s="128">
        <f t="shared" si="118"/>
        <v>116700</v>
      </c>
      <c r="AI99" s="130">
        <f t="shared" si="168"/>
        <v>4.2500000000000003E-2</v>
      </c>
      <c r="AJ99" s="128">
        <f t="shared" si="169"/>
        <v>117113.31250000001</v>
      </c>
      <c r="AK99" s="128" t="str">
        <f t="shared" si="170"/>
        <v>nie</v>
      </c>
      <c r="AL99" s="128">
        <f t="shared" si="171"/>
        <v>583.5</v>
      </c>
      <c r="AM99" s="128">
        <f t="shared" si="150"/>
        <v>116562.14812500001</v>
      </c>
      <c r="AN99" s="128">
        <f t="shared" si="172"/>
        <v>334.78312500001181</v>
      </c>
      <c r="AO99" s="130">
        <f t="shared" si="173"/>
        <v>4.2500000000000003E-2</v>
      </c>
      <c r="AP99" s="128">
        <f t="shared" si="174"/>
        <v>2770.2423070419209</v>
      </c>
      <c r="AQ99" s="128">
        <f t="shared" si="156"/>
        <v>118997.60730704192</v>
      </c>
      <c r="AS99" s="124">
        <f t="shared" si="119"/>
        <v>56</v>
      </c>
      <c r="AT99" s="130">
        <f t="shared" si="120"/>
        <v>4.2500000000000003E-2</v>
      </c>
      <c r="AU99" s="127">
        <f t="shared" si="230"/>
        <v>1162</v>
      </c>
      <c r="AV99" s="128">
        <f t="shared" si="231"/>
        <v>116091.90000000001</v>
      </c>
      <c r="AW99" s="128">
        <f t="shared" si="151"/>
        <v>116200</v>
      </c>
      <c r="AX99" s="128">
        <f t="shared" si="123"/>
        <v>116200</v>
      </c>
      <c r="AY99" s="130">
        <f t="shared" si="175"/>
        <v>4.4000000000000004E-2</v>
      </c>
      <c r="AZ99" s="128">
        <f t="shared" si="176"/>
        <v>116626.06666666667</v>
      </c>
      <c r="BA99" s="128" t="str">
        <f t="shared" si="177"/>
        <v>nie</v>
      </c>
      <c r="BB99" s="128">
        <f t="shared" si="178"/>
        <v>813.4</v>
      </c>
      <c r="BC99" s="128">
        <f t="shared" si="158"/>
        <v>115886.26000000001</v>
      </c>
      <c r="BD99" s="128">
        <f t="shared" si="179"/>
        <v>345.11399999999924</v>
      </c>
      <c r="BE99" s="130">
        <f t="shared" si="51"/>
        <v>4.2500000000000003E-2</v>
      </c>
      <c r="BF99" s="128">
        <f t="shared" si="180"/>
        <v>2806.3813719497716</v>
      </c>
      <c r="BG99" s="128">
        <f t="shared" si="159"/>
        <v>118347.52737194978</v>
      </c>
      <c r="BI99" s="124">
        <f t="shared" si="124"/>
        <v>56</v>
      </c>
      <c r="BJ99" s="130">
        <f t="shared" si="242"/>
        <v>4.1300000000000003E-2</v>
      </c>
      <c r="BK99" s="127">
        <f t="shared" si="232"/>
        <v>1119</v>
      </c>
      <c r="BL99" s="128">
        <f t="shared" si="233"/>
        <v>111788.1</v>
      </c>
      <c r="BM99" s="128">
        <f t="shared" si="142"/>
        <v>111900</v>
      </c>
      <c r="BN99" s="128">
        <f t="shared" si="234"/>
        <v>117103.34999999999</v>
      </c>
      <c r="BO99" s="130">
        <f t="shared" si="181"/>
        <v>4.65E-2</v>
      </c>
      <c r="BP99" s="128">
        <f t="shared" si="182"/>
        <v>120733.55384999998</v>
      </c>
      <c r="BQ99" s="128" t="str">
        <f t="shared" si="183"/>
        <v>nie</v>
      </c>
      <c r="BR99" s="128">
        <f t="shared" si="184"/>
        <v>1119</v>
      </c>
      <c r="BS99" s="128">
        <f t="shared" si="153"/>
        <v>118148.78861849998</v>
      </c>
      <c r="BT99" s="128">
        <f t="shared" si="128"/>
        <v>0</v>
      </c>
      <c r="BU99" s="130">
        <f t="shared" si="185"/>
        <v>4.2500000000000003E-2</v>
      </c>
      <c r="BV99" s="128">
        <f t="shared" si="60"/>
        <v>47.622611839840623</v>
      </c>
      <c r="BW99" s="128">
        <f t="shared" si="243"/>
        <v>118196.41123033981</v>
      </c>
      <c r="BY99" s="130">
        <f t="shared" si="244"/>
        <v>2.8000000000000001E-2</v>
      </c>
      <c r="BZ99" s="127">
        <f t="shared" si="235"/>
        <v>1154</v>
      </c>
      <c r="CA99" s="128">
        <f t="shared" si="236"/>
        <v>115296.5</v>
      </c>
      <c r="CB99" s="128">
        <f t="shared" si="154"/>
        <v>115400</v>
      </c>
      <c r="CC99" s="128">
        <f t="shared" si="131"/>
        <v>115400</v>
      </c>
      <c r="CD99" s="130">
        <f t="shared" si="186"/>
        <v>0.05</v>
      </c>
      <c r="CE99" s="128">
        <f t="shared" si="187"/>
        <v>119246.66666666667</v>
      </c>
      <c r="CF99" s="128" t="str">
        <f t="shared" si="188"/>
        <v>nie</v>
      </c>
      <c r="CG99" s="128">
        <f t="shared" si="189"/>
        <v>2308</v>
      </c>
      <c r="CH99" s="128">
        <f t="shared" si="160"/>
        <v>116646.32</v>
      </c>
      <c r="CI99" s="128">
        <f t="shared" si="190"/>
        <v>0</v>
      </c>
      <c r="CJ99" s="130">
        <f t="shared" si="68"/>
        <v>4.2500000000000003E-2</v>
      </c>
      <c r="CK99" s="128">
        <f t="shared" si="191"/>
        <v>12.440044431879834</v>
      </c>
      <c r="CL99" s="128">
        <f t="shared" si="192"/>
        <v>116658.76004443188</v>
      </c>
      <c r="CN99" s="127">
        <f t="shared" si="237"/>
        <v>1000</v>
      </c>
      <c r="CO99" s="128">
        <f t="shared" si="238"/>
        <v>100000</v>
      </c>
      <c r="CP99" s="128">
        <f t="shared" si="134"/>
        <v>100000</v>
      </c>
      <c r="CQ99" s="128">
        <f t="shared" si="239"/>
        <v>121547.98571520002</v>
      </c>
      <c r="CR99" s="130">
        <f t="shared" si="193"/>
        <v>4.8000000000000001E-2</v>
      </c>
      <c r="CS99" s="128">
        <f t="shared" si="194"/>
        <v>125437.52125808642</v>
      </c>
      <c r="CT99" s="128" t="str">
        <f t="shared" si="195"/>
        <v>nie</v>
      </c>
      <c r="CU99" s="128">
        <f t="shared" si="196"/>
        <v>3000</v>
      </c>
      <c r="CV99" s="128">
        <f t="shared" si="197"/>
        <v>118174.39221905</v>
      </c>
      <c r="CW99" s="128">
        <f t="shared" si="76"/>
        <v>0</v>
      </c>
      <c r="CX99" s="130">
        <f t="shared" si="198"/>
        <v>4.2500000000000003E-2</v>
      </c>
      <c r="CY99" s="128">
        <f t="shared" si="199"/>
        <v>0</v>
      </c>
      <c r="CZ99" s="128">
        <f t="shared" si="200"/>
        <v>118174.39221905</v>
      </c>
      <c r="DA99" s="20"/>
      <c r="DB99" s="127">
        <f t="shared" si="144"/>
        <v>1000</v>
      </c>
      <c r="DC99" s="128">
        <f t="shared" si="145"/>
        <v>100000</v>
      </c>
      <c r="DD99" s="128">
        <f t="shared" si="136"/>
        <v>100000</v>
      </c>
      <c r="DE99" s="128">
        <f t="shared" si="240"/>
        <v>121087.57667840002</v>
      </c>
      <c r="DF99" s="130">
        <f t="shared" si="201"/>
        <v>4.8000000000000001E-2</v>
      </c>
      <c r="DG99" s="128">
        <f t="shared" si="202"/>
        <v>124962.37913210882</v>
      </c>
      <c r="DH99" s="128" t="str">
        <f t="shared" si="203"/>
        <v>nie</v>
      </c>
      <c r="DI99" s="128">
        <f t="shared" si="204"/>
        <v>2000</v>
      </c>
      <c r="DJ99" s="128">
        <f t="shared" si="205"/>
        <v>118599.52709700815</v>
      </c>
      <c r="DK99" s="128">
        <f t="shared" si="85"/>
        <v>0</v>
      </c>
      <c r="DL99" s="130">
        <f t="shared" si="206"/>
        <v>4.2500000000000003E-2</v>
      </c>
      <c r="DM99" s="128">
        <f t="shared" si="207"/>
        <v>0</v>
      </c>
      <c r="DN99" s="128">
        <f t="shared" si="208"/>
        <v>118599.52709700815</v>
      </c>
      <c r="DP99" s="127">
        <f t="shared" si="146"/>
        <v>1000</v>
      </c>
      <c r="DQ99" s="128">
        <f t="shared" si="147"/>
        <v>100000</v>
      </c>
      <c r="DR99" s="128">
        <f t="shared" si="138"/>
        <v>100000</v>
      </c>
      <c r="DS99" s="128">
        <f t="shared" si="241"/>
        <v>123587.90658044997</v>
      </c>
      <c r="DT99" s="130">
        <f t="shared" si="209"/>
        <v>5.3000000000000005E-2</v>
      </c>
      <c r="DU99" s="128">
        <f t="shared" si="210"/>
        <v>127954.67927962588</v>
      </c>
      <c r="DV99" s="128" t="str">
        <f t="shared" si="211"/>
        <v>nie</v>
      </c>
      <c r="DW99" s="128">
        <f t="shared" si="212"/>
        <v>3000</v>
      </c>
      <c r="DX99" s="128">
        <f t="shared" si="93"/>
        <v>120213.29021649697</v>
      </c>
      <c r="DY99" s="128">
        <f t="shared" si="94"/>
        <v>0</v>
      </c>
      <c r="DZ99" s="130">
        <f t="shared" si="213"/>
        <v>4.2500000000000003E-2</v>
      </c>
      <c r="EA99" s="128">
        <f t="shared" si="214"/>
        <v>0</v>
      </c>
      <c r="EB99" s="128">
        <f t="shared" si="215"/>
        <v>120213.29021649697</v>
      </c>
    </row>
    <row r="100" spans="1:132">
      <c r="A100" s="224"/>
      <c r="B100" s="188">
        <f t="shared" si="216"/>
        <v>56</v>
      </c>
      <c r="C100" s="128">
        <f t="shared" si="217"/>
        <v>118997.60730704192</v>
      </c>
      <c r="D100" s="128">
        <f t="shared" si="218"/>
        <v>118347.52737194978</v>
      </c>
      <c r="E100" s="128">
        <f t="shared" si="219"/>
        <v>118196.41123033981</v>
      </c>
      <c r="F100" s="128">
        <f t="shared" si="220"/>
        <v>116658.76004443188</v>
      </c>
      <c r="G100" s="128">
        <f t="shared" si="221"/>
        <v>118174.39221905</v>
      </c>
      <c r="H100" s="128">
        <f t="shared" si="222"/>
        <v>118599.52709700815</v>
      </c>
      <c r="I100" s="128">
        <f t="shared" si="223"/>
        <v>120213.29021649697</v>
      </c>
      <c r="J100" s="128">
        <f t="shared" si="224"/>
        <v>117400.38577775868</v>
      </c>
      <c r="K100" s="128">
        <f t="shared" si="225"/>
        <v>113763.92145455786</v>
      </c>
      <c r="M100" s="36"/>
      <c r="N100" s="32">
        <f t="shared" si="226"/>
        <v>56</v>
      </c>
      <c r="O100" s="25">
        <f t="shared" si="109"/>
        <v>0.18997607307041919</v>
      </c>
      <c r="P100" s="25">
        <f t="shared" si="110"/>
        <v>0.18347527371949779</v>
      </c>
      <c r="Q100" s="25">
        <f t="shared" si="111"/>
        <v>0.18196411230339815</v>
      </c>
      <c r="R100" s="25">
        <f t="shared" si="161"/>
        <v>0.16658760044431875</v>
      </c>
      <c r="S100" s="25">
        <f t="shared" si="162"/>
        <v>0.18174392219049995</v>
      </c>
      <c r="T100" s="25">
        <f t="shared" si="163"/>
        <v>0.18599527097008139</v>
      </c>
      <c r="U100" s="25">
        <f t="shared" si="164"/>
        <v>0.20213290216496982</v>
      </c>
      <c r="V100" s="25">
        <f t="shared" si="165"/>
        <v>0.17400385777758687</v>
      </c>
      <c r="W100" s="25">
        <f t="shared" si="166"/>
        <v>0.13763921454557848</v>
      </c>
      <c r="X100" s="36"/>
      <c r="Y100" s="36"/>
      <c r="AA100" s="124">
        <f t="shared" si="113"/>
        <v>57</v>
      </c>
      <c r="AB100" s="128">
        <f t="shared" si="167"/>
        <v>114024.50635317758</v>
      </c>
      <c r="AC100" s="124">
        <f t="shared" si="114"/>
        <v>57</v>
      </c>
      <c r="AD100" s="130">
        <f t="shared" si="227"/>
        <v>4.2500000000000003E-2</v>
      </c>
      <c r="AE100" s="127">
        <f t="shared" si="228"/>
        <v>1167</v>
      </c>
      <c r="AF100" s="128">
        <f t="shared" si="229"/>
        <v>116587.3</v>
      </c>
      <c r="AG100" s="128">
        <f t="shared" si="140"/>
        <v>116700</v>
      </c>
      <c r="AH100" s="128">
        <f t="shared" si="118"/>
        <v>116700</v>
      </c>
      <c r="AI100" s="130">
        <f t="shared" si="168"/>
        <v>4.2500000000000003E-2</v>
      </c>
      <c r="AJ100" s="128">
        <f t="shared" si="169"/>
        <v>117113.31250000001</v>
      </c>
      <c r="AK100" s="128" t="str">
        <f t="shared" si="170"/>
        <v>nie</v>
      </c>
      <c r="AL100" s="128">
        <f t="shared" si="171"/>
        <v>583.5</v>
      </c>
      <c r="AM100" s="128">
        <f t="shared" si="150"/>
        <v>116562.14812500001</v>
      </c>
      <c r="AN100" s="128">
        <f t="shared" si="172"/>
        <v>334.78312500001181</v>
      </c>
      <c r="AO100" s="130">
        <f t="shared" si="173"/>
        <v>4.2500000000000003E-2</v>
      </c>
      <c r="AP100" s="128">
        <f t="shared" si="174"/>
        <v>3112.9725646602592</v>
      </c>
      <c r="AQ100" s="128">
        <f t="shared" si="156"/>
        <v>119340.33756466025</v>
      </c>
      <c r="AS100" s="124">
        <f t="shared" si="119"/>
        <v>57</v>
      </c>
      <c r="AT100" s="130">
        <f t="shared" si="120"/>
        <v>4.2500000000000003E-2</v>
      </c>
      <c r="AU100" s="127">
        <f t="shared" si="230"/>
        <v>1162</v>
      </c>
      <c r="AV100" s="128">
        <f t="shared" si="231"/>
        <v>116091.90000000001</v>
      </c>
      <c r="AW100" s="128">
        <f t="shared" si="151"/>
        <v>116200</v>
      </c>
      <c r="AX100" s="128">
        <f t="shared" si="123"/>
        <v>116200</v>
      </c>
      <c r="AY100" s="130">
        <f t="shared" si="175"/>
        <v>4.4000000000000004E-2</v>
      </c>
      <c r="AZ100" s="128">
        <f t="shared" si="176"/>
        <v>116626.06666666667</v>
      </c>
      <c r="BA100" s="128" t="str">
        <f t="shared" si="177"/>
        <v>nie</v>
      </c>
      <c r="BB100" s="128">
        <f t="shared" si="178"/>
        <v>813.4</v>
      </c>
      <c r="BC100" s="128">
        <f t="shared" si="158"/>
        <v>115886.26000000001</v>
      </c>
      <c r="BD100" s="128">
        <f t="shared" si="179"/>
        <v>345.11399999999924</v>
      </c>
      <c r="BE100" s="130">
        <f t="shared" si="51"/>
        <v>4.2500000000000003E-2</v>
      </c>
      <c r="BF100" s="128">
        <f t="shared" si="180"/>
        <v>3159.5461785105517</v>
      </c>
      <c r="BG100" s="128">
        <f t="shared" si="159"/>
        <v>118700.69217851057</v>
      </c>
      <c r="BI100" s="124">
        <f t="shared" si="124"/>
        <v>57</v>
      </c>
      <c r="BJ100" s="130">
        <f t="shared" si="242"/>
        <v>4.1300000000000003E-2</v>
      </c>
      <c r="BK100" s="127">
        <f t="shared" si="232"/>
        <v>1119</v>
      </c>
      <c r="BL100" s="128">
        <f t="shared" si="233"/>
        <v>111788.1</v>
      </c>
      <c r="BM100" s="128">
        <f t="shared" si="142"/>
        <v>111900</v>
      </c>
      <c r="BN100" s="128">
        <f t="shared" si="234"/>
        <v>117103.34999999999</v>
      </c>
      <c r="BO100" s="130">
        <f t="shared" si="181"/>
        <v>4.65E-2</v>
      </c>
      <c r="BP100" s="128">
        <f t="shared" si="182"/>
        <v>121187.32933124999</v>
      </c>
      <c r="BQ100" s="128" t="str">
        <f t="shared" si="183"/>
        <v>nie</v>
      </c>
      <c r="BR100" s="128">
        <f t="shared" si="184"/>
        <v>1119</v>
      </c>
      <c r="BS100" s="128">
        <f t="shared" si="153"/>
        <v>118516.34675831249</v>
      </c>
      <c r="BT100" s="128">
        <f t="shared" si="128"/>
        <v>0</v>
      </c>
      <c r="BU100" s="130">
        <f t="shared" si="185"/>
        <v>4.2500000000000003E-2</v>
      </c>
      <c r="BV100" s="128">
        <f t="shared" si="60"/>
        <v>47.759229207556167</v>
      </c>
      <c r="BW100" s="128">
        <f t="shared" si="243"/>
        <v>118564.10598752004</v>
      </c>
      <c r="BY100" s="130">
        <f t="shared" si="244"/>
        <v>2.8000000000000001E-2</v>
      </c>
      <c r="BZ100" s="127">
        <f t="shared" si="235"/>
        <v>1154</v>
      </c>
      <c r="CA100" s="128">
        <f t="shared" si="236"/>
        <v>115296.5</v>
      </c>
      <c r="CB100" s="128">
        <f t="shared" si="154"/>
        <v>115400</v>
      </c>
      <c r="CC100" s="128">
        <f t="shared" si="131"/>
        <v>115400</v>
      </c>
      <c r="CD100" s="130">
        <f t="shared" si="186"/>
        <v>0.05</v>
      </c>
      <c r="CE100" s="128">
        <f t="shared" si="187"/>
        <v>119727.50000000001</v>
      </c>
      <c r="CF100" s="128" t="str">
        <f t="shared" si="188"/>
        <v>nie</v>
      </c>
      <c r="CG100" s="128">
        <f t="shared" si="189"/>
        <v>2308</v>
      </c>
      <c r="CH100" s="128">
        <f t="shared" si="160"/>
        <v>117035.79500000001</v>
      </c>
      <c r="CI100" s="128">
        <f t="shared" si="190"/>
        <v>0</v>
      </c>
      <c r="CJ100" s="130">
        <f t="shared" si="68"/>
        <v>4.2500000000000003E-2</v>
      </c>
      <c r="CK100" s="128">
        <f t="shared" si="191"/>
        <v>12.475731809343788</v>
      </c>
      <c r="CL100" s="128">
        <f t="shared" si="192"/>
        <v>117048.27073180936</v>
      </c>
      <c r="CN100" s="127">
        <f t="shared" si="237"/>
        <v>1000</v>
      </c>
      <c r="CO100" s="128">
        <f t="shared" si="238"/>
        <v>100000</v>
      </c>
      <c r="CP100" s="128">
        <f t="shared" si="134"/>
        <v>100000</v>
      </c>
      <c r="CQ100" s="128">
        <f t="shared" si="239"/>
        <v>121547.98571520002</v>
      </c>
      <c r="CR100" s="130">
        <f t="shared" si="193"/>
        <v>4.8000000000000001E-2</v>
      </c>
      <c r="CS100" s="128">
        <f t="shared" si="194"/>
        <v>125923.71320094723</v>
      </c>
      <c r="CT100" s="128" t="str">
        <f t="shared" si="195"/>
        <v>nie</v>
      </c>
      <c r="CU100" s="128">
        <f t="shared" si="196"/>
        <v>3000</v>
      </c>
      <c r="CV100" s="128">
        <f t="shared" si="197"/>
        <v>118568.20769276726</v>
      </c>
      <c r="CW100" s="128">
        <f t="shared" si="76"/>
        <v>0</v>
      </c>
      <c r="CX100" s="130">
        <f t="shared" si="198"/>
        <v>4.2500000000000003E-2</v>
      </c>
      <c r="CY100" s="128">
        <f t="shared" si="199"/>
        <v>0</v>
      </c>
      <c r="CZ100" s="128">
        <f t="shared" si="200"/>
        <v>118568.20769276726</v>
      </c>
      <c r="DA100" s="20"/>
      <c r="DB100" s="127">
        <f t="shared" si="144"/>
        <v>1000</v>
      </c>
      <c r="DC100" s="128">
        <f t="shared" si="145"/>
        <v>100000</v>
      </c>
      <c r="DD100" s="128">
        <f t="shared" si="136"/>
        <v>100000</v>
      </c>
      <c r="DE100" s="128">
        <f t="shared" si="240"/>
        <v>121087.57667840002</v>
      </c>
      <c r="DF100" s="130">
        <f t="shared" si="201"/>
        <v>4.8000000000000001E-2</v>
      </c>
      <c r="DG100" s="128">
        <f t="shared" si="202"/>
        <v>125446.72943882243</v>
      </c>
      <c r="DH100" s="128" t="str">
        <f t="shared" si="203"/>
        <v>nie</v>
      </c>
      <c r="DI100" s="128">
        <f t="shared" si="204"/>
        <v>2000</v>
      </c>
      <c r="DJ100" s="128">
        <f t="shared" si="205"/>
        <v>118991.85084544617</v>
      </c>
      <c r="DK100" s="128">
        <f t="shared" si="85"/>
        <v>0</v>
      </c>
      <c r="DL100" s="130">
        <f t="shared" si="206"/>
        <v>4.2500000000000003E-2</v>
      </c>
      <c r="DM100" s="128">
        <f t="shared" si="207"/>
        <v>0</v>
      </c>
      <c r="DN100" s="128">
        <f t="shared" si="208"/>
        <v>118991.85084544617</v>
      </c>
      <c r="DP100" s="127">
        <f t="shared" si="146"/>
        <v>1000</v>
      </c>
      <c r="DQ100" s="128">
        <f t="shared" si="147"/>
        <v>100000</v>
      </c>
      <c r="DR100" s="128">
        <f t="shared" si="138"/>
        <v>100000</v>
      </c>
      <c r="DS100" s="128">
        <f t="shared" si="241"/>
        <v>123587.90658044997</v>
      </c>
      <c r="DT100" s="130">
        <f t="shared" si="209"/>
        <v>5.3000000000000005E-2</v>
      </c>
      <c r="DU100" s="128">
        <f t="shared" si="210"/>
        <v>128500.52586702285</v>
      </c>
      <c r="DV100" s="128" t="str">
        <f t="shared" si="211"/>
        <v>nie</v>
      </c>
      <c r="DW100" s="128">
        <f t="shared" si="212"/>
        <v>3000</v>
      </c>
      <c r="DX100" s="128">
        <f t="shared" si="93"/>
        <v>120655.42595228851</v>
      </c>
      <c r="DY100" s="128">
        <f t="shared" si="94"/>
        <v>0</v>
      </c>
      <c r="DZ100" s="130">
        <f t="shared" si="213"/>
        <v>4.2500000000000003E-2</v>
      </c>
      <c r="EA100" s="128">
        <f t="shared" si="214"/>
        <v>0</v>
      </c>
      <c r="EB100" s="128">
        <f t="shared" si="215"/>
        <v>120655.42595228851</v>
      </c>
    </row>
    <row r="101" spans="1:132">
      <c r="A101" s="224"/>
      <c r="B101" s="188">
        <f t="shared" si="216"/>
        <v>57</v>
      </c>
      <c r="C101" s="128">
        <f t="shared" si="217"/>
        <v>119340.33756466025</v>
      </c>
      <c r="D101" s="128">
        <f t="shared" si="218"/>
        <v>118700.69217851057</v>
      </c>
      <c r="E101" s="128">
        <f t="shared" si="219"/>
        <v>118564.10598752004</v>
      </c>
      <c r="F101" s="128">
        <f t="shared" si="220"/>
        <v>117048.27073180936</v>
      </c>
      <c r="G101" s="128">
        <f t="shared" si="221"/>
        <v>118568.20769276726</v>
      </c>
      <c r="H101" s="128">
        <f t="shared" si="222"/>
        <v>118991.85084544617</v>
      </c>
      <c r="I101" s="128">
        <f t="shared" si="223"/>
        <v>120655.42595228851</v>
      </c>
      <c r="J101" s="128">
        <f t="shared" si="224"/>
        <v>117737.17813445862</v>
      </c>
      <c r="K101" s="128">
        <f t="shared" si="225"/>
        <v>114024.50635317758</v>
      </c>
      <c r="M101" s="36"/>
      <c r="N101" s="32">
        <f t="shared" si="226"/>
        <v>57</v>
      </c>
      <c r="O101" s="25">
        <f t="shared" si="109"/>
        <v>0.19340337564660248</v>
      </c>
      <c r="P101" s="25">
        <f t="shared" si="110"/>
        <v>0.18700692178510558</v>
      </c>
      <c r="Q101" s="25">
        <f t="shared" si="111"/>
        <v>0.18564105987520052</v>
      </c>
      <c r="R101" s="25">
        <f t="shared" si="161"/>
        <v>0.17048270731809367</v>
      </c>
      <c r="S101" s="25">
        <f t="shared" si="162"/>
        <v>0.18568207692767258</v>
      </c>
      <c r="T101" s="25">
        <f t="shared" si="163"/>
        <v>0.18991850845446168</v>
      </c>
      <c r="U101" s="25">
        <f t="shared" si="164"/>
        <v>0.20655425952288509</v>
      </c>
      <c r="V101" s="25">
        <f t="shared" si="165"/>
        <v>0.17737178134458609</v>
      </c>
      <c r="W101" s="25">
        <f t="shared" si="166"/>
        <v>0.14024506353177579</v>
      </c>
      <c r="X101" s="36"/>
      <c r="Y101" s="36"/>
      <c r="AA101" s="124">
        <f t="shared" si="113"/>
        <v>58</v>
      </c>
      <c r="AB101" s="128">
        <f t="shared" si="167"/>
        <v>114285.09125179735</v>
      </c>
      <c r="AC101" s="124">
        <f t="shared" si="114"/>
        <v>58</v>
      </c>
      <c r="AD101" s="130">
        <f t="shared" si="227"/>
        <v>4.2500000000000003E-2</v>
      </c>
      <c r="AE101" s="127">
        <f t="shared" si="228"/>
        <v>1167</v>
      </c>
      <c r="AF101" s="128">
        <f t="shared" si="229"/>
        <v>116587.3</v>
      </c>
      <c r="AG101" s="128">
        <f t="shared" si="140"/>
        <v>116700</v>
      </c>
      <c r="AH101" s="128">
        <f t="shared" si="118"/>
        <v>116700</v>
      </c>
      <c r="AI101" s="130">
        <f t="shared" si="168"/>
        <v>4.2500000000000003E-2</v>
      </c>
      <c r="AJ101" s="128">
        <f t="shared" si="169"/>
        <v>117113.31250000001</v>
      </c>
      <c r="AK101" s="128" t="str">
        <f t="shared" si="170"/>
        <v>nie</v>
      </c>
      <c r="AL101" s="128">
        <f t="shared" si="171"/>
        <v>583.5</v>
      </c>
      <c r="AM101" s="128">
        <f t="shared" si="150"/>
        <v>116562.14812500001</v>
      </c>
      <c r="AN101" s="128">
        <f t="shared" si="172"/>
        <v>334.78312500001181</v>
      </c>
      <c r="AO101" s="130">
        <f t="shared" si="173"/>
        <v>4.2500000000000003E-2</v>
      </c>
      <c r="AP101" s="128">
        <f t="shared" si="174"/>
        <v>3456.6860297051398</v>
      </c>
      <c r="AQ101" s="128">
        <f t="shared" si="156"/>
        <v>119684.05102970514</v>
      </c>
      <c r="AS101" s="124">
        <f t="shared" si="119"/>
        <v>58</v>
      </c>
      <c r="AT101" s="130">
        <f t="shared" si="120"/>
        <v>4.2500000000000003E-2</v>
      </c>
      <c r="AU101" s="127">
        <f t="shared" si="230"/>
        <v>1162</v>
      </c>
      <c r="AV101" s="128">
        <f t="shared" si="231"/>
        <v>116091.90000000001</v>
      </c>
      <c r="AW101" s="128">
        <f t="shared" si="151"/>
        <v>116200</v>
      </c>
      <c r="AX101" s="128">
        <f t="shared" si="123"/>
        <v>116200</v>
      </c>
      <c r="AY101" s="130">
        <f t="shared" si="175"/>
        <v>4.4000000000000004E-2</v>
      </c>
      <c r="AZ101" s="128">
        <f t="shared" si="176"/>
        <v>116626.06666666667</v>
      </c>
      <c r="BA101" s="128" t="str">
        <f t="shared" si="177"/>
        <v>nie</v>
      </c>
      <c r="BB101" s="128">
        <f t="shared" si="178"/>
        <v>813.4</v>
      </c>
      <c r="BC101" s="128">
        <f t="shared" si="158"/>
        <v>115886.26000000001</v>
      </c>
      <c r="BD101" s="128">
        <f t="shared" si="179"/>
        <v>345.11399999999924</v>
      </c>
      <c r="BE101" s="130">
        <f t="shared" si="51"/>
        <v>4.2500000000000003E-2</v>
      </c>
      <c r="BF101" s="128">
        <f t="shared" si="180"/>
        <v>3513.7241266101528</v>
      </c>
      <c r="BG101" s="128">
        <f t="shared" si="159"/>
        <v>119054.87012661016</v>
      </c>
      <c r="BI101" s="124">
        <f t="shared" si="124"/>
        <v>58</v>
      </c>
      <c r="BJ101" s="130">
        <f t="shared" si="242"/>
        <v>4.1300000000000003E-2</v>
      </c>
      <c r="BK101" s="127">
        <f t="shared" si="232"/>
        <v>1119</v>
      </c>
      <c r="BL101" s="128">
        <f t="shared" si="233"/>
        <v>111788.1</v>
      </c>
      <c r="BM101" s="128">
        <f t="shared" si="142"/>
        <v>111900</v>
      </c>
      <c r="BN101" s="128">
        <f t="shared" si="234"/>
        <v>117103.34999999999</v>
      </c>
      <c r="BO101" s="130">
        <f t="shared" si="181"/>
        <v>4.65E-2</v>
      </c>
      <c r="BP101" s="128">
        <f t="shared" si="182"/>
        <v>121641.10481249999</v>
      </c>
      <c r="BQ101" s="128" t="str">
        <f t="shared" si="183"/>
        <v>nie</v>
      </c>
      <c r="BR101" s="128">
        <f t="shared" si="184"/>
        <v>1119</v>
      </c>
      <c r="BS101" s="128">
        <f t="shared" si="153"/>
        <v>118883.90489812499</v>
      </c>
      <c r="BT101" s="128">
        <f t="shared" si="128"/>
        <v>0</v>
      </c>
      <c r="BU101" s="130">
        <f t="shared" si="185"/>
        <v>4.2500000000000003E-2</v>
      </c>
      <c r="BV101" s="128">
        <f t="shared" si="60"/>
        <v>47.89623849634534</v>
      </c>
      <c r="BW101" s="128">
        <f t="shared" si="243"/>
        <v>118931.80113662135</v>
      </c>
      <c r="BY101" s="130">
        <f t="shared" si="244"/>
        <v>2.8000000000000001E-2</v>
      </c>
      <c r="BZ101" s="127">
        <f t="shared" si="235"/>
        <v>1154</v>
      </c>
      <c r="CA101" s="128">
        <f t="shared" si="236"/>
        <v>115296.5</v>
      </c>
      <c r="CB101" s="128">
        <f t="shared" si="154"/>
        <v>115400</v>
      </c>
      <c r="CC101" s="128">
        <f t="shared" si="131"/>
        <v>115400</v>
      </c>
      <c r="CD101" s="130">
        <f t="shared" si="186"/>
        <v>0.05</v>
      </c>
      <c r="CE101" s="128">
        <f t="shared" si="187"/>
        <v>120208.33333333334</v>
      </c>
      <c r="CF101" s="128" t="str">
        <f t="shared" si="188"/>
        <v>nie</v>
      </c>
      <c r="CG101" s="128">
        <f t="shared" si="189"/>
        <v>2308</v>
      </c>
      <c r="CH101" s="128">
        <f t="shared" si="160"/>
        <v>117425.27</v>
      </c>
      <c r="CI101" s="128">
        <f t="shared" si="190"/>
        <v>0</v>
      </c>
      <c r="CJ101" s="130">
        <f t="shared" si="68"/>
        <v>4.2500000000000003E-2</v>
      </c>
      <c r="CK101" s="128">
        <f t="shared" si="191"/>
        <v>12.511521564971844</v>
      </c>
      <c r="CL101" s="128">
        <f t="shared" si="192"/>
        <v>117437.78152156498</v>
      </c>
      <c r="CN101" s="127">
        <f t="shared" si="237"/>
        <v>1000</v>
      </c>
      <c r="CO101" s="128">
        <f t="shared" si="238"/>
        <v>100000</v>
      </c>
      <c r="CP101" s="128">
        <f t="shared" si="134"/>
        <v>100000</v>
      </c>
      <c r="CQ101" s="128">
        <f t="shared" si="239"/>
        <v>121547.98571520002</v>
      </c>
      <c r="CR101" s="130">
        <f t="shared" si="193"/>
        <v>4.8000000000000001E-2</v>
      </c>
      <c r="CS101" s="128">
        <f t="shared" si="194"/>
        <v>126409.90514380802</v>
      </c>
      <c r="CT101" s="128" t="str">
        <f t="shared" si="195"/>
        <v>nie</v>
      </c>
      <c r="CU101" s="128">
        <f t="shared" si="196"/>
        <v>3000</v>
      </c>
      <c r="CV101" s="128">
        <f t="shared" si="197"/>
        <v>118962.02316648449</v>
      </c>
      <c r="CW101" s="128">
        <f t="shared" si="76"/>
        <v>0</v>
      </c>
      <c r="CX101" s="130">
        <f t="shared" si="198"/>
        <v>4.2500000000000003E-2</v>
      </c>
      <c r="CY101" s="128">
        <f t="shared" si="199"/>
        <v>0</v>
      </c>
      <c r="CZ101" s="128">
        <f t="shared" si="200"/>
        <v>118962.02316648449</v>
      </c>
      <c r="DA101" s="20"/>
      <c r="DB101" s="127">
        <f t="shared" si="144"/>
        <v>1000</v>
      </c>
      <c r="DC101" s="128">
        <f t="shared" si="145"/>
        <v>100000</v>
      </c>
      <c r="DD101" s="128">
        <f t="shared" si="136"/>
        <v>100000</v>
      </c>
      <c r="DE101" s="128">
        <f t="shared" si="240"/>
        <v>121087.57667840002</v>
      </c>
      <c r="DF101" s="130">
        <f t="shared" si="201"/>
        <v>4.8000000000000001E-2</v>
      </c>
      <c r="DG101" s="128">
        <f t="shared" si="202"/>
        <v>125931.07974553602</v>
      </c>
      <c r="DH101" s="128" t="str">
        <f t="shared" si="203"/>
        <v>nie</v>
      </c>
      <c r="DI101" s="128">
        <f t="shared" si="204"/>
        <v>2000</v>
      </c>
      <c r="DJ101" s="128">
        <f t="shared" si="205"/>
        <v>119384.17459388418</v>
      </c>
      <c r="DK101" s="128">
        <f t="shared" si="85"/>
        <v>0</v>
      </c>
      <c r="DL101" s="130">
        <f t="shared" si="206"/>
        <v>4.2500000000000003E-2</v>
      </c>
      <c r="DM101" s="128">
        <f t="shared" si="207"/>
        <v>0</v>
      </c>
      <c r="DN101" s="128">
        <f t="shared" si="208"/>
        <v>119384.17459388418</v>
      </c>
      <c r="DP101" s="127">
        <f t="shared" si="146"/>
        <v>1000</v>
      </c>
      <c r="DQ101" s="128">
        <f t="shared" si="147"/>
        <v>100000</v>
      </c>
      <c r="DR101" s="128">
        <f t="shared" si="138"/>
        <v>100000</v>
      </c>
      <c r="DS101" s="128">
        <f t="shared" si="241"/>
        <v>123587.90658044997</v>
      </c>
      <c r="DT101" s="130">
        <f t="shared" si="209"/>
        <v>5.3000000000000005E-2</v>
      </c>
      <c r="DU101" s="128">
        <f t="shared" si="210"/>
        <v>129046.37245441985</v>
      </c>
      <c r="DV101" s="128" t="str">
        <f t="shared" si="211"/>
        <v>nie</v>
      </c>
      <c r="DW101" s="128">
        <f t="shared" si="212"/>
        <v>3000</v>
      </c>
      <c r="DX101" s="128">
        <f t="shared" si="93"/>
        <v>121097.56168808008</v>
      </c>
      <c r="DY101" s="128">
        <f t="shared" si="94"/>
        <v>0</v>
      </c>
      <c r="DZ101" s="130">
        <f t="shared" si="213"/>
        <v>4.2500000000000003E-2</v>
      </c>
      <c r="EA101" s="128">
        <f t="shared" si="214"/>
        <v>0</v>
      </c>
      <c r="EB101" s="128">
        <f t="shared" si="215"/>
        <v>121097.56168808008</v>
      </c>
    </row>
    <row r="102" spans="1:132">
      <c r="A102" s="224"/>
      <c r="B102" s="188">
        <f t="shared" si="216"/>
        <v>58</v>
      </c>
      <c r="C102" s="128">
        <f t="shared" si="217"/>
        <v>119684.05102970514</v>
      </c>
      <c r="D102" s="128">
        <f t="shared" si="218"/>
        <v>119054.87012661016</v>
      </c>
      <c r="E102" s="128">
        <f t="shared" si="219"/>
        <v>118931.80113662135</v>
      </c>
      <c r="F102" s="128">
        <f t="shared" si="220"/>
        <v>117437.78152156498</v>
      </c>
      <c r="G102" s="128">
        <f t="shared" si="221"/>
        <v>118962.02316648449</v>
      </c>
      <c r="H102" s="128">
        <f t="shared" si="222"/>
        <v>119384.17459388418</v>
      </c>
      <c r="I102" s="128">
        <f t="shared" si="223"/>
        <v>121097.56168808008</v>
      </c>
      <c r="J102" s="128">
        <f t="shared" si="224"/>
        <v>118074.93666423185</v>
      </c>
      <c r="K102" s="128">
        <f t="shared" si="225"/>
        <v>114285.09125179735</v>
      </c>
      <c r="M102" s="36"/>
      <c r="N102" s="32">
        <f t="shared" si="226"/>
        <v>58</v>
      </c>
      <c r="O102" s="25">
        <f t="shared" si="109"/>
        <v>0.19684051029705141</v>
      </c>
      <c r="P102" s="25">
        <f t="shared" si="110"/>
        <v>0.19054870126610157</v>
      </c>
      <c r="Q102" s="25">
        <f t="shared" si="111"/>
        <v>0.1893180113662134</v>
      </c>
      <c r="R102" s="25">
        <f t="shared" si="161"/>
        <v>0.17437781521564966</v>
      </c>
      <c r="S102" s="25">
        <f t="shared" si="162"/>
        <v>0.18962023166484498</v>
      </c>
      <c r="T102" s="25">
        <f t="shared" si="163"/>
        <v>0.19384174593884174</v>
      </c>
      <c r="U102" s="25">
        <f t="shared" si="164"/>
        <v>0.2109756168808008</v>
      </c>
      <c r="V102" s="25">
        <f t="shared" si="165"/>
        <v>0.18074936664231855</v>
      </c>
      <c r="W102" s="25">
        <f t="shared" si="166"/>
        <v>0.14285091251797355</v>
      </c>
      <c r="X102" s="36"/>
      <c r="Y102" s="36"/>
      <c r="AA102" s="124">
        <f t="shared" si="113"/>
        <v>59</v>
      </c>
      <c r="AB102" s="128">
        <f t="shared" si="167"/>
        <v>114545.67615041707</v>
      </c>
      <c r="AC102" s="124">
        <f t="shared" si="114"/>
        <v>59</v>
      </c>
      <c r="AD102" s="130">
        <f t="shared" si="227"/>
        <v>4.2500000000000003E-2</v>
      </c>
      <c r="AE102" s="127">
        <f t="shared" si="228"/>
        <v>1167</v>
      </c>
      <c r="AF102" s="128">
        <f t="shared" si="229"/>
        <v>116587.3</v>
      </c>
      <c r="AG102" s="128">
        <f t="shared" si="140"/>
        <v>116700</v>
      </c>
      <c r="AH102" s="128">
        <f t="shared" si="118"/>
        <v>116700</v>
      </c>
      <c r="AI102" s="130">
        <f t="shared" si="168"/>
        <v>4.2500000000000003E-2</v>
      </c>
      <c r="AJ102" s="128">
        <f t="shared" si="169"/>
        <v>117113.31250000001</v>
      </c>
      <c r="AK102" s="128" t="str">
        <f t="shared" si="170"/>
        <v>nie</v>
      </c>
      <c r="AL102" s="128">
        <f t="shared" si="171"/>
        <v>583.5</v>
      </c>
      <c r="AM102" s="128">
        <f t="shared" si="150"/>
        <v>116562.14812500001</v>
      </c>
      <c r="AN102" s="128">
        <f t="shared" si="172"/>
        <v>334.78312500001181</v>
      </c>
      <c r="AO102" s="130">
        <f t="shared" si="173"/>
        <v>4.2500000000000003E-2</v>
      </c>
      <c r="AP102" s="128">
        <f t="shared" si="174"/>
        <v>3801.3855227528679</v>
      </c>
      <c r="AQ102" s="128">
        <f t="shared" si="156"/>
        <v>120028.75052275286</v>
      </c>
      <c r="AS102" s="124">
        <f t="shared" si="119"/>
        <v>59</v>
      </c>
      <c r="AT102" s="130">
        <f t="shared" si="120"/>
        <v>4.2500000000000003E-2</v>
      </c>
      <c r="AU102" s="127">
        <f t="shared" si="230"/>
        <v>1162</v>
      </c>
      <c r="AV102" s="128">
        <f t="shared" si="231"/>
        <v>116091.90000000001</v>
      </c>
      <c r="AW102" s="128">
        <f t="shared" si="151"/>
        <v>116200</v>
      </c>
      <c r="AX102" s="128">
        <f t="shared" si="123"/>
        <v>116200</v>
      </c>
      <c r="AY102" s="130">
        <f t="shared" si="175"/>
        <v>4.4000000000000004E-2</v>
      </c>
      <c r="AZ102" s="128">
        <f t="shared" si="176"/>
        <v>116626.06666666667</v>
      </c>
      <c r="BA102" s="128" t="str">
        <f t="shared" si="177"/>
        <v>nie</v>
      </c>
      <c r="BB102" s="128">
        <f t="shared" si="178"/>
        <v>813.4</v>
      </c>
      <c r="BC102" s="128">
        <f t="shared" si="158"/>
        <v>115886.26000000001</v>
      </c>
      <c r="BD102" s="128">
        <f t="shared" si="179"/>
        <v>345.11399999999924</v>
      </c>
      <c r="BE102" s="130">
        <f t="shared" si="51"/>
        <v>4.2500000000000003E-2</v>
      </c>
      <c r="BF102" s="128">
        <f t="shared" si="180"/>
        <v>3868.9181226983646</v>
      </c>
      <c r="BG102" s="128">
        <f t="shared" si="159"/>
        <v>119410.06412269837</v>
      </c>
      <c r="BI102" s="124">
        <f t="shared" si="124"/>
        <v>59</v>
      </c>
      <c r="BJ102" s="130">
        <f t="shared" si="242"/>
        <v>4.1300000000000003E-2</v>
      </c>
      <c r="BK102" s="127">
        <f t="shared" si="232"/>
        <v>1119</v>
      </c>
      <c r="BL102" s="128">
        <f t="shared" si="233"/>
        <v>111788.1</v>
      </c>
      <c r="BM102" s="128">
        <f t="shared" si="142"/>
        <v>111900</v>
      </c>
      <c r="BN102" s="128">
        <f t="shared" si="234"/>
        <v>117103.34999999999</v>
      </c>
      <c r="BO102" s="130">
        <f t="shared" si="181"/>
        <v>4.65E-2</v>
      </c>
      <c r="BP102" s="128">
        <f t="shared" si="182"/>
        <v>122094.88029374999</v>
      </c>
      <c r="BQ102" s="128" t="str">
        <f t="shared" si="183"/>
        <v>nie</v>
      </c>
      <c r="BR102" s="128">
        <f t="shared" si="184"/>
        <v>1119</v>
      </c>
      <c r="BS102" s="128">
        <f t="shared" si="153"/>
        <v>119251.46303793749</v>
      </c>
      <c r="BT102" s="128">
        <f t="shared" si="128"/>
        <v>0</v>
      </c>
      <c r="BU102" s="130">
        <f t="shared" si="185"/>
        <v>4.2500000000000003E-2</v>
      </c>
      <c r="BV102" s="128">
        <f t="shared" si="60"/>
        <v>48.033640830531731</v>
      </c>
      <c r="BW102" s="128">
        <f t="shared" si="243"/>
        <v>119299.49667876802</v>
      </c>
      <c r="BY102" s="130">
        <f t="shared" si="244"/>
        <v>2.8000000000000001E-2</v>
      </c>
      <c r="BZ102" s="127">
        <f t="shared" si="235"/>
        <v>1154</v>
      </c>
      <c r="CA102" s="128">
        <f t="shared" si="236"/>
        <v>115296.5</v>
      </c>
      <c r="CB102" s="128">
        <f t="shared" si="154"/>
        <v>115400</v>
      </c>
      <c r="CC102" s="128">
        <f t="shared" si="131"/>
        <v>115400</v>
      </c>
      <c r="CD102" s="130">
        <f t="shared" si="186"/>
        <v>0.05</v>
      </c>
      <c r="CE102" s="128">
        <f t="shared" si="187"/>
        <v>120689.16666666667</v>
      </c>
      <c r="CF102" s="128" t="str">
        <f t="shared" si="188"/>
        <v>nie</v>
      </c>
      <c r="CG102" s="128">
        <f t="shared" si="189"/>
        <v>2308</v>
      </c>
      <c r="CH102" s="128">
        <f t="shared" si="160"/>
        <v>117814.74500000001</v>
      </c>
      <c r="CI102" s="128">
        <f t="shared" si="190"/>
        <v>0</v>
      </c>
      <c r="CJ102" s="130">
        <f t="shared" si="68"/>
        <v>4.2500000000000003E-2</v>
      </c>
      <c r="CK102" s="128">
        <f t="shared" si="191"/>
        <v>12.547413992461356</v>
      </c>
      <c r="CL102" s="128">
        <f t="shared" si="192"/>
        <v>117827.29241399247</v>
      </c>
      <c r="CN102" s="127">
        <f t="shared" si="237"/>
        <v>1000</v>
      </c>
      <c r="CO102" s="128">
        <f t="shared" si="238"/>
        <v>100000</v>
      </c>
      <c r="CP102" s="128">
        <f t="shared" si="134"/>
        <v>100000</v>
      </c>
      <c r="CQ102" s="128">
        <f t="shared" si="239"/>
        <v>121547.98571520002</v>
      </c>
      <c r="CR102" s="130">
        <f t="shared" si="193"/>
        <v>4.8000000000000001E-2</v>
      </c>
      <c r="CS102" s="128">
        <f t="shared" si="194"/>
        <v>126896.09708666883</v>
      </c>
      <c r="CT102" s="128" t="str">
        <f t="shared" si="195"/>
        <v>nie</v>
      </c>
      <c r="CU102" s="128">
        <f t="shared" si="196"/>
        <v>3000</v>
      </c>
      <c r="CV102" s="128">
        <f t="shared" si="197"/>
        <v>119355.83864020175</v>
      </c>
      <c r="CW102" s="128">
        <f t="shared" si="76"/>
        <v>0</v>
      </c>
      <c r="CX102" s="130">
        <f t="shared" si="198"/>
        <v>4.2500000000000003E-2</v>
      </c>
      <c r="CY102" s="128">
        <f t="shared" si="199"/>
        <v>0</v>
      </c>
      <c r="CZ102" s="128">
        <f t="shared" si="200"/>
        <v>119355.83864020175</v>
      </c>
      <c r="DA102" s="20"/>
      <c r="DB102" s="127">
        <f t="shared" si="144"/>
        <v>1000</v>
      </c>
      <c r="DC102" s="128">
        <f t="shared" si="145"/>
        <v>100000</v>
      </c>
      <c r="DD102" s="128">
        <f t="shared" si="136"/>
        <v>100000</v>
      </c>
      <c r="DE102" s="128">
        <f t="shared" si="240"/>
        <v>121087.57667840002</v>
      </c>
      <c r="DF102" s="130">
        <f t="shared" si="201"/>
        <v>4.8000000000000001E-2</v>
      </c>
      <c r="DG102" s="128">
        <f t="shared" si="202"/>
        <v>126415.43005224962</v>
      </c>
      <c r="DH102" s="128" t="str">
        <f t="shared" si="203"/>
        <v>nie</v>
      </c>
      <c r="DI102" s="128">
        <f t="shared" si="204"/>
        <v>2000</v>
      </c>
      <c r="DJ102" s="128">
        <f t="shared" si="205"/>
        <v>119776.49834232219</v>
      </c>
      <c r="DK102" s="128">
        <f t="shared" si="85"/>
        <v>0</v>
      </c>
      <c r="DL102" s="130">
        <f t="shared" si="206"/>
        <v>4.2500000000000003E-2</v>
      </c>
      <c r="DM102" s="128">
        <f t="shared" si="207"/>
        <v>0</v>
      </c>
      <c r="DN102" s="128">
        <f t="shared" si="208"/>
        <v>119776.49834232219</v>
      </c>
      <c r="DP102" s="127">
        <f t="shared" si="146"/>
        <v>1000</v>
      </c>
      <c r="DQ102" s="128">
        <f t="shared" si="147"/>
        <v>100000</v>
      </c>
      <c r="DR102" s="128">
        <f t="shared" si="138"/>
        <v>100000</v>
      </c>
      <c r="DS102" s="128">
        <f t="shared" si="241"/>
        <v>123587.90658044997</v>
      </c>
      <c r="DT102" s="130">
        <f t="shared" si="209"/>
        <v>5.3000000000000005E-2</v>
      </c>
      <c r="DU102" s="128">
        <f t="shared" si="210"/>
        <v>129592.21904181685</v>
      </c>
      <c r="DV102" s="128" t="str">
        <f t="shared" si="211"/>
        <v>nie</v>
      </c>
      <c r="DW102" s="128">
        <f t="shared" si="212"/>
        <v>3000</v>
      </c>
      <c r="DX102" s="128">
        <f t="shared" si="93"/>
        <v>121539.69742387165</v>
      </c>
      <c r="DY102" s="128">
        <f t="shared" si="94"/>
        <v>0</v>
      </c>
      <c r="DZ102" s="130">
        <f t="shared" si="213"/>
        <v>4.2500000000000003E-2</v>
      </c>
      <c r="EA102" s="128">
        <f t="shared" si="214"/>
        <v>0</v>
      </c>
      <c r="EB102" s="128">
        <f t="shared" si="215"/>
        <v>121539.69742387165</v>
      </c>
    </row>
    <row r="103" spans="1:132" ht="14.25" customHeight="1">
      <c r="A103" s="224"/>
      <c r="B103" s="188">
        <f t="shared" si="216"/>
        <v>59</v>
      </c>
      <c r="C103" s="128">
        <f t="shared" si="217"/>
        <v>120028.75052275286</v>
      </c>
      <c r="D103" s="128">
        <f t="shared" si="218"/>
        <v>119410.06412269837</v>
      </c>
      <c r="E103" s="128">
        <f t="shared" si="219"/>
        <v>119299.49667876802</v>
      </c>
      <c r="F103" s="128">
        <f t="shared" si="220"/>
        <v>117827.29241399247</v>
      </c>
      <c r="G103" s="128">
        <f t="shared" si="221"/>
        <v>119355.83864020175</v>
      </c>
      <c r="H103" s="128">
        <f t="shared" si="222"/>
        <v>119776.49834232219</v>
      </c>
      <c r="I103" s="128">
        <f t="shared" si="223"/>
        <v>121539.69742387165</v>
      </c>
      <c r="J103" s="128">
        <f t="shared" si="224"/>
        <v>118413.66413878737</v>
      </c>
      <c r="K103" s="128">
        <f t="shared" si="225"/>
        <v>114545.67615041707</v>
      </c>
      <c r="M103" s="36"/>
      <c r="N103" s="32">
        <f t="shared" si="226"/>
        <v>59</v>
      </c>
      <c r="O103" s="25">
        <f t="shared" si="109"/>
        <v>0.20028750522752858</v>
      </c>
      <c r="P103" s="25">
        <f t="shared" si="110"/>
        <v>0.19410064122698367</v>
      </c>
      <c r="Q103" s="25">
        <f t="shared" si="111"/>
        <v>0.19299496678768024</v>
      </c>
      <c r="R103" s="25">
        <f t="shared" si="161"/>
        <v>0.17827292413992479</v>
      </c>
      <c r="S103" s="25">
        <f t="shared" si="162"/>
        <v>0.19355838640201739</v>
      </c>
      <c r="T103" s="25">
        <f t="shared" si="163"/>
        <v>0.1977649834232218</v>
      </c>
      <c r="U103" s="25">
        <f t="shared" si="164"/>
        <v>0.21539697423871651</v>
      </c>
      <c r="V103" s="25">
        <f t="shared" si="165"/>
        <v>0.18413664138787378</v>
      </c>
      <c r="W103" s="25">
        <f t="shared" si="166"/>
        <v>0.14545676150417064</v>
      </c>
      <c r="X103" s="36"/>
      <c r="Y103" s="36"/>
      <c r="AA103" s="124">
        <f t="shared" si="113"/>
        <v>60</v>
      </c>
      <c r="AB103" s="128">
        <f t="shared" si="167"/>
        <v>114806.2610490368</v>
      </c>
      <c r="AC103" s="124">
        <f t="shared" si="114"/>
        <v>60</v>
      </c>
      <c r="AD103" s="130">
        <f t="shared" si="227"/>
        <v>4.2500000000000003E-2</v>
      </c>
      <c r="AE103" s="127">
        <f t="shared" si="228"/>
        <v>1167</v>
      </c>
      <c r="AF103" s="128">
        <f t="shared" si="229"/>
        <v>116587.3</v>
      </c>
      <c r="AG103" s="128">
        <f t="shared" si="140"/>
        <v>116700</v>
      </c>
      <c r="AH103" s="128">
        <f t="shared" si="118"/>
        <v>116700</v>
      </c>
      <c r="AI103" s="130">
        <f t="shared" si="168"/>
        <v>4.2500000000000003E-2</v>
      </c>
      <c r="AJ103" s="128">
        <f t="shared" si="169"/>
        <v>117113.31250000001</v>
      </c>
      <c r="AK103" s="128" t="str">
        <f t="shared" si="170"/>
        <v>tak</v>
      </c>
      <c r="AL103" s="128">
        <f t="shared" si="171"/>
        <v>0</v>
      </c>
      <c r="AM103" s="128">
        <f t="shared" si="150"/>
        <v>117034.78312500002</v>
      </c>
      <c r="AN103" s="128">
        <f t="shared" si="172"/>
        <v>451.98312500000515</v>
      </c>
      <c r="AO103" s="130">
        <f t="shared" si="173"/>
        <v>4.2500000000000003E-2</v>
      </c>
      <c r="AP103" s="128">
        <f t="shared" si="174"/>
        <v>4264.2738724712699</v>
      </c>
      <c r="AQ103" s="128">
        <f t="shared" si="156"/>
        <v>120847.07387247129</v>
      </c>
      <c r="AS103" s="124">
        <f t="shared" si="119"/>
        <v>60</v>
      </c>
      <c r="AT103" s="130">
        <f t="shared" si="120"/>
        <v>4.2500000000000003E-2</v>
      </c>
      <c r="AU103" s="127">
        <f t="shared" si="230"/>
        <v>1162</v>
      </c>
      <c r="AV103" s="128">
        <f t="shared" si="231"/>
        <v>116091.90000000001</v>
      </c>
      <c r="AW103" s="128">
        <f t="shared" si="151"/>
        <v>116200</v>
      </c>
      <c r="AX103" s="128">
        <f t="shared" si="123"/>
        <v>116200</v>
      </c>
      <c r="AY103" s="130">
        <f t="shared" si="175"/>
        <v>4.4000000000000004E-2</v>
      </c>
      <c r="AZ103" s="128">
        <f t="shared" si="176"/>
        <v>116626.06666666667</v>
      </c>
      <c r="BA103" s="128" t="str">
        <f t="shared" si="177"/>
        <v>nie</v>
      </c>
      <c r="BB103" s="128">
        <f t="shared" si="178"/>
        <v>813.4</v>
      </c>
      <c r="BC103" s="128">
        <f t="shared" si="158"/>
        <v>115886.26000000001</v>
      </c>
      <c r="BD103" s="128">
        <f t="shared" si="179"/>
        <v>345.11399999999924</v>
      </c>
      <c r="BE103" s="130">
        <f t="shared" si="51"/>
        <v>4.2500000000000003E-2</v>
      </c>
      <c r="BF103" s="128">
        <f t="shared" si="180"/>
        <v>4225.1310815628549</v>
      </c>
      <c r="BG103" s="128">
        <f t="shared" si="159"/>
        <v>119766.27708156286</v>
      </c>
      <c r="BI103" s="124">
        <f t="shared" si="124"/>
        <v>60</v>
      </c>
      <c r="BJ103" s="130">
        <f t="shared" si="242"/>
        <v>4.1300000000000003E-2</v>
      </c>
      <c r="BK103" s="127">
        <f t="shared" si="232"/>
        <v>1119</v>
      </c>
      <c r="BL103" s="128">
        <f t="shared" si="233"/>
        <v>111788.1</v>
      </c>
      <c r="BM103" s="128">
        <f t="shared" si="142"/>
        <v>111900</v>
      </c>
      <c r="BN103" s="128">
        <f t="shared" si="234"/>
        <v>117103.34999999999</v>
      </c>
      <c r="BO103" s="130">
        <f t="shared" si="181"/>
        <v>4.65E-2</v>
      </c>
      <c r="BP103" s="128">
        <f t="shared" si="182"/>
        <v>122548.65577499999</v>
      </c>
      <c r="BQ103" s="128" t="str">
        <f t="shared" si="183"/>
        <v>nie</v>
      </c>
      <c r="BR103" s="128">
        <f t="shared" si="184"/>
        <v>1119</v>
      </c>
      <c r="BS103" s="128">
        <f t="shared" si="153"/>
        <v>119619.02117774999</v>
      </c>
      <c r="BT103" s="128">
        <f t="shared" si="128"/>
        <v>0</v>
      </c>
      <c r="BU103" s="130">
        <f t="shared" si="185"/>
        <v>4.2500000000000003E-2</v>
      </c>
      <c r="BV103" s="128">
        <f t="shared" si="60"/>
        <v>48.171437337664315</v>
      </c>
      <c r="BW103" s="128">
        <f t="shared" si="243"/>
        <v>119667.19261508765</v>
      </c>
      <c r="BY103" s="130">
        <f t="shared" si="244"/>
        <v>2.8000000000000001E-2</v>
      </c>
      <c r="BZ103" s="127">
        <f t="shared" si="235"/>
        <v>1154</v>
      </c>
      <c r="CA103" s="128">
        <f t="shared" si="236"/>
        <v>115296.5</v>
      </c>
      <c r="CB103" s="128">
        <f t="shared" si="154"/>
        <v>115400</v>
      </c>
      <c r="CC103" s="128">
        <f t="shared" si="131"/>
        <v>115400</v>
      </c>
      <c r="CD103" s="130">
        <f t="shared" si="186"/>
        <v>0.05</v>
      </c>
      <c r="CE103" s="128">
        <f t="shared" si="187"/>
        <v>121170</v>
      </c>
      <c r="CF103" s="128" t="str">
        <f t="shared" si="188"/>
        <v>nie</v>
      </c>
      <c r="CG103" s="128">
        <f t="shared" si="189"/>
        <v>2308</v>
      </c>
      <c r="CH103" s="128">
        <f t="shared" si="160"/>
        <v>118204.22</v>
      </c>
      <c r="CI103" s="128">
        <f t="shared" si="190"/>
        <v>4673.7000000000007</v>
      </c>
      <c r="CJ103" s="130">
        <f t="shared" si="68"/>
        <v>4.2500000000000003E-2</v>
      </c>
      <c r="CK103" s="128">
        <f t="shared" si="191"/>
        <v>4686.283409386353</v>
      </c>
      <c r="CL103" s="128">
        <f t="shared" si="192"/>
        <v>118216.80340938635</v>
      </c>
      <c r="CN103" s="127">
        <f t="shared" si="237"/>
        <v>1000</v>
      </c>
      <c r="CO103" s="128">
        <f t="shared" si="238"/>
        <v>100000</v>
      </c>
      <c r="CP103" s="128">
        <f t="shared" si="134"/>
        <v>100000</v>
      </c>
      <c r="CQ103" s="128">
        <f t="shared" si="239"/>
        <v>121547.98571520002</v>
      </c>
      <c r="CR103" s="130">
        <f t="shared" si="193"/>
        <v>4.8000000000000001E-2</v>
      </c>
      <c r="CS103" s="128">
        <f t="shared" si="194"/>
        <v>127382.28902952962</v>
      </c>
      <c r="CT103" s="128" t="str">
        <f t="shared" si="195"/>
        <v>nie</v>
      </c>
      <c r="CU103" s="128">
        <f t="shared" si="196"/>
        <v>3000</v>
      </c>
      <c r="CV103" s="128">
        <f t="shared" si="197"/>
        <v>119749.65411391899</v>
      </c>
      <c r="CW103" s="128">
        <f t="shared" si="76"/>
        <v>0</v>
      </c>
      <c r="CX103" s="130">
        <f t="shared" si="198"/>
        <v>4.2500000000000003E-2</v>
      </c>
      <c r="CY103" s="128">
        <f t="shared" si="199"/>
        <v>0</v>
      </c>
      <c r="CZ103" s="128">
        <f t="shared" si="200"/>
        <v>119749.65411391899</v>
      </c>
      <c r="DA103" s="20"/>
      <c r="DB103" s="127">
        <f t="shared" si="144"/>
        <v>1000</v>
      </c>
      <c r="DC103" s="128">
        <f t="shared" si="145"/>
        <v>100000</v>
      </c>
      <c r="DD103" s="128">
        <f t="shared" si="136"/>
        <v>100000</v>
      </c>
      <c r="DE103" s="128">
        <f t="shared" si="240"/>
        <v>121087.57667840002</v>
      </c>
      <c r="DF103" s="130">
        <f t="shared" si="201"/>
        <v>4.8000000000000001E-2</v>
      </c>
      <c r="DG103" s="128">
        <f t="shared" si="202"/>
        <v>126899.78035896322</v>
      </c>
      <c r="DH103" s="128" t="str">
        <f t="shared" si="203"/>
        <v>nie</v>
      </c>
      <c r="DI103" s="128">
        <f t="shared" si="204"/>
        <v>2000</v>
      </c>
      <c r="DJ103" s="128">
        <f t="shared" si="205"/>
        <v>120168.82209076021</v>
      </c>
      <c r="DK103" s="128">
        <f t="shared" si="85"/>
        <v>0</v>
      </c>
      <c r="DL103" s="130">
        <f t="shared" si="206"/>
        <v>4.2500000000000003E-2</v>
      </c>
      <c r="DM103" s="128">
        <f t="shared" si="207"/>
        <v>0</v>
      </c>
      <c r="DN103" s="128">
        <f t="shared" si="208"/>
        <v>120168.82209076021</v>
      </c>
      <c r="DP103" s="127">
        <f t="shared" si="146"/>
        <v>1000</v>
      </c>
      <c r="DQ103" s="128">
        <f t="shared" si="147"/>
        <v>100000</v>
      </c>
      <c r="DR103" s="128">
        <f t="shared" si="138"/>
        <v>100000</v>
      </c>
      <c r="DS103" s="128">
        <f t="shared" si="241"/>
        <v>123587.90658044997</v>
      </c>
      <c r="DT103" s="130">
        <f t="shared" si="209"/>
        <v>5.3000000000000005E-2</v>
      </c>
      <c r="DU103" s="128">
        <f t="shared" si="210"/>
        <v>130138.06562921382</v>
      </c>
      <c r="DV103" s="128" t="str">
        <f t="shared" si="211"/>
        <v>nie</v>
      </c>
      <c r="DW103" s="128">
        <f t="shared" si="212"/>
        <v>3000</v>
      </c>
      <c r="DX103" s="128">
        <f t="shared" si="93"/>
        <v>121981.83315966319</v>
      </c>
      <c r="DY103" s="128">
        <f t="shared" si="94"/>
        <v>0</v>
      </c>
      <c r="DZ103" s="130">
        <f t="shared" si="213"/>
        <v>4.2500000000000003E-2</v>
      </c>
      <c r="EA103" s="128">
        <f t="shared" si="214"/>
        <v>0</v>
      </c>
      <c r="EB103" s="128">
        <f t="shared" si="215"/>
        <v>121981.83315966319</v>
      </c>
    </row>
    <row r="104" spans="1:132">
      <c r="A104" s="224"/>
      <c r="B104" s="188">
        <f t="shared" si="216"/>
        <v>60</v>
      </c>
      <c r="C104" s="128">
        <f t="shared" si="217"/>
        <v>120847.07387247129</v>
      </c>
      <c r="D104" s="128">
        <f t="shared" si="218"/>
        <v>119766.27708156286</v>
      </c>
      <c r="E104" s="128">
        <f t="shared" si="219"/>
        <v>119667.19261508765</v>
      </c>
      <c r="F104" s="128">
        <f t="shared" si="220"/>
        <v>118216.80340938635</v>
      </c>
      <c r="G104" s="128">
        <f t="shared" si="221"/>
        <v>119749.65411391899</v>
      </c>
      <c r="H104" s="128">
        <f t="shared" si="222"/>
        <v>120168.82209076021</v>
      </c>
      <c r="I104" s="128">
        <f t="shared" si="223"/>
        <v>121981.83315966319</v>
      </c>
      <c r="J104" s="128">
        <f t="shared" si="224"/>
        <v>118753.36333778551</v>
      </c>
      <c r="K104" s="128">
        <f t="shared" si="225"/>
        <v>114806.2610490368</v>
      </c>
      <c r="M104" s="36"/>
      <c r="N104" s="32">
        <f t="shared" si="226"/>
        <v>60</v>
      </c>
      <c r="O104" s="25">
        <f t="shared" si="109"/>
        <v>0.20847073872471289</v>
      </c>
      <c r="P104" s="25">
        <f t="shared" si="110"/>
        <v>0.19766277081562866</v>
      </c>
      <c r="Q104" s="25">
        <f t="shared" si="111"/>
        <v>0.19667192615087647</v>
      </c>
      <c r="R104" s="25">
        <f t="shared" si="161"/>
        <v>0.18216803409386362</v>
      </c>
      <c r="S104" s="25">
        <f t="shared" si="162"/>
        <v>0.19749654113919002</v>
      </c>
      <c r="T104" s="25">
        <f t="shared" si="163"/>
        <v>0.20168822090760208</v>
      </c>
      <c r="U104" s="25">
        <f t="shared" si="164"/>
        <v>0.219818331596632</v>
      </c>
      <c r="V104" s="25">
        <f t="shared" si="165"/>
        <v>0.18753363337785522</v>
      </c>
      <c r="W104" s="25">
        <f t="shared" si="166"/>
        <v>0.14806261049036795</v>
      </c>
      <c r="X104" s="36"/>
      <c r="Y104" s="36"/>
      <c r="AA104" s="124">
        <f t="shared" si="113"/>
        <v>61</v>
      </c>
      <c r="AB104" s="128">
        <f t="shared" si="167"/>
        <v>115074.14232481788</v>
      </c>
      <c r="AC104" s="124">
        <f t="shared" si="114"/>
        <v>61</v>
      </c>
      <c r="AD104" s="130">
        <f t="shared" si="227"/>
        <v>4.2500000000000003E-2</v>
      </c>
      <c r="AE104" s="127">
        <f t="shared" si="228"/>
        <v>1213</v>
      </c>
      <c r="AF104" s="128">
        <f t="shared" si="229"/>
        <v>121182.90000000001</v>
      </c>
      <c r="AG104" s="128">
        <f t="shared" si="140"/>
        <v>121300</v>
      </c>
      <c r="AH104" s="128">
        <f t="shared" si="118"/>
        <v>121300</v>
      </c>
      <c r="AI104" s="130">
        <f t="shared" si="168"/>
        <v>4.2500000000000003E-2</v>
      </c>
      <c r="AJ104" s="128">
        <f t="shared" si="169"/>
        <v>121729.60416666669</v>
      </c>
      <c r="AK104" s="128" t="str">
        <f t="shared" si="170"/>
        <v>nie</v>
      </c>
      <c r="AL104" s="128">
        <f t="shared" si="171"/>
        <v>429.60416666668607</v>
      </c>
      <c r="AM104" s="128">
        <f t="shared" si="150"/>
        <v>121300</v>
      </c>
      <c r="AN104" s="128">
        <f t="shared" si="172"/>
        <v>347.97937500001575</v>
      </c>
      <c r="AO104" s="130">
        <f t="shared" si="173"/>
        <v>4.2500000000000003E-2</v>
      </c>
      <c r="AP104" s="128">
        <f t="shared" si="174"/>
        <v>412.43763314293761</v>
      </c>
      <c r="AQ104" s="128">
        <f t="shared" si="156"/>
        <v>125576.50700814291</v>
      </c>
      <c r="AS104" s="124">
        <f t="shared" si="119"/>
        <v>61</v>
      </c>
      <c r="AT104" s="130">
        <f t="shared" si="120"/>
        <v>4.2500000000000003E-2</v>
      </c>
      <c r="AU104" s="127">
        <f t="shared" si="230"/>
        <v>1162</v>
      </c>
      <c r="AV104" s="128">
        <f t="shared" si="231"/>
        <v>116091.90000000001</v>
      </c>
      <c r="AW104" s="128">
        <f t="shared" si="151"/>
        <v>116200</v>
      </c>
      <c r="AX104" s="128">
        <f t="shared" si="123"/>
        <v>116200</v>
      </c>
      <c r="AY104" s="130">
        <f t="shared" si="175"/>
        <v>4.4000000000000004E-2</v>
      </c>
      <c r="AZ104" s="128">
        <f t="shared" si="176"/>
        <v>116626.06666666667</v>
      </c>
      <c r="BA104" s="128" t="str">
        <f t="shared" si="177"/>
        <v>nie</v>
      </c>
      <c r="BB104" s="128">
        <f t="shared" si="178"/>
        <v>813.4</v>
      </c>
      <c r="BC104" s="128">
        <f t="shared" si="158"/>
        <v>115886.26000000001</v>
      </c>
      <c r="BD104" s="128">
        <f t="shared" si="179"/>
        <v>345.11399999999924</v>
      </c>
      <c r="BE104" s="130">
        <f t="shared" si="51"/>
        <v>4.2500000000000003E-2</v>
      </c>
      <c r="BF104" s="128">
        <f t="shared" si="180"/>
        <v>4582.3659263530881</v>
      </c>
      <c r="BG104" s="128">
        <f t="shared" si="159"/>
        <v>120123.51192635309</v>
      </c>
      <c r="BI104" s="124">
        <f t="shared" si="124"/>
        <v>61</v>
      </c>
      <c r="BJ104" s="130">
        <f t="shared" si="242"/>
        <v>4.1300000000000003E-2</v>
      </c>
      <c r="BK104" s="127">
        <f t="shared" si="232"/>
        <v>1119</v>
      </c>
      <c r="BL104" s="128">
        <f t="shared" si="233"/>
        <v>111788.1</v>
      </c>
      <c r="BM104" s="128">
        <f t="shared" si="142"/>
        <v>111900</v>
      </c>
      <c r="BN104" s="128">
        <f t="shared" si="234"/>
        <v>122548.65577499999</v>
      </c>
      <c r="BO104" s="130">
        <f t="shared" si="181"/>
        <v>4.65E-2</v>
      </c>
      <c r="BP104" s="128">
        <f t="shared" si="182"/>
        <v>123023.53181612813</v>
      </c>
      <c r="BQ104" s="128" t="str">
        <f t="shared" si="183"/>
        <v>nie</v>
      </c>
      <c r="BR104" s="128">
        <f t="shared" si="184"/>
        <v>1119</v>
      </c>
      <c r="BS104" s="128">
        <f t="shared" si="153"/>
        <v>120003.67077106379</v>
      </c>
      <c r="BT104" s="128">
        <f t="shared" si="128"/>
        <v>0</v>
      </c>
      <c r="BU104" s="130">
        <f t="shared" si="185"/>
        <v>4.2500000000000003E-2</v>
      </c>
      <c r="BV104" s="128">
        <f t="shared" si="60"/>
        <v>48.309629148526739</v>
      </c>
      <c r="BW104" s="128">
        <f t="shared" si="243"/>
        <v>120051.98040021231</v>
      </c>
      <c r="BY104" s="130">
        <f t="shared" si="244"/>
        <v>2.8000000000000001E-2</v>
      </c>
      <c r="BZ104" s="127">
        <f t="shared" si="235"/>
        <v>1154</v>
      </c>
      <c r="CA104" s="128">
        <f t="shared" si="236"/>
        <v>115296.5</v>
      </c>
      <c r="CB104" s="128">
        <f t="shared" si="154"/>
        <v>115400</v>
      </c>
      <c r="CC104" s="128">
        <f t="shared" si="131"/>
        <v>115400</v>
      </c>
      <c r="CD104" s="130">
        <f t="shared" si="186"/>
        <v>4.2999999999999997E-2</v>
      </c>
      <c r="CE104" s="128">
        <f t="shared" si="187"/>
        <v>115813.51666666666</v>
      </c>
      <c r="CF104" s="128" t="str">
        <f t="shared" si="188"/>
        <v>nie</v>
      </c>
      <c r="CG104" s="128">
        <f t="shared" si="189"/>
        <v>2308</v>
      </c>
      <c r="CH104" s="128">
        <f t="shared" si="160"/>
        <v>113865.4685</v>
      </c>
      <c r="CI104" s="128">
        <f t="shared" si="190"/>
        <v>0</v>
      </c>
      <c r="CJ104" s="130">
        <f t="shared" si="68"/>
        <v>4.2500000000000003E-2</v>
      </c>
      <c r="CK104" s="128">
        <f t="shared" si="191"/>
        <v>4699.7271849170302</v>
      </c>
      <c r="CL104" s="128">
        <f t="shared" si="192"/>
        <v>118565.19568491704</v>
      </c>
      <c r="CN104" s="127">
        <f t="shared" si="237"/>
        <v>1000</v>
      </c>
      <c r="CO104" s="128">
        <f t="shared" si="238"/>
        <v>100000</v>
      </c>
      <c r="CP104" s="128">
        <f t="shared" si="134"/>
        <v>100000</v>
      </c>
      <c r="CQ104" s="128">
        <f t="shared" si="239"/>
        <v>127382.28902952962</v>
      </c>
      <c r="CR104" s="130">
        <f t="shared" si="193"/>
        <v>4.8000000000000001E-2</v>
      </c>
      <c r="CS104" s="128">
        <f t="shared" si="194"/>
        <v>127891.81818564775</v>
      </c>
      <c r="CT104" s="128" t="str">
        <f t="shared" si="195"/>
        <v>nie</v>
      </c>
      <c r="CU104" s="128">
        <f t="shared" si="196"/>
        <v>3000</v>
      </c>
      <c r="CV104" s="128">
        <f t="shared" si="197"/>
        <v>120162.37273037467</v>
      </c>
      <c r="CW104" s="128">
        <f t="shared" si="76"/>
        <v>0</v>
      </c>
      <c r="CX104" s="130">
        <f t="shared" si="198"/>
        <v>4.2500000000000003E-2</v>
      </c>
      <c r="CY104" s="128">
        <f t="shared" si="199"/>
        <v>0</v>
      </c>
      <c r="CZ104" s="128">
        <f t="shared" si="200"/>
        <v>120162.37273037467</v>
      </c>
      <c r="DA104" s="20"/>
      <c r="DB104" s="127">
        <f t="shared" si="144"/>
        <v>1000</v>
      </c>
      <c r="DC104" s="128">
        <f t="shared" si="145"/>
        <v>100000</v>
      </c>
      <c r="DD104" s="128">
        <f t="shared" si="136"/>
        <v>100000</v>
      </c>
      <c r="DE104" s="128">
        <f t="shared" si="240"/>
        <v>126899.78035896322</v>
      </c>
      <c r="DF104" s="130">
        <f t="shared" si="201"/>
        <v>4.8000000000000001E-2</v>
      </c>
      <c r="DG104" s="128">
        <f t="shared" si="202"/>
        <v>127407.37948039907</v>
      </c>
      <c r="DH104" s="128" t="str">
        <f t="shared" si="203"/>
        <v>nie</v>
      </c>
      <c r="DI104" s="128">
        <f t="shared" si="204"/>
        <v>2000</v>
      </c>
      <c r="DJ104" s="128">
        <f t="shared" si="205"/>
        <v>120579.97737912324</v>
      </c>
      <c r="DK104" s="128">
        <f t="shared" si="85"/>
        <v>0</v>
      </c>
      <c r="DL104" s="130">
        <f t="shared" si="206"/>
        <v>4.2500000000000003E-2</v>
      </c>
      <c r="DM104" s="128">
        <f t="shared" si="207"/>
        <v>0</v>
      </c>
      <c r="DN104" s="128">
        <f t="shared" si="208"/>
        <v>120579.97737912324</v>
      </c>
      <c r="DP104" s="127">
        <f t="shared" si="146"/>
        <v>1000</v>
      </c>
      <c r="DQ104" s="128">
        <f t="shared" si="147"/>
        <v>100000</v>
      </c>
      <c r="DR104" s="128">
        <f t="shared" si="138"/>
        <v>100000</v>
      </c>
      <c r="DS104" s="128">
        <f t="shared" si="241"/>
        <v>130138.06562921382</v>
      </c>
      <c r="DT104" s="130">
        <f t="shared" si="209"/>
        <v>5.3000000000000005E-2</v>
      </c>
      <c r="DU104" s="128">
        <f t="shared" si="210"/>
        <v>130712.84208574286</v>
      </c>
      <c r="DV104" s="128" t="str">
        <f t="shared" si="211"/>
        <v>nie</v>
      </c>
      <c r="DW104" s="128">
        <f t="shared" si="212"/>
        <v>3000</v>
      </c>
      <c r="DX104" s="128">
        <f t="shared" si="93"/>
        <v>122447.40208945172</v>
      </c>
      <c r="DY104" s="128">
        <f t="shared" si="94"/>
        <v>0</v>
      </c>
      <c r="DZ104" s="130">
        <f t="shared" si="213"/>
        <v>4.2500000000000003E-2</v>
      </c>
      <c r="EA104" s="128">
        <f t="shared" si="214"/>
        <v>0</v>
      </c>
      <c r="EB104" s="128">
        <f t="shared" si="215"/>
        <v>122447.40208945172</v>
      </c>
    </row>
    <row r="105" spans="1:132">
      <c r="A105" s="224">
        <f>ROUNDUP(B116/12,0)</f>
        <v>6</v>
      </c>
      <c r="B105" s="188">
        <f t="shared" si="216"/>
        <v>61</v>
      </c>
      <c r="C105" s="128">
        <f t="shared" si="217"/>
        <v>125576.50700814291</v>
      </c>
      <c r="D105" s="128">
        <f t="shared" si="218"/>
        <v>120123.51192635309</v>
      </c>
      <c r="E105" s="128">
        <f t="shared" si="219"/>
        <v>120051.98040021231</v>
      </c>
      <c r="F105" s="128">
        <f t="shared" si="220"/>
        <v>118565.19568491704</v>
      </c>
      <c r="G105" s="128">
        <f t="shared" si="221"/>
        <v>120162.37273037467</v>
      </c>
      <c r="H105" s="128">
        <f t="shared" si="222"/>
        <v>120579.97737912324</v>
      </c>
      <c r="I105" s="128">
        <f t="shared" si="223"/>
        <v>122447.40208945172</v>
      </c>
      <c r="J105" s="128">
        <f t="shared" si="224"/>
        <v>119094.03704886079</v>
      </c>
      <c r="K105" s="128">
        <f t="shared" si="225"/>
        <v>115074.14232481788</v>
      </c>
      <c r="M105" s="36"/>
      <c r="N105" s="32">
        <f t="shared" si="226"/>
        <v>61</v>
      </c>
      <c r="O105" s="25">
        <f t="shared" si="109"/>
        <v>0.25576507008142912</v>
      </c>
      <c r="P105" s="25">
        <f t="shared" si="110"/>
        <v>0.20123511926353088</v>
      </c>
      <c r="Q105" s="25">
        <f t="shared" si="111"/>
        <v>0.20051980400212321</v>
      </c>
      <c r="R105" s="25">
        <f t="shared" si="161"/>
        <v>0.18565195684917035</v>
      </c>
      <c r="S105" s="25">
        <f t="shared" si="162"/>
        <v>0.20162372730374667</v>
      </c>
      <c r="T105" s="25">
        <f t="shared" si="163"/>
        <v>0.20579977379123249</v>
      </c>
      <c r="U105" s="25">
        <f t="shared" si="164"/>
        <v>0.22447402089451707</v>
      </c>
      <c r="V105" s="25">
        <f t="shared" si="165"/>
        <v>0.1909403704886079</v>
      </c>
      <c r="W105" s="25">
        <f t="shared" si="166"/>
        <v>0.15074142324817874</v>
      </c>
      <c r="X105" s="36"/>
      <c r="Y105" s="36"/>
      <c r="AA105" s="124">
        <f t="shared" si="113"/>
        <v>62</v>
      </c>
      <c r="AB105" s="128">
        <f t="shared" si="167"/>
        <v>115342.02360059896</v>
      </c>
      <c r="AC105" s="124">
        <f t="shared" si="114"/>
        <v>62</v>
      </c>
      <c r="AD105" s="130">
        <f t="shared" si="227"/>
        <v>4.2500000000000003E-2</v>
      </c>
      <c r="AE105" s="127">
        <f t="shared" si="228"/>
        <v>1213</v>
      </c>
      <c r="AF105" s="128">
        <f t="shared" si="229"/>
        <v>121182.90000000001</v>
      </c>
      <c r="AG105" s="128">
        <f t="shared" si="140"/>
        <v>121300</v>
      </c>
      <c r="AH105" s="128">
        <f t="shared" si="118"/>
        <v>121300</v>
      </c>
      <c r="AI105" s="130">
        <f t="shared" si="168"/>
        <v>4.2500000000000003E-2</v>
      </c>
      <c r="AJ105" s="128">
        <f t="shared" si="169"/>
        <v>121729.60416666669</v>
      </c>
      <c r="AK105" s="128" t="str">
        <f t="shared" si="170"/>
        <v>nie</v>
      </c>
      <c r="AL105" s="128">
        <f t="shared" si="171"/>
        <v>606.5</v>
      </c>
      <c r="AM105" s="128">
        <f t="shared" si="150"/>
        <v>121156.71437500001</v>
      </c>
      <c r="AN105" s="128">
        <f t="shared" si="172"/>
        <v>347.97937500001575</v>
      </c>
      <c r="AO105" s="130">
        <f t="shared" si="173"/>
        <v>4.2500000000000003E-2</v>
      </c>
      <c r="AP105" s="128">
        <f t="shared" si="174"/>
        <v>761.60018860303217</v>
      </c>
      <c r="AQ105" s="128">
        <f t="shared" si="156"/>
        <v>121570.33518860303</v>
      </c>
      <c r="AS105" s="124">
        <f t="shared" si="119"/>
        <v>62</v>
      </c>
      <c r="AT105" s="130">
        <f t="shared" si="120"/>
        <v>4.2500000000000003E-2</v>
      </c>
      <c r="AU105" s="127">
        <f t="shared" si="230"/>
        <v>1162</v>
      </c>
      <c r="AV105" s="128">
        <f t="shared" si="231"/>
        <v>116091.90000000001</v>
      </c>
      <c r="AW105" s="128">
        <f t="shared" si="151"/>
        <v>116200</v>
      </c>
      <c r="AX105" s="128">
        <f t="shared" si="123"/>
        <v>116200</v>
      </c>
      <c r="AY105" s="130">
        <f t="shared" si="175"/>
        <v>4.4000000000000004E-2</v>
      </c>
      <c r="AZ105" s="128">
        <f t="shared" si="176"/>
        <v>116626.06666666667</v>
      </c>
      <c r="BA105" s="128" t="str">
        <f t="shared" si="177"/>
        <v>nie</v>
      </c>
      <c r="BB105" s="128">
        <f t="shared" si="178"/>
        <v>813.4</v>
      </c>
      <c r="BC105" s="128">
        <f t="shared" si="158"/>
        <v>115886.26000000001</v>
      </c>
      <c r="BD105" s="128">
        <f t="shared" si="179"/>
        <v>345.11399999999924</v>
      </c>
      <c r="BE105" s="130">
        <f t="shared" si="51"/>
        <v>4.2500000000000003E-2</v>
      </c>
      <c r="BF105" s="128">
        <f t="shared" si="180"/>
        <v>4940.6255886043127</v>
      </c>
      <c r="BG105" s="128">
        <f t="shared" si="159"/>
        <v>120481.77158860432</v>
      </c>
      <c r="BI105" s="124">
        <f t="shared" si="124"/>
        <v>62</v>
      </c>
      <c r="BJ105" s="130">
        <f t="shared" si="242"/>
        <v>4.1300000000000003E-2</v>
      </c>
      <c r="BK105" s="127">
        <f t="shared" si="232"/>
        <v>1119</v>
      </c>
      <c r="BL105" s="128">
        <f t="shared" si="233"/>
        <v>111788.1</v>
      </c>
      <c r="BM105" s="128">
        <f t="shared" si="142"/>
        <v>111900</v>
      </c>
      <c r="BN105" s="128">
        <f t="shared" si="234"/>
        <v>122548.65577499999</v>
      </c>
      <c r="BO105" s="130">
        <f t="shared" si="181"/>
        <v>4.65E-2</v>
      </c>
      <c r="BP105" s="128">
        <f t="shared" si="182"/>
        <v>123498.40785725623</v>
      </c>
      <c r="BQ105" s="128" t="str">
        <f t="shared" si="183"/>
        <v>nie</v>
      </c>
      <c r="BR105" s="128">
        <f t="shared" si="184"/>
        <v>1119</v>
      </c>
      <c r="BS105" s="128">
        <f t="shared" si="153"/>
        <v>120388.32036437755</v>
      </c>
      <c r="BT105" s="128">
        <f t="shared" si="128"/>
        <v>0</v>
      </c>
      <c r="BU105" s="130">
        <f t="shared" si="185"/>
        <v>4.2500000000000003E-2</v>
      </c>
      <c r="BV105" s="128">
        <f t="shared" si="60"/>
        <v>48.448217397146571</v>
      </c>
      <c r="BW105" s="128">
        <f t="shared" si="243"/>
        <v>120436.7685817747</v>
      </c>
      <c r="BY105" s="130">
        <f t="shared" si="244"/>
        <v>2.8000000000000001E-2</v>
      </c>
      <c r="BZ105" s="127">
        <f t="shared" si="235"/>
        <v>1154</v>
      </c>
      <c r="CA105" s="128">
        <f t="shared" si="236"/>
        <v>115296.5</v>
      </c>
      <c r="CB105" s="128">
        <f t="shared" si="154"/>
        <v>115400</v>
      </c>
      <c r="CC105" s="128">
        <f t="shared" si="131"/>
        <v>115400</v>
      </c>
      <c r="CD105" s="130">
        <f t="shared" si="186"/>
        <v>4.2999999999999997E-2</v>
      </c>
      <c r="CE105" s="128">
        <f t="shared" si="187"/>
        <v>116227.03333333334</v>
      </c>
      <c r="CF105" s="128" t="str">
        <f t="shared" si="188"/>
        <v>nie</v>
      </c>
      <c r="CG105" s="128">
        <f t="shared" si="189"/>
        <v>2308</v>
      </c>
      <c r="CH105" s="128">
        <f t="shared" si="160"/>
        <v>114200.417</v>
      </c>
      <c r="CI105" s="128">
        <f t="shared" si="190"/>
        <v>0</v>
      </c>
      <c r="CJ105" s="130">
        <f t="shared" si="68"/>
        <v>4.2500000000000003E-2</v>
      </c>
      <c r="CK105" s="128">
        <f t="shared" si="191"/>
        <v>4713.209527278761</v>
      </c>
      <c r="CL105" s="128">
        <f t="shared" si="192"/>
        <v>118913.62652727876</v>
      </c>
      <c r="CN105" s="127">
        <f t="shared" si="237"/>
        <v>1000</v>
      </c>
      <c r="CO105" s="128">
        <f t="shared" si="238"/>
        <v>100000</v>
      </c>
      <c r="CP105" s="128">
        <f t="shared" si="134"/>
        <v>100000</v>
      </c>
      <c r="CQ105" s="128">
        <f t="shared" si="239"/>
        <v>127382.28902952962</v>
      </c>
      <c r="CR105" s="130">
        <f t="shared" si="193"/>
        <v>4.8000000000000001E-2</v>
      </c>
      <c r="CS105" s="128">
        <f t="shared" si="194"/>
        <v>128401.34734176587</v>
      </c>
      <c r="CT105" s="128" t="str">
        <f t="shared" si="195"/>
        <v>nie</v>
      </c>
      <c r="CU105" s="128">
        <f t="shared" si="196"/>
        <v>3000</v>
      </c>
      <c r="CV105" s="128">
        <f t="shared" si="197"/>
        <v>120575.09134683035</v>
      </c>
      <c r="CW105" s="128">
        <f t="shared" si="76"/>
        <v>0</v>
      </c>
      <c r="CX105" s="130">
        <f t="shared" si="198"/>
        <v>4.2500000000000003E-2</v>
      </c>
      <c r="CY105" s="128">
        <f t="shared" si="199"/>
        <v>0</v>
      </c>
      <c r="CZ105" s="128">
        <f t="shared" si="200"/>
        <v>120575.09134683035</v>
      </c>
      <c r="DA105" s="20"/>
      <c r="DB105" s="127">
        <f t="shared" si="144"/>
        <v>1000</v>
      </c>
      <c r="DC105" s="128">
        <f t="shared" si="145"/>
        <v>100000</v>
      </c>
      <c r="DD105" s="128">
        <f t="shared" si="136"/>
        <v>100000</v>
      </c>
      <c r="DE105" s="128">
        <f t="shared" si="240"/>
        <v>126899.78035896322</v>
      </c>
      <c r="DF105" s="130">
        <f t="shared" si="201"/>
        <v>4.8000000000000001E-2</v>
      </c>
      <c r="DG105" s="128">
        <f t="shared" si="202"/>
        <v>127914.97860183493</v>
      </c>
      <c r="DH105" s="128" t="str">
        <f t="shared" si="203"/>
        <v>nie</v>
      </c>
      <c r="DI105" s="128">
        <f t="shared" si="204"/>
        <v>2000</v>
      </c>
      <c r="DJ105" s="128">
        <f t="shared" si="205"/>
        <v>120991.13266748629</v>
      </c>
      <c r="DK105" s="128">
        <f t="shared" si="85"/>
        <v>0</v>
      </c>
      <c r="DL105" s="130">
        <f t="shared" si="206"/>
        <v>4.2500000000000003E-2</v>
      </c>
      <c r="DM105" s="128">
        <f t="shared" si="207"/>
        <v>0</v>
      </c>
      <c r="DN105" s="128">
        <f t="shared" si="208"/>
        <v>120991.13266748629</v>
      </c>
      <c r="DP105" s="127">
        <f t="shared" si="146"/>
        <v>1000</v>
      </c>
      <c r="DQ105" s="128">
        <f t="shared" si="147"/>
        <v>100000</v>
      </c>
      <c r="DR105" s="128">
        <f t="shared" si="138"/>
        <v>100000</v>
      </c>
      <c r="DS105" s="128">
        <f t="shared" si="241"/>
        <v>130138.06562921382</v>
      </c>
      <c r="DT105" s="130">
        <f t="shared" si="209"/>
        <v>5.3000000000000005E-2</v>
      </c>
      <c r="DU105" s="128">
        <f t="shared" si="210"/>
        <v>131287.61854227187</v>
      </c>
      <c r="DV105" s="128" t="str">
        <f t="shared" si="211"/>
        <v>nie</v>
      </c>
      <c r="DW105" s="128">
        <f t="shared" si="212"/>
        <v>3000</v>
      </c>
      <c r="DX105" s="128">
        <f t="shared" si="93"/>
        <v>122912.97101924021</v>
      </c>
      <c r="DY105" s="128">
        <f t="shared" si="94"/>
        <v>0</v>
      </c>
      <c r="DZ105" s="130">
        <f t="shared" si="213"/>
        <v>4.2500000000000003E-2</v>
      </c>
      <c r="EA105" s="128">
        <f t="shared" si="214"/>
        <v>0</v>
      </c>
      <c r="EB105" s="128">
        <f t="shared" si="215"/>
        <v>122912.97101924021</v>
      </c>
    </row>
    <row r="106" spans="1:132">
      <c r="A106" s="224"/>
      <c r="B106" s="188">
        <f t="shared" si="216"/>
        <v>62</v>
      </c>
      <c r="C106" s="128">
        <f t="shared" si="217"/>
        <v>121570.33518860303</v>
      </c>
      <c r="D106" s="128">
        <f t="shared" si="218"/>
        <v>120481.77158860432</v>
      </c>
      <c r="E106" s="128">
        <f t="shared" si="219"/>
        <v>120436.7685817747</v>
      </c>
      <c r="F106" s="128">
        <f t="shared" si="220"/>
        <v>118913.62652727876</v>
      </c>
      <c r="G106" s="128">
        <f t="shared" si="221"/>
        <v>120575.09134683035</v>
      </c>
      <c r="H106" s="128">
        <f t="shared" si="222"/>
        <v>120991.13266748629</v>
      </c>
      <c r="I106" s="128">
        <f t="shared" si="223"/>
        <v>122912.97101924021</v>
      </c>
      <c r="J106" s="128">
        <f t="shared" si="224"/>
        <v>119435.6880676447</v>
      </c>
      <c r="K106" s="128">
        <f t="shared" si="225"/>
        <v>115342.02360059896</v>
      </c>
      <c r="M106" s="36"/>
      <c r="N106" s="32">
        <f t="shared" si="226"/>
        <v>62</v>
      </c>
      <c r="O106" s="25">
        <f t="shared" si="109"/>
        <v>0.21570335188603029</v>
      </c>
      <c r="P106" s="25">
        <f t="shared" si="110"/>
        <v>0.20481771588604314</v>
      </c>
      <c r="Q106" s="25">
        <f t="shared" si="111"/>
        <v>0.204367685817747</v>
      </c>
      <c r="R106" s="25">
        <f t="shared" si="161"/>
        <v>0.18913626527278748</v>
      </c>
      <c r="S106" s="25">
        <f t="shared" si="162"/>
        <v>0.20575091346830354</v>
      </c>
      <c r="T106" s="25">
        <f t="shared" si="163"/>
        <v>0.2099113266748629</v>
      </c>
      <c r="U106" s="25">
        <f t="shared" si="164"/>
        <v>0.22912971019240214</v>
      </c>
      <c r="V106" s="25">
        <f t="shared" si="165"/>
        <v>0.19435688067644707</v>
      </c>
      <c r="W106" s="25">
        <f t="shared" si="166"/>
        <v>0.15342023600598953</v>
      </c>
      <c r="X106" s="36"/>
      <c r="Y106" s="36"/>
      <c r="AA106" s="124">
        <f t="shared" si="113"/>
        <v>63</v>
      </c>
      <c r="AB106" s="128">
        <f t="shared" si="167"/>
        <v>115609.90487638004</v>
      </c>
      <c r="AC106" s="124">
        <f t="shared" si="114"/>
        <v>63</v>
      </c>
      <c r="AD106" s="130">
        <f t="shared" si="227"/>
        <v>4.2500000000000003E-2</v>
      </c>
      <c r="AE106" s="127">
        <f t="shared" si="228"/>
        <v>1213</v>
      </c>
      <c r="AF106" s="128">
        <f t="shared" si="229"/>
        <v>121182.90000000001</v>
      </c>
      <c r="AG106" s="128">
        <f t="shared" si="140"/>
        <v>121300</v>
      </c>
      <c r="AH106" s="128">
        <f t="shared" si="118"/>
        <v>121300</v>
      </c>
      <c r="AI106" s="130">
        <f t="shared" si="168"/>
        <v>4.2500000000000003E-2</v>
      </c>
      <c r="AJ106" s="128">
        <f t="shared" si="169"/>
        <v>121729.60416666669</v>
      </c>
      <c r="AK106" s="128" t="str">
        <f t="shared" si="170"/>
        <v>nie</v>
      </c>
      <c r="AL106" s="128">
        <f t="shared" si="171"/>
        <v>606.5</v>
      </c>
      <c r="AM106" s="128">
        <f t="shared" si="150"/>
        <v>121156.71437500001</v>
      </c>
      <c r="AN106" s="128">
        <f t="shared" si="172"/>
        <v>347.97937500001575</v>
      </c>
      <c r="AO106" s="130">
        <f t="shared" si="173"/>
        <v>4.2500000000000003E-2</v>
      </c>
      <c r="AP106" s="128">
        <f t="shared" si="174"/>
        <v>1111.7644041441029</v>
      </c>
      <c r="AQ106" s="128">
        <f t="shared" si="156"/>
        <v>121920.4994041441</v>
      </c>
      <c r="AS106" s="124">
        <f t="shared" si="119"/>
        <v>63</v>
      </c>
      <c r="AT106" s="130">
        <f t="shared" si="120"/>
        <v>4.2500000000000003E-2</v>
      </c>
      <c r="AU106" s="127">
        <f t="shared" si="230"/>
        <v>1162</v>
      </c>
      <c r="AV106" s="128">
        <f t="shared" si="231"/>
        <v>116091.90000000001</v>
      </c>
      <c r="AW106" s="128">
        <f t="shared" si="151"/>
        <v>116200</v>
      </c>
      <c r="AX106" s="128">
        <f t="shared" si="123"/>
        <v>116200</v>
      </c>
      <c r="AY106" s="130">
        <f t="shared" si="175"/>
        <v>4.4000000000000004E-2</v>
      </c>
      <c r="AZ106" s="128">
        <f t="shared" si="176"/>
        <v>116626.06666666667</v>
      </c>
      <c r="BA106" s="128" t="str">
        <f t="shared" si="177"/>
        <v>nie</v>
      </c>
      <c r="BB106" s="128">
        <f t="shared" si="178"/>
        <v>813.4</v>
      </c>
      <c r="BC106" s="128">
        <f t="shared" si="158"/>
        <v>115886.26000000001</v>
      </c>
      <c r="BD106" s="128">
        <f t="shared" si="179"/>
        <v>345.11399999999924</v>
      </c>
      <c r="BE106" s="130">
        <f t="shared" si="51"/>
        <v>4.2500000000000003E-2</v>
      </c>
      <c r="BF106" s="128">
        <f t="shared" si="180"/>
        <v>5299.9130082616211</v>
      </c>
      <c r="BG106" s="128">
        <f t="shared" si="159"/>
        <v>120841.05900826163</v>
      </c>
      <c r="BI106" s="124">
        <f t="shared" si="124"/>
        <v>63</v>
      </c>
      <c r="BJ106" s="130">
        <f t="shared" si="242"/>
        <v>4.1300000000000003E-2</v>
      </c>
      <c r="BK106" s="127">
        <f t="shared" si="232"/>
        <v>1119</v>
      </c>
      <c r="BL106" s="128">
        <f t="shared" si="233"/>
        <v>111788.1</v>
      </c>
      <c r="BM106" s="128">
        <f t="shared" si="142"/>
        <v>111900</v>
      </c>
      <c r="BN106" s="128">
        <f t="shared" si="234"/>
        <v>122548.65577499999</v>
      </c>
      <c r="BO106" s="130">
        <f t="shared" si="181"/>
        <v>4.65E-2</v>
      </c>
      <c r="BP106" s="128">
        <f t="shared" si="182"/>
        <v>123973.28389838437</v>
      </c>
      <c r="BQ106" s="128" t="str">
        <f t="shared" si="183"/>
        <v>nie</v>
      </c>
      <c r="BR106" s="128">
        <f t="shared" si="184"/>
        <v>1119</v>
      </c>
      <c r="BS106" s="128">
        <f t="shared" si="153"/>
        <v>120772.96995769134</v>
      </c>
      <c r="BT106" s="128">
        <f t="shared" si="128"/>
        <v>0</v>
      </c>
      <c r="BU106" s="130">
        <f t="shared" si="185"/>
        <v>4.2500000000000003E-2</v>
      </c>
      <c r="BV106" s="128">
        <f t="shared" si="60"/>
        <v>48.587203220804632</v>
      </c>
      <c r="BW106" s="128">
        <f t="shared" si="243"/>
        <v>120821.55716091214</v>
      </c>
      <c r="BY106" s="130">
        <f t="shared" si="244"/>
        <v>2.8000000000000001E-2</v>
      </c>
      <c r="BZ106" s="127">
        <f t="shared" si="235"/>
        <v>1154</v>
      </c>
      <c r="CA106" s="128">
        <f t="shared" si="236"/>
        <v>115296.5</v>
      </c>
      <c r="CB106" s="128">
        <f t="shared" si="154"/>
        <v>115400</v>
      </c>
      <c r="CC106" s="128">
        <f t="shared" si="131"/>
        <v>115400</v>
      </c>
      <c r="CD106" s="130">
        <f t="shared" si="186"/>
        <v>4.2999999999999997E-2</v>
      </c>
      <c r="CE106" s="128">
        <f t="shared" si="187"/>
        <v>116640.55</v>
      </c>
      <c r="CF106" s="128" t="str">
        <f t="shared" si="188"/>
        <v>nie</v>
      </c>
      <c r="CG106" s="128">
        <f t="shared" si="189"/>
        <v>2308</v>
      </c>
      <c r="CH106" s="128">
        <f t="shared" si="160"/>
        <v>114535.3655</v>
      </c>
      <c r="CI106" s="128">
        <f t="shared" si="190"/>
        <v>0</v>
      </c>
      <c r="CJ106" s="130">
        <f t="shared" si="68"/>
        <v>4.2500000000000003E-2</v>
      </c>
      <c r="CK106" s="128">
        <f t="shared" si="191"/>
        <v>4726.7305471101417</v>
      </c>
      <c r="CL106" s="128">
        <f t="shared" si="192"/>
        <v>119262.09604711014</v>
      </c>
      <c r="CN106" s="127">
        <f t="shared" si="237"/>
        <v>1000</v>
      </c>
      <c r="CO106" s="128">
        <f t="shared" si="238"/>
        <v>100000</v>
      </c>
      <c r="CP106" s="128">
        <f t="shared" si="134"/>
        <v>100000</v>
      </c>
      <c r="CQ106" s="128">
        <f t="shared" si="239"/>
        <v>127382.28902952962</v>
      </c>
      <c r="CR106" s="130">
        <f t="shared" si="193"/>
        <v>4.8000000000000001E-2</v>
      </c>
      <c r="CS106" s="128">
        <f t="shared" si="194"/>
        <v>128910.87649788398</v>
      </c>
      <c r="CT106" s="128" t="str">
        <f t="shared" si="195"/>
        <v>nie</v>
      </c>
      <c r="CU106" s="128">
        <f t="shared" si="196"/>
        <v>3000</v>
      </c>
      <c r="CV106" s="128">
        <f t="shared" si="197"/>
        <v>120987.80996328602</v>
      </c>
      <c r="CW106" s="128">
        <f t="shared" si="76"/>
        <v>0</v>
      </c>
      <c r="CX106" s="130">
        <f t="shared" si="198"/>
        <v>4.2500000000000003E-2</v>
      </c>
      <c r="CY106" s="128">
        <f t="shared" si="199"/>
        <v>0</v>
      </c>
      <c r="CZ106" s="128">
        <f t="shared" si="200"/>
        <v>120987.80996328602</v>
      </c>
      <c r="DA106" s="20"/>
      <c r="DB106" s="127">
        <f t="shared" si="144"/>
        <v>1000</v>
      </c>
      <c r="DC106" s="128">
        <f t="shared" si="145"/>
        <v>100000</v>
      </c>
      <c r="DD106" s="128">
        <f t="shared" si="136"/>
        <v>100000</v>
      </c>
      <c r="DE106" s="128">
        <f t="shared" si="240"/>
        <v>126899.78035896322</v>
      </c>
      <c r="DF106" s="130">
        <f t="shared" si="201"/>
        <v>4.8000000000000001E-2</v>
      </c>
      <c r="DG106" s="128">
        <f t="shared" si="202"/>
        <v>128422.57772327078</v>
      </c>
      <c r="DH106" s="128" t="str">
        <f t="shared" si="203"/>
        <v>nie</v>
      </c>
      <c r="DI106" s="128">
        <f t="shared" si="204"/>
        <v>2000</v>
      </c>
      <c r="DJ106" s="128">
        <f t="shared" si="205"/>
        <v>121402.28795584933</v>
      </c>
      <c r="DK106" s="128">
        <f t="shared" si="85"/>
        <v>0</v>
      </c>
      <c r="DL106" s="130">
        <f t="shared" si="206"/>
        <v>4.2500000000000003E-2</v>
      </c>
      <c r="DM106" s="128">
        <f t="shared" si="207"/>
        <v>0</v>
      </c>
      <c r="DN106" s="128">
        <f t="shared" si="208"/>
        <v>121402.28795584933</v>
      </c>
      <c r="DP106" s="127">
        <f t="shared" si="146"/>
        <v>1000</v>
      </c>
      <c r="DQ106" s="128">
        <f t="shared" si="147"/>
        <v>100000</v>
      </c>
      <c r="DR106" s="128">
        <f t="shared" si="138"/>
        <v>100000</v>
      </c>
      <c r="DS106" s="128">
        <f t="shared" si="241"/>
        <v>130138.06562921382</v>
      </c>
      <c r="DT106" s="130">
        <f t="shared" si="209"/>
        <v>5.3000000000000005E-2</v>
      </c>
      <c r="DU106" s="128">
        <f t="shared" si="210"/>
        <v>131862.39499880088</v>
      </c>
      <c r="DV106" s="128" t="str">
        <f t="shared" si="211"/>
        <v>nie</v>
      </c>
      <c r="DW106" s="128">
        <f t="shared" si="212"/>
        <v>3000</v>
      </c>
      <c r="DX106" s="128">
        <f t="shared" si="93"/>
        <v>123378.53994902871</v>
      </c>
      <c r="DY106" s="128">
        <f t="shared" si="94"/>
        <v>0</v>
      </c>
      <c r="DZ106" s="130">
        <f t="shared" si="213"/>
        <v>4.2500000000000003E-2</v>
      </c>
      <c r="EA106" s="128">
        <f t="shared" si="214"/>
        <v>0</v>
      </c>
      <c r="EB106" s="128">
        <f t="shared" si="215"/>
        <v>123378.53994902871</v>
      </c>
    </row>
    <row r="107" spans="1:132">
      <c r="A107" s="224"/>
      <c r="B107" s="188">
        <f t="shared" si="216"/>
        <v>63</v>
      </c>
      <c r="C107" s="128">
        <f t="shared" si="217"/>
        <v>121920.4994041441</v>
      </c>
      <c r="D107" s="128">
        <f t="shared" si="218"/>
        <v>120841.05900826163</v>
      </c>
      <c r="E107" s="128">
        <f t="shared" si="219"/>
        <v>120821.55716091214</v>
      </c>
      <c r="F107" s="128">
        <f t="shared" si="220"/>
        <v>119262.09604711014</v>
      </c>
      <c r="G107" s="128">
        <f t="shared" si="221"/>
        <v>120987.80996328602</v>
      </c>
      <c r="H107" s="128">
        <f t="shared" si="222"/>
        <v>121402.28795584933</v>
      </c>
      <c r="I107" s="128">
        <f t="shared" si="223"/>
        <v>123378.53994902871</v>
      </c>
      <c r="J107" s="128">
        <f t="shared" si="224"/>
        <v>119778.31919778876</v>
      </c>
      <c r="K107" s="128">
        <f t="shared" si="225"/>
        <v>115609.90487638004</v>
      </c>
      <c r="M107" s="36"/>
      <c r="N107" s="32">
        <f t="shared" si="226"/>
        <v>63</v>
      </c>
      <c r="O107" s="25">
        <f t="shared" si="109"/>
        <v>0.21920499404144089</v>
      </c>
      <c r="P107" s="25">
        <f t="shared" si="110"/>
        <v>0.20841059008261631</v>
      </c>
      <c r="Q107" s="25">
        <f t="shared" si="111"/>
        <v>0.20821557160912141</v>
      </c>
      <c r="R107" s="25">
        <f t="shared" si="161"/>
        <v>0.19262096047110133</v>
      </c>
      <c r="S107" s="25">
        <f t="shared" si="162"/>
        <v>0.20987809963286019</v>
      </c>
      <c r="T107" s="25">
        <f t="shared" si="163"/>
        <v>0.21402287955849331</v>
      </c>
      <c r="U107" s="25">
        <f t="shared" si="164"/>
        <v>0.23378539949028698</v>
      </c>
      <c r="V107" s="25">
        <f t="shared" si="165"/>
        <v>0.19778319197788763</v>
      </c>
      <c r="W107" s="25">
        <f t="shared" si="166"/>
        <v>0.15609904876380032</v>
      </c>
      <c r="X107" s="36"/>
      <c r="Y107" s="36"/>
      <c r="AA107" s="124">
        <f t="shared" si="113"/>
        <v>64</v>
      </c>
      <c r="AB107" s="128">
        <f t="shared" si="167"/>
        <v>115877.78615216115</v>
      </c>
      <c r="AC107" s="124">
        <f t="shared" si="114"/>
        <v>64</v>
      </c>
      <c r="AD107" s="130">
        <f t="shared" si="227"/>
        <v>4.2500000000000003E-2</v>
      </c>
      <c r="AE107" s="127">
        <f t="shared" si="228"/>
        <v>1213</v>
      </c>
      <c r="AF107" s="128">
        <f t="shared" si="229"/>
        <v>121182.90000000001</v>
      </c>
      <c r="AG107" s="128">
        <f t="shared" si="140"/>
        <v>121300</v>
      </c>
      <c r="AH107" s="128">
        <f t="shared" si="118"/>
        <v>121300</v>
      </c>
      <c r="AI107" s="130">
        <f t="shared" si="168"/>
        <v>4.2500000000000003E-2</v>
      </c>
      <c r="AJ107" s="128">
        <f t="shared" si="169"/>
        <v>121729.60416666669</v>
      </c>
      <c r="AK107" s="128" t="str">
        <f t="shared" si="170"/>
        <v>nie</v>
      </c>
      <c r="AL107" s="128">
        <f t="shared" si="171"/>
        <v>606.5</v>
      </c>
      <c r="AM107" s="128">
        <f t="shared" si="150"/>
        <v>121156.71437500001</v>
      </c>
      <c r="AN107" s="128">
        <f t="shared" si="172"/>
        <v>347.97937500001575</v>
      </c>
      <c r="AO107" s="130">
        <f t="shared" si="173"/>
        <v>4.2500000000000003E-2</v>
      </c>
      <c r="AP107" s="128">
        <f t="shared" si="174"/>
        <v>1462.933153278507</v>
      </c>
      <c r="AQ107" s="128">
        <f t="shared" si="156"/>
        <v>122271.6681532785</v>
      </c>
      <c r="AS107" s="124">
        <f t="shared" si="119"/>
        <v>64</v>
      </c>
      <c r="AT107" s="130">
        <f t="shared" si="120"/>
        <v>4.2500000000000003E-2</v>
      </c>
      <c r="AU107" s="127">
        <f t="shared" si="230"/>
        <v>1162</v>
      </c>
      <c r="AV107" s="128">
        <f t="shared" si="231"/>
        <v>116091.90000000001</v>
      </c>
      <c r="AW107" s="128">
        <f t="shared" si="151"/>
        <v>116200</v>
      </c>
      <c r="AX107" s="128">
        <f t="shared" si="123"/>
        <v>116200</v>
      </c>
      <c r="AY107" s="130">
        <f t="shared" si="175"/>
        <v>4.4000000000000004E-2</v>
      </c>
      <c r="AZ107" s="128">
        <f t="shared" si="176"/>
        <v>116626.06666666667</v>
      </c>
      <c r="BA107" s="128" t="str">
        <f t="shared" si="177"/>
        <v>nie</v>
      </c>
      <c r="BB107" s="128">
        <f t="shared" si="178"/>
        <v>813.4</v>
      </c>
      <c r="BC107" s="128">
        <f t="shared" si="158"/>
        <v>115886.26000000001</v>
      </c>
      <c r="BD107" s="128">
        <f t="shared" si="179"/>
        <v>345.11399999999924</v>
      </c>
      <c r="BE107" s="130">
        <f t="shared" si="51"/>
        <v>4.2500000000000003E-2</v>
      </c>
      <c r="BF107" s="128">
        <f t="shared" si="180"/>
        <v>5660.231133704071</v>
      </c>
      <c r="BG107" s="128">
        <f t="shared" si="159"/>
        <v>121201.37713370408</v>
      </c>
      <c r="BI107" s="124">
        <f t="shared" si="124"/>
        <v>64</v>
      </c>
      <c r="BJ107" s="130">
        <f t="shared" si="242"/>
        <v>4.1300000000000003E-2</v>
      </c>
      <c r="BK107" s="127">
        <f t="shared" si="232"/>
        <v>1119</v>
      </c>
      <c r="BL107" s="128">
        <f t="shared" si="233"/>
        <v>111788.1</v>
      </c>
      <c r="BM107" s="128">
        <f t="shared" si="142"/>
        <v>111900</v>
      </c>
      <c r="BN107" s="128">
        <f t="shared" si="234"/>
        <v>122548.65577499999</v>
      </c>
      <c r="BO107" s="130">
        <f t="shared" si="181"/>
        <v>4.65E-2</v>
      </c>
      <c r="BP107" s="128">
        <f t="shared" si="182"/>
        <v>124448.15993951249</v>
      </c>
      <c r="BQ107" s="128" t="str">
        <f t="shared" si="183"/>
        <v>nie</v>
      </c>
      <c r="BR107" s="128">
        <f t="shared" si="184"/>
        <v>1119</v>
      </c>
      <c r="BS107" s="128">
        <f t="shared" si="153"/>
        <v>121157.61955100512</v>
      </c>
      <c r="BT107" s="128">
        <f t="shared" si="128"/>
        <v>0</v>
      </c>
      <c r="BU107" s="130">
        <f t="shared" si="185"/>
        <v>4.2500000000000003E-2</v>
      </c>
      <c r="BV107" s="128">
        <f t="shared" si="60"/>
        <v>48.726587760044318</v>
      </c>
      <c r="BW107" s="128">
        <f t="shared" si="243"/>
        <v>121206.34613876516</v>
      </c>
      <c r="BY107" s="130">
        <f t="shared" si="244"/>
        <v>2.8000000000000001E-2</v>
      </c>
      <c r="BZ107" s="127">
        <f t="shared" si="235"/>
        <v>1154</v>
      </c>
      <c r="CA107" s="128">
        <f t="shared" si="236"/>
        <v>115296.5</v>
      </c>
      <c r="CB107" s="128">
        <f t="shared" si="154"/>
        <v>115400</v>
      </c>
      <c r="CC107" s="128">
        <f t="shared" si="131"/>
        <v>115400</v>
      </c>
      <c r="CD107" s="130">
        <f t="shared" si="186"/>
        <v>4.2999999999999997E-2</v>
      </c>
      <c r="CE107" s="128">
        <f t="shared" si="187"/>
        <v>117054.06666666667</v>
      </c>
      <c r="CF107" s="128" t="str">
        <f t="shared" si="188"/>
        <v>nie</v>
      </c>
      <c r="CG107" s="128">
        <f t="shared" si="189"/>
        <v>2308</v>
      </c>
      <c r="CH107" s="128">
        <f t="shared" si="160"/>
        <v>114870.314</v>
      </c>
      <c r="CI107" s="128">
        <f t="shared" si="190"/>
        <v>0</v>
      </c>
      <c r="CJ107" s="130">
        <f t="shared" si="68"/>
        <v>4.2500000000000003E-2</v>
      </c>
      <c r="CK107" s="128">
        <f t="shared" si="191"/>
        <v>4740.290355367164</v>
      </c>
      <c r="CL107" s="128">
        <f t="shared" si="192"/>
        <v>119610.60435536716</v>
      </c>
      <c r="CN107" s="127">
        <f t="shared" si="237"/>
        <v>1000</v>
      </c>
      <c r="CO107" s="128">
        <f t="shared" si="238"/>
        <v>100000</v>
      </c>
      <c r="CP107" s="128">
        <f t="shared" si="134"/>
        <v>100000</v>
      </c>
      <c r="CQ107" s="128">
        <f t="shared" si="239"/>
        <v>127382.28902952962</v>
      </c>
      <c r="CR107" s="130">
        <f t="shared" si="193"/>
        <v>4.8000000000000001E-2</v>
      </c>
      <c r="CS107" s="128">
        <f t="shared" si="194"/>
        <v>129420.4056540021</v>
      </c>
      <c r="CT107" s="128" t="str">
        <f t="shared" si="195"/>
        <v>nie</v>
      </c>
      <c r="CU107" s="128">
        <f t="shared" si="196"/>
        <v>3000</v>
      </c>
      <c r="CV107" s="128">
        <f t="shared" si="197"/>
        <v>121400.5285797417</v>
      </c>
      <c r="CW107" s="128">
        <f t="shared" si="76"/>
        <v>0</v>
      </c>
      <c r="CX107" s="130">
        <f t="shared" si="198"/>
        <v>4.2500000000000003E-2</v>
      </c>
      <c r="CY107" s="128">
        <f t="shared" si="199"/>
        <v>0</v>
      </c>
      <c r="CZ107" s="128">
        <f t="shared" si="200"/>
        <v>121400.5285797417</v>
      </c>
      <c r="DA107" s="20"/>
      <c r="DB107" s="127">
        <f t="shared" si="144"/>
        <v>1000</v>
      </c>
      <c r="DC107" s="128">
        <f t="shared" si="145"/>
        <v>100000</v>
      </c>
      <c r="DD107" s="128">
        <f t="shared" si="136"/>
        <v>100000</v>
      </c>
      <c r="DE107" s="128">
        <f t="shared" si="240"/>
        <v>126899.78035896322</v>
      </c>
      <c r="DF107" s="130">
        <f t="shared" si="201"/>
        <v>4.8000000000000001E-2</v>
      </c>
      <c r="DG107" s="128">
        <f t="shared" si="202"/>
        <v>128930.17684470664</v>
      </c>
      <c r="DH107" s="128" t="str">
        <f t="shared" si="203"/>
        <v>nie</v>
      </c>
      <c r="DI107" s="128">
        <f t="shared" si="204"/>
        <v>2000</v>
      </c>
      <c r="DJ107" s="128">
        <f t="shared" si="205"/>
        <v>121813.44324421238</v>
      </c>
      <c r="DK107" s="128">
        <f t="shared" si="85"/>
        <v>0</v>
      </c>
      <c r="DL107" s="130">
        <f t="shared" si="206"/>
        <v>4.2500000000000003E-2</v>
      </c>
      <c r="DM107" s="128">
        <f t="shared" si="207"/>
        <v>0</v>
      </c>
      <c r="DN107" s="128">
        <f t="shared" si="208"/>
        <v>121813.44324421238</v>
      </c>
      <c r="DP107" s="127">
        <f t="shared" si="146"/>
        <v>1000</v>
      </c>
      <c r="DQ107" s="128">
        <f t="shared" si="147"/>
        <v>100000</v>
      </c>
      <c r="DR107" s="128">
        <f t="shared" si="138"/>
        <v>100000</v>
      </c>
      <c r="DS107" s="128">
        <f t="shared" si="241"/>
        <v>130138.06562921382</v>
      </c>
      <c r="DT107" s="130">
        <f t="shared" si="209"/>
        <v>5.3000000000000005E-2</v>
      </c>
      <c r="DU107" s="128">
        <f t="shared" si="210"/>
        <v>132437.17145532992</v>
      </c>
      <c r="DV107" s="128" t="str">
        <f t="shared" si="211"/>
        <v>nie</v>
      </c>
      <c r="DW107" s="128">
        <f t="shared" si="212"/>
        <v>3000</v>
      </c>
      <c r="DX107" s="128">
        <f t="shared" si="93"/>
        <v>123844.10887881723</v>
      </c>
      <c r="DY107" s="128">
        <f t="shared" si="94"/>
        <v>0</v>
      </c>
      <c r="DZ107" s="130">
        <f t="shared" si="213"/>
        <v>4.2500000000000003E-2</v>
      </c>
      <c r="EA107" s="128">
        <f t="shared" si="214"/>
        <v>0</v>
      </c>
      <c r="EB107" s="128">
        <f t="shared" si="215"/>
        <v>123844.10887881723</v>
      </c>
    </row>
    <row r="108" spans="1:132">
      <c r="A108" s="224"/>
      <c r="B108" s="188">
        <f t="shared" si="216"/>
        <v>64</v>
      </c>
      <c r="C108" s="128">
        <f t="shared" si="217"/>
        <v>122271.6681532785</v>
      </c>
      <c r="D108" s="128">
        <f t="shared" si="218"/>
        <v>121201.37713370408</v>
      </c>
      <c r="E108" s="128">
        <f t="shared" si="219"/>
        <v>121206.34613876516</v>
      </c>
      <c r="F108" s="128">
        <f t="shared" si="220"/>
        <v>119610.60435536716</v>
      </c>
      <c r="G108" s="128">
        <f t="shared" si="221"/>
        <v>121400.5285797417</v>
      </c>
      <c r="H108" s="128">
        <f t="shared" si="222"/>
        <v>121813.44324421238</v>
      </c>
      <c r="I108" s="128">
        <f t="shared" si="223"/>
        <v>123844.10887881723</v>
      </c>
      <c r="J108" s="128">
        <f t="shared" si="224"/>
        <v>120121.93325098742</v>
      </c>
      <c r="K108" s="128">
        <f t="shared" si="225"/>
        <v>115877.78615216115</v>
      </c>
      <c r="M108" s="36"/>
      <c r="N108" s="32">
        <f t="shared" si="226"/>
        <v>64</v>
      </c>
      <c r="O108" s="25">
        <f t="shared" si="109"/>
        <v>0.22271668153278501</v>
      </c>
      <c r="P108" s="25">
        <f t="shared" si="110"/>
        <v>0.21201377133704091</v>
      </c>
      <c r="Q108" s="25">
        <f t="shared" si="111"/>
        <v>0.21206346138765153</v>
      </c>
      <c r="R108" s="25">
        <f t="shared" ref="R108:R139" si="245">F108/zakup_domyslny_wartosc-1</f>
        <v>0.19610604355367167</v>
      </c>
      <c r="S108" s="25">
        <f t="shared" ref="S108:S139" si="246">G108/zakup_domyslny_wartosc-1</f>
        <v>0.21400528579741707</v>
      </c>
      <c r="T108" s="25">
        <f t="shared" ref="T108:T139" si="247">H108/zakup_domyslny_wartosc-1</f>
        <v>0.21813443244212372</v>
      </c>
      <c r="U108" s="25">
        <f t="shared" ref="U108:U139" si="248">I108/zakup_domyslny_wartosc-1</f>
        <v>0.23844108878817227</v>
      </c>
      <c r="V108" s="25">
        <f t="shared" ref="V108:V139" si="249">J108/zakup_domyslny_wartosc-1</f>
        <v>0.20121933250987412</v>
      </c>
      <c r="W108" s="25">
        <f t="shared" ref="W108:W139" si="250">K108/zakup_domyslny_wartosc-1</f>
        <v>0.15877786152161155</v>
      </c>
      <c r="X108" s="36"/>
      <c r="Y108" s="36"/>
      <c r="AA108" s="124">
        <f t="shared" si="113"/>
        <v>65</v>
      </c>
      <c r="AB108" s="128">
        <f t="shared" ref="AB108:AB139" si="251">zakup_domyslny_wartosc*IFERROR((INDEX(scenariusz_I_inflacja_skumulowana,MATCH(ROUNDDOWN(AA108/12,0),scenariusz_I_rok,0))+1),1)
*(1+MOD(AA108,12)*INDEX(scenariusz_I_inflacja,MATCH(ROUNDUP(AA108/12,0),scenariusz_I_rok,0))/12)</f>
        <v>116145.66742794223</v>
      </c>
      <c r="AC108" s="124">
        <f t="shared" si="114"/>
        <v>65</v>
      </c>
      <c r="AD108" s="130">
        <f t="shared" si="227"/>
        <v>4.2500000000000003E-2</v>
      </c>
      <c r="AE108" s="127">
        <f t="shared" si="228"/>
        <v>1213</v>
      </c>
      <c r="AF108" s="128">
        <f t="shared" si="229"/>
        <v>121182.90000000001</v>
      </c>
      <c r="AG108" s="128">
        <f t="shared" si="140"/>
        <v>121300</v>
      </c>
      <c r="AH108" s="128">
        <f t="shared" si="118"/>
        <v>121300</v>
      </c>
      <c r="AI108" s="130">
        <f t="shared" ref="AI108:AI139" si="252">IF(AND(MOD($AA108,zapadalnosc_ROR)&lt;=zmiana_oprocentowania_co_ile_mc_ROR,MOD($AA108,zapadalnosc_ROR)&lt;&gt;0),proc_I_okres_ROR,(marza_ROR+AD108))</f>
        <v>4.2500000000000003E-2</v>
      </c>
      <c r="AJ108" s="128">
        <f t="shared" ref="AJ108:AJ139" si="253">AH108*(1+AI108*IF(MOD($AA108,wyplata_odsetek_ROR)&lt;&gt;0,MOD($AA108,wyplata_odsetek_ROR),wyplata_odsetek_ROR)/12)</f>
        <v>121729.60416666669</v>
      </c>
      <c r="AK108" s="128" t="str">
        <f t="shared" ref="AK108:AK139" si="254">IF(MOD($AA108,zapadalnosc_ROR)=0,"tak","nie")</f>
        <v>nie</v>
      </c>
      <c r="AL108" s="128">
        <f t="shared" ref="AL108:AL139" si="255">IF(MOD($AA108,zapadalnosc_ROR)=0,0,
IF(AND(MOD($AA108,zapadalnosc_ROR)&lt;zapadalnosc_ROR,MOD($AA108,zapadalnosc_ROR)&lt;=koszt_wczesniejszy_wykup_ochrona_ROR),
MIN(AJ108-AG108,AE108*koszt_wczesniejszy_wykup_ROR),AE108*koszt_wczesniejszy_wykup_ROR))</f>
        <v>606.5</v>
      </c>
      <c r="AM108" s="128">
        <f t="shared" si="150"/>
        <v>121156.71437500001</v>
      </c>
      <c r="AN108" s="128">
        <f t="shared" ref="AN108:AN139" si="256">IF(MOD($AA108,wyplata_odsetek_ROR)=0, (AJ108-AG108)*(1-podatek_Belki),0)
+IF(AK108="tak",ROUNDDOWN(AJ108/zamiana_ROR,0)*(100-zamiana_ROR),0)</f>
        <v>347.97937500001575</v>
      </c>
      <c r="AO108" s="130">
        <f t="shared" ref="AO108:AO139" si="257">INDEX(scenariusz_I_konto,MATCH(ROUNDUP($AA108/12,0),scenariusz_I_rok,0))</f>
        <v>4.2500000000000003E-2</v>
      </c>
      <c r="AP108" s="128">
        <f t="shared" ref="AP108:AP139" si="258">(AP107-IF(AK107="tak",ROUNDDOWN(AP107/100,0)*100,0))*
(1+AO108/12*(1-podatek_Belki))+AN108</f>
        <v>1815.1093177619905</v>
      </c>
      <c r="AQ108" s="128">
        <f t="shared" si="156"/>
        <v>122623.84431776199</v>
      </c>
      <c r="AS108" s="124">
        <f t="shared" si="119"/>
        <v>65</v>
      </c>
      <c r="AT108" s="130">
        <f t="shared" si="120"/>
        <v>4.2500000000000003E-2</v>
      </c>
      <c r="AU108" s="127">
        <f t="shared" si="230"/>
        <v>1162</v>
      </c>
      <c r="AV108" s="128">
        <f t="shared" si="231"/>
        <v>116091.90000000001</v>
      </c>
      <c r="AW108" s="128">
        <f t="shared" si="151"/>
        <v>116200</v>
      </c>
      <c r="AX108" s="128">
        <f t="shared" si="123"/>
        <v>116200</v>
      </c>
      <c r="AY108" s="130">
        <f t="shared" ref="AY108:AY139" si="259">IF(AND(MOD($AA108,zapadalnosc_DOR)&lt;=zmiana_oprocentowania_co_ile_mc_DOR,MOD($AA108,zapadalnosc_DOR)&lt;&gt;0),proc_I_okres_DOR,(marza_DOR+AT108))</f>
        <v>4.4000000000000004E-2</v>
      </c>
      <c r="AZ108" s="128">
        <f t="shared" ref="AZ108:AZ139" si="260">AX108*(1+AY108*IF(MOD($AA108,wyplata_odsetek_DOR)&lt;&gt;0,MOD($AA108,wyplata_odsetek_DOR),wyplata_odsetek_DOR)/12)</f>
        <v>116626.06666666667</v>
      </c>
      <c r="BA108" s="128" t="str">
        <f t="shared" ref="BA108:BA139" si="261">IF(MOD($AA108,zapadalnosc_DOR)=0,"tak","nie")</f>
        <v>nie</v>
      </c>
      <c r="BB108" s="128">
        <f t="shared" ref="BB108:BB139" si="262">IF(MOD($AA108,zapadalnosc_DOR)=0,0,
IF(AND(MOD($AA108,zapadalnosc_DOR)&lt;zapadalnosc_DOR,MOD($AA108,zapadalnosc_DOR)&lt;=koszt_wczesniejszy_wykup_ochrona_DOR),
MIN(AZ108-AW108,AU108*koszt_wczesniejszy_wykup_DOR),AU108*koszt_wczesniejszy_wykup_DOR))</f>
        <v>813.4</v>
      </c>
      <c r="BC108" s="128">
        <f t="shared" si="158"/>
        <v>115886.26000000001</v>
      </c>
      <c r="BD108" s="128">
        <f t="shared" ref="BD108:BD139" si="263">IF(MOD($AA108,wyplata_odsetek_DOR)=0, (AZ108-AW108)*(1-podatek_Belki),0)
+IF(BA108="tak",ROUNDDOWN(AZ108/zamiana_DOR,0)*(100-zamiana_DOR),0)</f>
        <v>345.11399999999924</v>
      </c>
      <c r="BE108" s="130">
        <f t="shared" ref="BE108:BE171" si="264">INDEX(scenariusz_I_konto,MATCH(ROUNDUP($AA108/12,0),scenariusz_I_rok,0))</f>
        <v>4.2500000000000003E-2</v>
      </c>
      <c r="BF108" s="128">
        <f t="shared" ref="BF108:BF139" si="265">(BF107-IF(BA107="tak",ROUNDDOWN(BF107/100,0)*100,0))*
(1+BE108/12*(1-podatek_Belki))+BD108</f>
        <v>6021.5829217688843</v>
      </c>
      <c r="BG108" s="128">
        <f t="shared" si="159"/>
        <v>121562.7289217689</v>
      </c>
      <c r="BI108" s="124">
        <f t="shared" si="124"/>
        <v>65</v>
      </c>
      <c r="BJ108" s="130">
        <f t="shared" si="242"/>
        <v>4.1300000000000003E-2</v>
      </c>
      <c r="BK108" s="127">
        <f t="shared" si="232"/>
        <v>1119</v>
      </c>
      <c r="BL108" s="128">
        <f t="shared" si="233"/>
        <v>111788.1</v>
      </c>
      <c r="BM108" s="128">
        <f t="shared" si="142"/>
        <v>111900</v>
      </c>
      <c r="BN108" s="128">
        <f t="shared" si="234"/>
        <v>122548.65577499999</v>
      </c>
      <c r="BO108" s="130">
        <f t="shared" ref="BO108:BO139" si="266">IF(AND(MOD($AA108,zapadalnosc_TOS)&lt;=12,MOD($AA108,zapadalnosc_TOS)&lt;&gt;0),proc_I_okres_TOS,(marza_TOS+proc_I_okres_TOS))</f>
        <v>4.65E-2</v>
      </c>
      <c r="BP108" s="128">
        <f t="shared" ref="BP108:BP139" si="267">BN108*(1+BO108*IF(MOD($AA108,12)&lt;&gt;0,MOD($AA108,12),12)/12)</f>
        <v>124923.0359806406</v>
      </c>
      <c r="BQ108" s="128" t="str">
        <f t="shared" ref="BQ108:BQ139" si="268">IF(MOD($AA108,zapadalnosc_TOS)=0,"tak","nie")</f>
        <v>nie</v>
      </c>
      <c r="BR108" s="128">
        <f t="shared" ref="BR108:BR139" si="269">IF(MOD($AA108,zapadalnosc_TOS)=0,0,
IF(AND(MOD($AA108,zapadalnosc_TOS)&lt;zapadalnosc_TOS,MOD($AA108,zapadalnosc_TOS)&lt;=koszt_wczesniejszy_wykup_ochrona_TOS),
MIN(BP108-BM108,BK108*koszt_wczesniejszy_wykup_TOS),BK108*koszt_wczesniejszy_wykup_TOS))</f>
        <v>1119</v>
      </c>
      <c r="BS108" s="128">
        <f t="shared" si="153"/>
        <v>121542.2691443189</v>
      </c>
      <c r="BT108" s="128">
        <f t="shared" si="128"/>
        <v>0</v>
      </c>
      <c r="BU108" s="130">
        <f t="shared" ref="BU108:BU139" si="270">INDEX(scenariusz_I_konto,MATCH(ROUNDUP($AA108/12,0),scenariusz_I_rok,0))</f>
        <v>4.2500000000000003E-2</v>
      </c>
      <c r="BV108" s="128">
        <f t="shared" ref="BV108:BV171" si="271">BV107*(1+BU108/12*(1-podatek_Belki))+BT108</f>
        <v>48.866372158680946</v>
      </c>
      <c r="BW108" s="128">
        <f t="shared" si="243"/>
        <v>121591.13551647757</v>
      </c>
      <c r="BY108" s="130">
        <f t="shared" si="244"/>
        <v>2.8000000000000001E-2</v>
      </c>
      <c r="BZ108" s="127">
        <f t="shared" si="235"/>
        <v>1154</v>
      </c>
      <c r="CA108" s="128">
        <f t="shared" si="236"/>
        <v>115296.5</v>
      </c>
      <c r="CB108" s="128">
        <f t="shared" si="154"/>
        <v>115400</v>
      </c>
      <c r="CC108" s="128">
        <f t="shared" si="131"/>
        <v>115400</v>
      </c>
      <c r="CD108" s="130">
        <f t="shared" ref="CD108:CD139" si="272">IF(AND(MOD($AA108,zapadalnosc_COI)&lt;=zmiana_oprocentowania_co_ile_mc_COI,MOD($AA108,zapadalnosc_COI)&lt;&gt;0),proc_I_okres_COI,(marza_COI+BY108))</f>
        <v>4.2999999999999997E-2</v>
      </c>
      <c r="CE108" s="128">
        <f t="shared" ref="CE108:CE139" si="273">CC108*(1+CD108*IF(MOD($AA108,wyplata_odsetek_COI)&lt;&gt;0,MOD($AA108,wyplata_odsetek_COI),wyplata_odsetek_COI)/12)</f>
        <v>117467.58333333333</v>
      </c>
      <c r="CF108" s="128" t="str">
        <f t="shared" ref="CF108:CF139" si="274">IF(MOD($AA108,zapadalnosc_COI)=0,"tak","nie")</f>
        <v>nie</v>
      </c>
      <c r="CG108" s="128">
        <f t="shared" ref="CG108:CG139" si="275">IF(MOD($AA108,zapadalnosc_COI)=0,0,
IF(AND(MOD($AA108,zapadalnosc_COI)&lt;zapadalnosc_COI,MOD($AA108,zapadalnosc_COI)&lt;=koszt_wczesniejszy_wykup_ochrona_COI),
MIN(CE108-CB108,BZ108*koszt_wczesniejszy_wykup_COI),BZ108*koszt_wczesniejszy_wykup_COI))</f>
        <v>2308</v>
      </c>
      <c r="CH108" s="128">
        <f t="shared" si="160"/>
        <v>115205.2625</v>
      </c>
      <c r="CI108" s="128">
        <f t="shared" ref="CI108:CI139" si="276" xml:space="preserve"> IF(CF108="tak",
CH108-ROUNDDOWN(CH108/zamiana_COI,0)*zamiana_COI,
IF(MOD($AA108,wyplata_odsetek_COI)=0, (CE108-CB108)*(1-podatek_Belki),0))</f>
        <v>0</v>
      </c>
      <c r="CJ108" s="130">
        <f t="shared" ref="CJ108:CJ171" si="277">INDEX(scenariusz_I_konto,MATCH(ROUNDUP($AA108/12,0),scenariusz_I_rok,0))</f>
        <v>4.2500000000000003E-2</v>
      </c>
      <c r="CK108" s="128">
        <f t="shared" ref="CK108:CK139" si="278">(CK107-IF(CF107="tak",ROUNDDOWN(CK107/100,0)*100,0))*
(1+CJ108/12*(1-podatek_Belki))+CI108</f>
        <v>4753.8890633241235</v>
      </c>
      <c r="CL108" s="128">
        <f t="shared" ref="CL108:CL139" si="279">(CK107-IF(MOD($AA107,zapadalnosc_COI)=0,ROUNDDOWN(CK107/100,0)*100,0))*(1+CJ108/12*(1-podatek_Belki))+CH108</f>
        <v>119959.15156332412</v>
      </c>
      <c r="CN108" s="127">
        <f t="shared" si="237"/>
        <v>1000</v>
      </c>
      <c r="CO108" s="128">
        <f t="shared" si="238"/>
        <v>100000</v>
      </c>
      <c r="CP108" s="128">
        <f t="shared" si="134"/>
        <v>100000</v>
      </c>
      <c r="CQ108" s="128">
        <f t="shared" si="239"/>
        <v>127382.28902952962</v>
      </c>
      <c r="CR108" s="130">
        <f t="shared" ref="CR108:CR139" si="280">IF(AND(MOD($AA108,zapadalnosc_EDO)&lt;=12,MOD($AA108,zapadalnosc_EDO)&lt;&gt;0),proc_I_okres_EDO,(marza_EDO+$BY108))</f>
        <v>4.8000000000000001E-2</v>
      </c>
      <c r="CS108" s="128">
        <f t="shared" ref="CS108:CS139" si="281">CQ108*(1+CR108*IF(MOD($AA108,12)&lt;&gt;0,MOD($AA108,12),12)/12)</f>
        <v>129929.93481012022</v>
      </c>
      <c r="CT108" s="128" t="str">
        <f t="shared" ref="CT108:CT139" si="282">IF(MOD($AA108,zapadalnosc_EDO)=0,"tak","nie")</f>
        <v>nie</v>
      </c>
      <c r="CU108" s="128">
        <f t="shared" ref="CU108:CU139" si="283">IF(AND(MOD($AA108,zapadalnosc_EDO)&lt;zapadalnosc_EDO,MOD($AA108,zapadalnosc_EDO)&lt;&gt;0),MIN(CS108-CP108,CN108*koszt_wczesniejszy_wykup_EDO),0)</f>
        <v>3000</v>
      </c>
      <c r="CV108" s="128">
        <f t="shared" ref="CV108:CV139" si="284">CS108-CU108
-(CS108-CP108-CU108)*podatek_Belki</f>
        <v>121813.24719619738</v>
      </c>
      <c r="CW108" s="128">
        <f t="shared" ref="CW108:CW162" si="285">IF(AND(CT108="tak",CO109&lt;&gt;""),
 CV108-CO109,
0)</f>
        <v>0</v>
      </c>
      <c r="CX108" s="130">
        <f t="shared" ref="CX108:CX139" si="286">INDEX(scenariusz_I_konto,MATCH(ROUNDUP($AA108/12,0),scenariusz_I_rok,0))</f>
        <v>4.2500000000000003E-2</v>
      </c>
      <c r="CY108" s="128">
        <f t="shared" ref="CY108:CY139" si="287">CY107*(1+CX108/12*(1-podatek_Belki))+CW108</f>
        <v>0</v>
      </c>
      <c r="CZ108" s="128">
        <f t="shared" ref="CZ108:CZ139" si="288">CY107*(1+CX108/12*(1-podatek_Belki))+CV108</f>
        <v>121813.24719619738</v>
      </c>
      <c r="DA108" s="20"/>
      <c r="DB108" s="127">
        <f t="shared" si="144"/>
        <v>1000</v>
      </c>
      <c r="DC108" s="128">
        <f t="shared" si="145"/>
        <v>100000</v>
      </c>
      <c r="DD108" s="128">
        <f t="shared" si="136"/>
        <v>100000</v>
      </c>
      <c r="DE108" s="128">
        <f t="shared" si="240"/>
        <v>126899.78035896322</v>
      </c>
      <c r="DF108" s="130">
        <f t="shared" ref="DF108:DF139" si="289">IF(AND(MOD($AA108,zapadalnosc_ROS)&lt;=12,MOD($AA108,zapadalnosc_ROS)&lt;&gt;0),proc_I_okres_ROS,(marza_ROS+$BY108))</f>
        <v>4.8000000000000001E-2</v>
      </c>
      <c r="DG108" s="128">
        <f t="shared" ref="DG108:DG139" si="290">DE108*(1+DF108*IF(MOD($AA108,12)&lt;&gt;0,MOD($AA108,12),12)/12)</f>
        <v>129437.77596614249</v>
      </c>
      <c r="DH108" s="128" t="str">
        <f t="shared" ref="DH108:DH139" si="291">IF(MOD($AA108,zapadalnosc_ROS)=0,"tak","nie")</f>
        <v>nie</v>
      </c>
      <c r="DI108" s="128">
        <f t="shared" ref="DI108:DI139" si="292">IF(AND(MOD($AA108,zapadalnosc_ROS)&lt;zapadalnosc_ROS,MOD($AA108,zapadalnosc_ROS)&lt;&gt;0),MIN(DG108-DD108,DB108*koszt_wczesniejszy_wykup_ROS),0)</f>
        <v>2000</v>
      </c>
      <c r="DJ108" s="128">
        <f t="shared" ref="DJ108:DJ115" si="293">DG108-DI108
-(DG108-DD108-DI108)*podatek_Belki</f>
        <v>122224.59853257542</v>
      </c>
      <c r="DK108" s="128">
        <f t="shared" ref="DK108:DK162" si="294">IF(AND(DH108="tak",DC109&lt;&gt;""),
 DJ108-DC109,
0)</f>
        <v>0</v>
      </c>
      <c r="DL108" s="130">
        <f t="shared" ref="DL108:DL139" si="295">INDEX(scenariusz_I_konto,MATCH(ROUNDUP($AA108/12,0),scenariusz_I_rok,0))</f>
        <v>4.2500000000000003E-2</v>
      </c>
      <c r="DM108" s="128">
        <f t="shared" ref="DM108:DM139" si="296">DM107*(1+DL108/12*(1-podatek_Belki))+DK108</f>
        <v>0</v>
      </c>
      <c r="DN108" s="128">
        <f t="shared" ref="DN108:DN139" si="297">DM107*(1+DL108/12*(1-podatek_Belki))+DJ108</f>
        <v>122224.59853257542</v>
      </c>
      <c r="DP108" s="127">
        <f t="shared" si="146"/>
        <v>1000</v>
      </c>
      <c r="DQ108" s="128">
        <f t="shared" si="147"/>
        <v>100000</v>
      </c>
      <c r="DR108" s="128">
        <f t="shared" si="138"/>
        <v>100000</v>
      </c>
      <c r="DS108" s="128">
        <f t="shared" si="241"/>
        <v>130138.06562921382</v>
      </c>
      <c r="DT108" s="130">
        <f t="shared" ref="DT108:DT139" si="298">IF(AND(MOD($AA108,zapadalnosc_ROD)&lt;=12,MOD($AA108,zapadalnosc_ROD)&lt;&gt;0),proc_I_okres_ROD,(marza_ROD+$BY108))</f>
        <v>5.3000000000000005E-2</v>
      </c>
      <c r="DU108" s="128">
        <f t="shared" ref="DU108:DU139" si="299">DS108*(1+DT108*IF(MOD($AA108,12)&lt;&gt;0,MOD($AA108,12),12)/12)</f>
        <v>133011.94791185894</v>
      </c>
      <c r="DV108" s="128" t="str">
        <f t="shared" ref="DV108:DV139" si="300">IF(MOD($AA108,zapadalnosc_ROD)=0,"tak","nie")</f>
        <v>nie</v>
      </c>
      <c r="DW108" s="128">
        <f t="shared" ref="DW108:DW139" si="301">IF(AND(MOD($AA108,zapadalnosc_ROD)&lt;zapadalnosc_ROD,MOD($AA108,zapadalnosc_ROD)&lt;&gt;0),MIN(DU108-DR108,DP108*koszt_wczesniejszy_wykup_ROD),0)</f>
        <v>3000</v>
      </c>
      <c r="DX108" s="128">
        <f t="shared" ref="DX108:DX171" si="302">DU108-DW108
-(DU108-DR108-DW108)*podatek_Belki</f>
        <v>124309.67780860575</v>
      </c>
      <c r="DY108" s="128">
        <f t="shared" ref="DY108:DY162" si="303">IF(AND(DV108="tak",DQ109&lt;&gt;""),
 DX108-DQ109,
0)</f>
        <v>0</v>
      </c>
      <c r="DZ108" s="130">
        <f t="shared" ref="DZ108:DZ139" si="304">INDEX(scenariusz_I_konto,MATCH(ROUNDUP($AA108/12,0),scenariusz_I_rok,0))</f>
        <v>4.2500000000000003E-2</v>
      </c>
      <c r="EA108" s="128">
        <f t="shared" ref="EA108:EA139" si="305">EA107*(1+DZ108/12*(1-podatek_Belki))+DY108</f>
        <v>0</v>
      </c>
      <c r="EB108" s="128">
        <f t="shared" ref="EB108:EB139" si="306">EA107*(1+DZ108/12*(1-podatek_Belki))+DX108</f>
        <v>124309.67780860575</v>
      </c>
    </row>
    <row r="109" spans="1:132">
      <c r="A109" s="224"/>
      <c r="B109" s="188">
        <f t="shared" ref="B109:B140" si="307">AA108</f>
        <v>65</v>
      </c>
      <c r="C109" s="128">
        <f t="shared" ref="C109:C140" si="308">AQ108</f>
        <v>122623.84431776199</v>
      </c>
      <c r="D109" s="128">
        <f t="shared" ref="D109:D140" si="309">BG108</f>
        <v>121562.7289217689</v>
      </c>
      <c r="E109" s="128">
        <f t="shared" ref="E109:E140" si="310">BW108</f>
        <v>121591.13551647757</v>
      </c>
      <c r="F109" s="128">
        <f t="shared" ref="F109:F140" si="311">CL108</f>
        <v>119959.15156332412</v>
      </c>
      <c r="G109" s="128">
        <f t="shared" ref="G109:G140" si="312">CZ108</f>
        <v>121813.24719619738</v>
      </c>
      <c r="H109" s="128">
        <f t="shared" ref="H109:H140" si="313">DN108</f>
        <v>122224.59853257542</v>
      </c>
      <c r="I109" s="128">
        <f t="shared" ref="I109:I140" si="314">EB108</f>
        <v>124309.67780860575</v>
      </c>
      <c r="J109" s="128">
        <f t="shared" ref="J109:J140" si="315">FV(INDEX(scenariusz_I_konto,MATCH(ROUNDUP(B109/12,0),scenariusz_I_rok,0))/12*(1-podatek_Belki),1,0,-J108,1)</f>
        <v>120466.53304700118</v>
      </c>
      <c r="K109" s="128">
        <f t="shared" ref="K109:K140" si="316">AB108</f>
        <v>116145.66742794223</v>
      </c>
      <c r="M109" s="36"/>
      <c r="N109" s="32">
        <f t="shared" ref="N109:N140" si="317">B109</f>
        <v>65</v>
      </c>
      <c r="O109" s="25">
        <f t="shared" ref="O109:O172" si="318">C109/zakup_domyslny_wartosc-1</f>
        <v>0.22623844317761987</v>
      </c>
      <c r="P109" s="25">
        <f t="shared" ref="P109:P172" si="319">D109/zakup_domyslny_wartosc-1</f>
        <v>0.21562728921768892</v>
      </c>
      <c r="Q109" s="25">
        <f t="shared" ref="Q109:Q172" si="320">E109/zakup_domyslny_wartosc-1</f>
        <v>0.21591135516477578</v>
      </c>
      <c r="R109" s="25">
        <f t="shared" si="245"/>
        <v>0.19959151563324129</v>
      </c>
      <c r="S109" s="25">
        <f t="shared" si="246"/>
        <v>0.21813247196197372</v>
      </c>
      <c r="T109" s="25">
        <f t="shared" si="247"/>
        <v>0.22224598532575413</v>
      </c>
      <c r="U109" s="25">
        <f t="shared" si="248"/>
        <v>0.24309677808605756</v>
      </c>
      <c r="V109" s="25">
        <f t="shared" si="249"/>
        <v>0.2046653304700119</v>
      </c>
      <c r="W109" s="25">
        <f t="shared" si="250"/>
        <v>0.16145667427942234</v>
      </c>
      <c r="X109" s="36"/>
      <c r="Y109" s="36"/>
      <c r="AA109" s="124">
        <f t="shared" ref="AA109:AA172" si="321">AA108+1</f>
        <v>66</v>
      </c>
      <c r="AB109" s="128">
        <f t="shared" si="251"/>
        <v>116413.54870372331</v>
      </c>
      <c r="AC109" s="124">
        <f t="shared" ref="AC109:AC172" si="322">AC108+1</f>
        <v>66</v>
      </c>
      <c r="AD109" s="130">
        <f t="shared" ref="AD109:AD140" si="323">MAX(INDEX(scenariusz_I_stopa_NBP,MATCH(ROUNDUP(AC109/12,0),scenariusz_I_rok,0)),0)</f>
        <v>4.2500000000000003E-2</v>
      </c>
      <c r="AE109" s="127">
        <f t="shared" ref="AE109:AE140" si="324">IF(AK108="tak",
ROUNDDOWN(AM108/zamiana_ROR,0)+ROUNDDOWN(AP108/100,0),
AE108)</f>
        <v>1213</v>
      </c>
      <c r="AF109" s="128">
        <f t="shared" ref="AF109:AF140" si="325">IF(AK108="tak",
ROUNDDOWN(AM108/zamiana_ROR,0)*zamiana_ROR+ROUNDDOWN(AP108/100,0)*100,
AF108)</f>
        <v>121182.90000000001</v>
      </c>
      <c r="AG109" s="128">
        <f t="shared" si="140"/>
        <v>121300</v>
      </c>
      <c r="AH109" s="128">
        <f t="shared" ref="AH109:AH116" si="326">AG109</f>
        <v>121300</v>
      </c>
      <c r="AI109" s="130">
        <f t="shared" si="252"/>
        <v>4.2500000000000003E-2</v>
      </c>
      <c r="AJ109" s="128">
        <f t="shared" si="253"/>
        <v>121729.60416666669</v>
      </c>
      <c r="AK109" s="128" t="str">
        <f t="shared" si="254"/>
        <v>nie</v>
      </c>
      <c r="AL109" s="128">
        <f t="shared" si="255"/>
        <v>606.5</v>
      </c>
      <c r="AM109" s="128">
        <f t="shared" si="150"/>
        <v>121156.71437500001</v>
      </c>
      <c r="AN109" s="128">
        <f t="shared" si="256"/>
        <v>347.97937500001575</v>
      </c>
      <c r="AO109" s="130">
        <f t="shared" si="257"/>
        <v>4.2500000000000003E-2</v>
      </c>
      <c r="AP109" s="128">
        <f t="shared" si="258"/>
        <v>2168.2957876173359</v>
      </c>
      <c r="AQ109" s="128">
        <f t="shared" si="156"/>
        <v>122977.03078761733</v>
      </c>
      <c r="AS109" s="124">
        <f t="shared" ref="AS109:AS172" si="327">AS108+1</f>
        <v>66</v>
      </c>
      <c r="AT109" s="130">
        <f t="shared" ref="AT109:AT172" si="328">MAX(INDEX(scenariusz_I_stopa_NBP,MATCH(ROUNDUP(AS109/12,0),scenariusz_I_rok,0)),0)</f>
        <v>4.2500000000000003E-2</v>
      </c>
      <c r="AU109" s="127">
        <f t="shared" ref="AU109:AU140" si="329">IF(BA108="tak",
ROUNDDOWN(BC108/zamiana_DOR,0)+ROUNDDOWN(BF108/100,0),
AU108)</f>
        <v>1162</v>
      </c>
      <c r="AV109" s="128">
        <f t="shared" ref="AV109:AV140" si="330">IF(BA108="tak",
ROUNDDOWN(BC108/zamiana_DOR,0)*zamiana_DOR+ROUNDDOWN(BF108/100,0)*100,
AV108)</f>
        <v>116091.90000000001</v>
      </c>
      <c r="AW109" s="128">
        <f t="shared" si="151"/>
        <v>116200</v>
      </c>
      <c r="AX109" s="128">
        <f t="shared" ref="AX109:AX116" si="331">AW109</f>
        <v>116200</v>
      </c>
      <c r="AY109" s="130">
        <f t="shared" si="259"/>
        <v>4.4000000000000004E-2</v>
      </c>
      <c r="AZ109" s="128">
        <f t="shared" si="260"/>
        <v>116626.06666666667</v>
      </c>
      <c r="BA109" s="128" t="str">
        <f t="shared" si="261"/>
        <v>nie</v>
      </c>
      <c r="BB109" s="128">
        <f t="shared" si="262"/>
        <v>813.4</v>
      </c>
      <c r="BC109" s="128">
        <f t="shared" si="158"/>
        <v>115886.26000000001</v>
      </c>
      <c r="BD109" s="128">
        <f t="shared" si="263"/>
        <v>345.11399999999924</v>
      </c>
      <c r="BE109" s="130">
        <f t="shared" si="264"/>
        <v>4.2500000000000003E-2</v>
      </c>
      <c r="BF109" s="128">
        <f t="shared" si="265"/>
        <v>6383.971337775708</v>
      </c>
      <c r="BG109" s="128">
        <f t="shared" si="159"/>
        <v>121925.11733777572</v>
      </c>
      <c r="BI109" s="124">
        <f t="shared" ref="BI109:BI172" si="332">BI108+1</f>
        <v>66</v>
      </c>
      <c r="BJ109" s="130">
        <f t="shared" si="242"/>
        <v>4.1300000000000003E-2</v>
      </c>
      <c r="BK109" s="127">
        <f t="shared" ref="BK109:BK140" si="333">IF(BQ108="tak",
ROUNDDOWN(BS108/zamiana_TOS,0),
BK108)</f>
        <v>1119</v>
      </c>
      <c r="BL109" s="128">
        <f t="shared" ref="BL109:BL140" si="334">IF(BQ108="tak",
BK109*zamiana_TOS,
BL108)</f>
        <v>111788.1</v>
      </c>
      <c r="BM109" s="128">
        <f t="shared" si="142"/>
        <v>111900</v>
      </c>
      <c r="BN109" s="128">
        <f t="shared" ref="BN109:BN140" si="335">IF(BQ108="tak",
 BM109,
IF(MOD($AA109,kapitalizacja_odsetek_mc_ROS)&lt;&gt;1,BN108,BP108))</f>
        <v>122548.65577499999</v>
      </c>
      <c r="BO109" s="130">
        <f t="shared" si="266"/>
        <v>4.65E-2</v>
      </c>
      <c r="BP109" s="128">
        <f t="shared" si="267"/>
        <v>125397.91202176875</v>
      </c>
      <c r="BQ109" s="128" t="str">
        <f t="shared" si="268"/>
        <v>nie</v>
      </c>
      <c r="BR109" s="128">
        <f t="shared" si="269"/>
        <v>1119</v>
      </c>
      <c r="BS109" s="128">
        <f t="shared" si="153"/>
        <v>121926.91873763269</v>
      </c>
      <c r="BT109" s="128">
        <f t="shared" ref="BT109:BT115" si="336">IF(AND(BQ109="tak",BL110&lt;&gt;""),
 BS109-BL110,
0)</f>
        <v>0</v>
      </c>
      <c r="BU109" s="130">
        <f t="shared" si="270"/>
        <v>4.2500000000000003E-2</v>
      </c>
      <c r="BV109" s="128">
        <f t="shared" si="271"/>
        <v>49.006557563811164</v>
      </c>
      <c r="BW109" s="128">
        <f t="shared" si="243"/>
        <v>121975.9252951965</v>
      </c>
      <c r="BY109" s="130">
        <f t="shared" si="244"/>
        <v>2.8000000000000001E-2</v>
      </c>
      <c r="BZ109" s="127">
        <f t="shared" ref="BZ109:BZ140" si="337">IF(CF108="tak",
ROUNDDOWN(CH108/zamiana_COI,0)+ROUNDDOWN(CK108/100,0),
BZ108)</f>
        <v>1154</v>
      </c>
      <c r="CA109" s="128">
        <f t="shared" ref="CA109:CA140" si="338">IF(CF108="tak",
ROUNDDOWN(CH108/zamiana_COI,0)*zamiana_COI+ROUNDDOWN(CK108/100,0)*100,
CA108)</f>
        <v>115296.5</v>
      </c>
      <c r="CB109" s="128">
        <f t="shared" si="154"/>
        <v>115400</v>
      </c>
      <c r="CC109" s="128">
        <f t="shared" ref="CC109:CC116" si="339">CB109</f>
        <v>115400</v>
      </c>
      <c r="CD109" s="130">
        <f t="shared" si="272"/>
        <v>4.2999999999999997E-2</v>
      </c>
      <c r="CE109" s="128">
        <f t="shared" si="273"/>
        <v>117881.1</v>
      </c>
      <c r="CF109" s="128" t="str">
        <f t="shared" si="274"/>
        <v>nie</v>
      </c>
      <c r="CG109" s="128">
        <f t="shared" si="275"/>
        <v>2308</v>
      </c>
      <c r="CH109" s="128">
        <f t="shared" si="160"/>
        <v>115540.21100000001</v>
      </c>
      <c r="CI109" s="128">
        <f t="shared" si="276"/>
        <v>0</v>
      </c>
      <c r="CJ109" s="130">
        <f t="shared" si="277"/>
        <v>4.2500000000000003E-2</v>
      </c>
      <c r="CK109" s="128">
        <f t="shared" si="278"/>
        <v>4767.5267825745341</v>
      </c>
      <c r="CL109" s="128">
        <f t="shared" si="279"/>
        <v>120307.73778257455</v>
      </c>
      <c r="CN109" s="127">
        <f t="shared" ref="CN109:CN140" si="340">IF(CT108="tak",
ROUNDDOWN(CV108/zamiana_EDO,0),
CN108)</f>
        <v>1000</v>
      </c>
      <c r="CO109" s="128">
        <f t="shared" ref="CO109:CO140" si="341">IF(CT108="tak",
CN109*zamiana_EDO,
CO108)</f>
        <v>100000</v>
      </c>
      <c r="CP109" s="128">
        <f t="shared" ref="CP109:CP172" si="342">IF(CT108="tak",
CN109*100,
CP108)</f>
        <v>100000</v>
      </c>
      <c r="CQ109" s="128">
        <f t="shared" ref="CQ109:CQ140" si="343">IF(CT108="tak",
 CP109,
IF(MOD($AA109,kapitalizacja_odsetek_mc_EDO)&lt;&gt;1,CQ108,CS108))</f>
        <v>127382.28902952962</v>
      </c>
      <c r="CR109" s="130">
        <f t="shared" si="280"/>
        <v>4.8000000000000001E-2</v>
      </c>
      <c r="CS109" s="128">
        <f t="shared" si="281"/>
        <v>130439.46396623834</v>
      </c>
      <c r="CT109" s="128" t="str">
        <f t="shared" si="282"/>
        <v>nie</v>
      </c>
      <c r="CU109" s="128">
        <f t="shared" si="283"/>
        <v>3000</v>
      </c>
      <c r="CV109" s="128">
        <f t="shared" si="284"/>
        <v>122225.96581265306</v>
      </c>
      <c r="CW109" s="128">
        <f t="shared" si="285"/>
        <v>0</v>
      </c>
      <c r="CX109" s="130">
        <f t="shared" si="286"/>
        <v>4.2500000000000003E-2</v>
      </c>
      <c r="CY109" s="128">
        <f t="shared" si="287"/>
        <v>0</v>
      </c>
      <c r="CZ109" s="128">
        <f t="shared" si="288"/>
        <v>122225.96581265306</v>
      </c>
      <c r="DA109" s="20"/>
      <c r="DB109" s="127">
        <f t="shared" si="144"/>
        <v>1000</v>
      </c>
      <c r="DC109" s="128">
        <f t="shared" si="145"/>
        <v>100000</v>
      </c>
      <c r="DD109" s="128">
        <f t="shared" ref="DD109:DD172" si="344">IF(DH108="tak",
DB109*100,
DD108)</f>
        <v>100000</v>
      </c>
      <c r="DE109" s="128">
        <f t="shared" ref="DE109:DE140" si="345">IF(DH108="tak",
 DD109,
IF(MOD($AA109,kapitalizacja_odsetek_mc_ROS)&lt;&gt;1,DE108,DG108))</f>
        <v>126899.78035896322</v>
      </c>
      <c r="DF109" s="130">
        <f t="shared" si="289"/>
        <v>4.8000000000000001E-2</v>
      </c>
      <c r="DG109" s="128">
        <f t="shared" si="290"/>
        <v>129945.37508757834</v>
      </c>
      <c r="DH109" s="128" t="str">
        <f t="shared" si="291"/>
        <v>nie</v>
      </c>
      <c r="DI109" s="128">
        <f t="shared" si="292"/>
        <v>2000</v>
      </c>
      <c r="DJ109" s="128">
        <f t="shared" si="293"/>
        <v>122635.75382093847</v>
      </c>
      <c r="DK109" s="128">
        <f t="shared" si="294"/>
        <v>0</v>
      </c>
      <c r="DL109" s="130">
        <f t="shared" si="295"/>
        <v>4.2500000000000003E-2</v>
      </c>
      <c r="DM109" s="128">
        <f t="shared" si="296"/>
        <v>0</v>
      </c>
      <c r="DN109" s="128">
        <f t="shared" si="297"/>
        <v>122635.75382093847</v>
      </c>
      <c r="DP109" s="127">
        <f t="shared" si="146"/>
        <v>1000</v>
      </c>
      <c r="DQ109" s="128">
        <f t="shared" si="147"/>
        <v>100000</v>
      </c>
      <c r="DR109" s="128">
        <f t="shared" ref="DR109:DR172" si="346">IF(DV108="tak",
DP109*100,
DR108)</f>
        <v>100000</v>
      </c>
      <c r="DS109" s="128">
        <f t="shared" ref="DS109:DS140" si="347">IF(DV108="tak",
 DR109,
IF(MOD($AA109,kapitalizacja_odsetek_mc_ROD)&lt;&gt;1,DS108,DU108))</f>
        <v>130138.06562921382</v>
      </c>
      <c r="DT109" s="130">
        <f t="shared" si="298"/>
        <v>5.3000000000000005E-2</v>
      </c>
      <c r="DU109" s="128">
        <f t="shared" si="299"/>
        <v>133586.72436838798</v>
      </c>
      <c r="DV109" s="128" t="str">
        <f t="shared" si="300"/>
        <v>nie</v>
      </c>
      <c r="DW109" s="128">
        <f t="shared" si="301"/>
        <v>3000</v>
      </c>
      <c r="DX109" s="128">
        <f t="shared" si="302"/>
        <v>124775.24673839426</v>
      </c>
      <c r="DY109" s="128">
        <f t="shared" si="303"/>
        <v>0</v>
      </c>
      <c r="DZ109" s="130">
        <f t="shared" si="304"/>
        <v>4.2500000000000003E-2</v>
      </c>
      <c r="EA109" s="128">
        <f t="shared" si="305"/>
        <v>0</v>
      </c>
      <c r="EB109" s="128">
        <f t="shared" si="306"/>
        <v>124775.24673839426</v>
      </c>
    </row>
    <row r="110" spans="1:132">
      <c r="A110" s="224"/>
      <c r="B110" s="188">
        <f t="shared" si="307"/>
        <v>66</v>
      </c>
      <c r="C110" s="128">
        <f t="shared" si="308"/>
        <v>122977.03078761733</v>
      </c>
      <c r="D110" s="128">
        <f t="shared" si="309"/>
        <v>121925.11733777572</v>
      </c>
      <c r="E110" s="128">
        <f t="shared" si="310"/>
        <v>121975.9252951965</v>
      </c>
      <c r="F110" s="128">
        <f t="shared" si="311"/>
        <v>120307.73778257455</v>
      </c>
      <c r="G110" s="128">
        <f t="shared" si="312"/>
        <v>122225.96581265306</v>
      </c>
      <c r="H110" s="128">
        <f t="shared" si="313"/>
        <v>122635.75382093847</v>
      </c>
      <c r="I110" s="128">
        <f t="shared" si="314"/>
        <v>124775.24673839426</v>
      </c>
      <c r="J110" s="128">
        <f t="shared" si="315"/>
        <v>120812.12141367976</v>
      </c>
      <c r="K110" s="128">
        <f t="shared" si="316"/>
        <v>116413.54870372331</v>
      </c>
      <c r="M110" s="36"/>
      <c r="N110" s="32">
        <f t="shared" si="317"/>
        <v>66</v>
      </c>
      <c r="O110" s="25">
        <f t="shared" si="318"/>
        <v>0.22977030787617325</v>
      </c>
      <c r="P110" s="25">
        <f t="shared" si="319"/>
        <v>0.21925117337775712</v>
      </c>
      <c r="Q110" s="25">
        <f t="shared" si="320"/>
        <v>0.21975925295196497</v>
      </c>
      <c r="R110" s="25">
        <f t="shared" si="245"/>
        <v>0.20307737782574553</v>
      </c>
      <c r="S110" s="25">
        <f t="shared" si="246"/>
        <v>0.22225965812653059</v>
      </c>
      <c r="T110" s="25">
        <f t="shared" si="247"/>
        <v>0.22635753820938476</v>
      </c>
      <c r="U110" s="25">
        <f t="shared" si="248"/>
        <v>0.24775246738394263</v>
      </c>
      <c r="V110" s="25">
        <f t="shared" si="249"/>
        <v>0.20812121413679763</v>
      </c>
      <c r="W110" s="25">
        <f t="shared" si="250"/>
        <v>0.16413548703723313</v>
      </c>
      <c r="X110" s="36"/>
      <c r="Y110" s="36"/>
      <c r="AA110" s="124">
        <f t="shared" si="321"/>
        <v>67</v>
      </c>
      <c r="AB110" s="128">
        <f t="shared" si="251"/>
        <v>116681.42997950439</v>
      </c>
      <c r="AC110" s="124">
        <f t="shared" si="322"/>
        <v>67</v>
      </c>
      <c r="AD110" s="130">
        <f t="shared" si="323"/>
        <v>4.2500000000000003E-2</v>
      </c>
      <c r="AE110" s="127">
        <f t="shared" si="324"/>
        <v>1213</v>
      </c>
      <c r="AF110" s="128">
        <f t="shared" si="325"/>
        <v>121182.90000000001</v>
      </c>
      <c r="AG110" s="128">
        <f t="shared" ref="AG110:AG173" si="348">IF(AK109="tak",
AE110*100,
AG109)</f>
        <v>121300</v>
      </c>
      <c r="AH110" s="128">
        <f t="shared" si="326"/>
        <v>121300</v>
      </c>
      <c r="AI110" s="130">
        <f t="shared" si="252"/>
        <v>4.2500000000000003E-2</v>
      </c>
      <c r="AJ110" s="128">
        <f t="shared" si="253"/>
        <v>121729.60416666669</v>
      </c>
      <c r="AK110" s="128" t="str">
        <f t="shared" si="254"/>
        <v>nie</v>
      </c>
      <c r="AL110" s="128">
        <f t="shared" si="255"/>
        <v>606.5</v>
      </c>
      <c r="AM110" s="128">
        <f t="shared" si="150"/>
        <v>121156.71437500001</v>
      </c>
      <c r="AN110" s="128">
        <f t="shared" si="256"/>
        <v>347.97937500001575</v>
      </c>
      <c r="AO110" s="130">
        <f t="shared" si="257"/>
        <v>4.2500000000000003E-2</v>
      </c>
      <c r="AP110" s="128">
        <f t="shared" si="258"/>
        <v>2522.4954611580788</v>
      </c>
      <c r="AQ110" s="128">
        <f t="shared" si="156"/>
        <v>123331.23046115808</v>
      </c>
      <c r="AS110" s="124">
        <f t="shared" si="327"/>
        <v>67</v>
      </c>
      <c r="AT110" s="130">
        <f t="shared" si="328"/>
        <v>4.2500000000000003E-2</v>
      </c>
      <c r="AU110" s="127">
        <f t="shared" si="329"/>
        <v>1162</v>
      </c>
      <c r="AV110" s="128">
        <f t="shared" si="330"/>
        <v>116091.90000000001</v>
      </c>
      <c r="AW110" s="128">
        <f t="shared" si="151"/>
        <v>116200</v>
      </c>
      <c r="AX110" s="128">
        <f t="shared" si="331"/>
        <v>116200</v>
      </c>
      <c r="AY110" s="130">
        <f t="shared" si="259"/>
        <v>4.4000000000000004E-2</v>
      </c>
      <c r="AZ110" s="128">
        <f t="shared" si="260"/>
        <v>116626.06666666667</v>
      </c>
      <c r="BA110" s="128" t="str">
        <f t="shared" si="261"/>
        <v>nie</v>
      </c>
      <c r="BB110" s="128">
        <f t="shared" si="262"/>
        <v>813.4</v>
      </c>
      <c r="BC110" s="128">
        <f t="shared" si="158"/>
        <v>115886.26000000001</v>
      </c>
      <c r="BD110" s="128">
        <f t="shared" si="263"/>
        <v>345.11399999999924</v>
      </c>
      <c r="BE110" s="130">
        <f t="shared" si="264"/>
        <v>4.2500000000000003E-2</v>
      </c>
      <c r="BF110" s="128">
        <f t="shared" si="265"/>
        <v>6747.3993555509514</v>
      </c>
      <c r="BG110" s="128">
        <f t="shared" si="159"/>
        <v>122288.54535555096</v>
      </c>
      <c r="BI110" s="124">
        <f t="shared" si="332"/>
        <v>67</v>
      </c>
      <c r="BJ110" s="130">
        <f t="shared" si="242"/>
        <v>4.1300000000000003E-2</v>
      </c>
      <c r="BK110" s="127">
        <f>IF(BQ109="tak",
ROUNDDOWN(BS109/zamiana_TOS,0),
BK109)</f>
        <v>1119</v>
      </c>
      <c r="BL110" s="128">
        <f t="shared" si="334"/>
        <v>111788.1</v>
      </c>
      <c r="BM110" s="128">
        <f t="shared" ref="BM110:BM173" si="349">IF(BQ109="tak",
BK110*100,
BM109)</f>
        <v>111900</v>
      </c>
      <c r="BN110" s="128">
        <f t="shared" si="335"/>
        <v>122548.65577499999</v>
      </c>
      <c r="BO110" s="130">
        <f t="shared" si="266"/>
        <v>4.65E-2</v>
      </c>
      <c r="BP110" s="128">
        <f t="shared" si="267"/>
        <v>125872.78806289687</v>
      </c>
      <c r="BQ110" s="128" t="str">
        <f t="shared" si="268"/>
        <v>nie</v>
      </c>
      <c r="BR110" s="128">
        <f t="shared" si="269"/>
        <v>1119</v>
      </c>
      <c r="BS110" s="128">
        <f t="shared" si="153"/>
        <v>122311.56833094647</v>
      </c>
      <c r="BT110" s="128">
        <f t="shared" si="336"/>
        <v>0</v>
      </c>
      <c r="BU110" s="130">
        <f t="shared" si="270"/>
        <v>4.2500000000000003E-2</v>
      </c>
      <c r="BV110" s="128">
        <f t="shared" si="271"/>
        <v>49.147145125822348</v>
      </c>
      <c r="BW110" s="128">
        <f t="shared" si="243"/>
        <v>122360.71547607229</v>
      </c>
      <c r="BY110" s="130">
        <f t="shared" si="244"/>
        <v>2.8000000000000001E-2</v>
      </c>
      <c r="BZ110" s="127">
        <f t="shared" si="337"/>
        <v>1154</v>
      </c>
      <c r="CA110" s="128">
        <f t="shared" si="338"/>
        <v>115296.5</v>
      </c>
      <c r="CB110" s="128">
        <f t="shared" si="154"/>
        <v>115400</v>
      </c>
      <c r="CC110" s="128">
        <f t="shared" si="339"/>
        <v>115400</v>
      </c>
      <c r="CD110" s="130">
        <f t="shared" si="272"/>
        <v>4.2999999999999997E-2</v>
      </c>
      <c r="CE110" s="128">
        <f t="shared" si="273"/>
        <v>118294.61666666667</v>
      </c>
      <c r="CF110" s="128" t="str">
        <f t="shared" si="274"/>
        <v>nie</v>
      </c>
      <c r="CG110" s="128">
        <f t="shared" si="275"/>
        <v>2308</v>
      </c>
      <c r="CH110" s="128">
        <f t="shared" si="160"/>
        <v>115875.15950000001</v>
      </c>
      <c r="CI110" s="128">
        <f t="shared" si="276"/>
        <v>0</v>
      </c>
      <c r="CJ110" s="130">
        <f t="shared" si="277"/>
        <v>4.2500000000000003E-2</v>
      </c>
      <c r="CK110" s="128">
        <f t="shared" si="278"/>
        <v>4781.2036250320443</v>
      </c>
      <c r="CL110" s="128">
        <f t="shared" si="279"/>
        <v>120656.36312503205</v>
      </c>
      <c r="CN110" s="127">
        <f t="shared" si="340"/>
        <v>1000</v>
      </c>
      <c r="CO110" s="128">
        <f t="shared" si="341"/>
        <v>100000</v>
      </c>
      <c r="CP110" s="128">
        <f t="shared" si="342"/>
        <v>100000</v>
      </c>
      <c r="CQ110" s="128">
        <f t="shared" si="343"/>
        <v>127382.28902952962</v>
      </c>
      <c r="CR110" s="130">
        <f t="shared" si="280"/>
        <v>4.8000000000000001E-2</v>
      </c>
      <c r="CS110" s="128">
        <f t="shared" si="281"/>
        <v>130948.99312235646</v>
      </c>
      <c r="CT110" s="128" t="str">
        <f t="shared" si="282"/>
        <v>nie</v>
      </c>
      <c r="CU110" s="128">
        <f t="shared" si="283"/>
        <v>3000</v>
      </c>
      <c r="CV110" s="128">
        <f t="shared" si="284"/>
        <v>122638.68442910873</v>
      </c>
      <c r="CW110" s="128">
        <f t="shared" si="285"/>
        <v>0</v>
      </c>
      <c r="CX110" s="130">
        <f t="shared" si="286"/>
        <v>4.2500000000000003E-2</v>
      </c>
      <c r="CY110" s="128">
        <f t="shared" si="287"/>
        <v>0</v>
      </c>
      <c r="CZ110" s="128">
        <f t="shared" si="288"/>
        <v>122638.68442910873</v>
      </c>
      <c r="DA110" s="20"/>
      <c r="DB110" s="127">
        <f t="shared" ref="DB110:DB173" si="350">IF(DH109="tak",
ROUNDDOWN(DJ109/100,0),
DB109)</f>
        <v>1000</v>
      </c>
      <c r="DC110" s="128">
        <f t="shared" ref="DC110:DC173" si="351">IF(DH109="tak",
DB110*100,
DC109)</f>
        <v>100000</v>
      </c>
      <c r="DD110" s="128">
        <f t="shared" si="344"/>
        <v>100000</v>
      </c>
      <c r="DE110" s="128">
        <f t="shared" si="345"/>
        <v>126899.78035896322</v>
      </c>
      <c r="DF110" s="130">
        <f t="shared" si="289"/>
        <v>4.8000000000000001E-2</v>
      </c>
      <c r="DG110" s="128">
        <f t="shared" si="290"/>
        <v>130452.9742090142</v>
      </c>
      <c r="DH110" s="128" t="str">
        <f t="shared" si="291"/>
        <v>nie</v>
      </c>
      <c r="DI110" s="128">
        <f t="shared" si="292"/>
        <v>2000</v>
      </c>
      <c r="DJ110" s="128">
        <f t="shared" si="293"/>
        <v>123046.9091093015</v>
      </c>
      <c r="DK110" s="128">
        <f t="shared" si="294"/>
        <v>0</v>
      </c>
      <c r="DL110" s="130">
        <f t="shared" si="295"/>
        <v>4.2500000000000003E-2</v>
      </c>
      <c r="DM110" s="128">
        <f t="shared" si="296"/>
        <v>0</v>
      </c>
      <c r="DN110" s="128">
        <f t="shared" si="297"/>
        <v>123046.9091093015</v>
      </c>
      <c r="DP110" s="127">
        <f t="shared" ref="DP110:DP173" si="352">IF(DV109="tak",
ROUNDDOWN(DX109/100,0),
DP109)</f>
        <v>1000</v>
      </c>
      <c r="DQ110" s="128">
        <f t="shared" ref="DQ110:DQ173" si="353">IF(DV109="tak",
DP110*100,
DQ109)</f>
        <v>100000</v>
      </c>
      <c r="DR110" s="128">
        <f t="shared" si="346"/>
        <v>100000</v>
      </c>
      <c r="DS110" s="128">
        <f t="shared" si="347"/>
        <v>130138.06562921382</v>
      </c>
      <c r="DT110" s="130">
        <f t="shared" si="298"/>
        <v>5.3000000000000005E-2</v>
      </c>
      <c r="DU110" s="128">
        <f t="shared" si="299"/>
        <v>134161.50082491702</v>
      </c>
      <c r="DV110" s="128" t="str">
        <f t="shared" si="300"/>
        <v>nie</v>
      </c>
      <c r="DW110" s="128">
        <f t="shared" si="301"/>
        <v>3000</v>
      </c>
      <c r="DX110" s="128">
        <f t="shared" si="302"/>
        <v>125240.81566818278</v>
      </c>
      <c r="DY110" s="128">
        <f t="shared" si="303"/>
        <v>0</v>
      </c>
      <c r="DZ110" s="130">
        <f t="shared" si="304"/>
        <v>4.2500000000000003E-2</v>
      </c>
      <c r="EA110" s="128">
        <f t="shared" si="305"/>
        <v>0</v>
      </c>
      <c r="EB110" s="128">
        <f t="shared" si="306"/>
        <v>125240.81566818278</v>
      </c>
    </row>
    <row r="111" spans="1:132">
      <c r="A111" s="224"/>
      <c r="B111" s="188">
        <f t="shared" si="307"/>
        <v>67</v>
      </c>
      <c r="C111" s="128">
        <f t="shared" si="308"/>
        <v>123331.23046115808</v>
      </c>
      <c r="D111" s="128">
        <f t="shared" si="309"/>
        <v>122288.54535555096</v>
      </c>
      <c r="E111" s="128">
        <f t="shared" si="310"/>
        <v>122360.71547607229</v>
      </c>
      <c r="F111" s="128">
        <f t="shared" si="311"/>
        <v>120656.36312503205</v>
      </c>
      <c r="G111" s="128">
        <f t="shared" si="312"/>
        <v>122638.68442910873</v>
      </c>
      <c r="H111" s="128">
        <f t="shared" si="313"/>
        <v>123046.9091093015</v>
      </c>
      <c r="I111" s="128">
        <f t="shared" si="314"/>
        <v>125240.81566818278</v>
      </c>
      <c r="J111" s="128">
        <f t="shared" si="315"/>
        <v>121158.70118698526</v>
      </c>
      <c r="K111" s="128">
        <f t="shared" si="316"/>
        <v>116681.42997950439</v>
      </c>
      <c r="M111" s="36"/>
      <c r="N111" s="32">
        <f t="shared" si="317"/>
        <v>67</v>
      </c>
      <c r="O111" s="25">
        <f t="shared" si="318"/>
        <v>0.23331230461158081</v>
      </c>
      <c r="P111" s="25">
        <f t="shared" si="319"/>
        <v>0.22288545355550959</v>
      </c>
      <c r="Q111" s="25">
        <f t="shared" si="320"/>
        <v>0.22360715476072301</v>
      </c>
      <c r="R111" s="25">
        <f t="shared" si="245"/>
        <v>0.20656363125032051</v>
      </c>
      <c r="S111" s="25">
        <f t="shared" si="246"/>
        <v>0.22638684429108724</v>
      </c>
      <c r="T111" s="25">
        <f t="shared" si="247"/>
        <v>0.23046909109301494</v>
      </c>
      <c r="U111" s="25">
        <f t="shared" si="248"/>
        <v>0.25240815668182792</v>
      </c>
      <c r="V111" s="25">
        <f t="shared" si="249"/>
        <v>0.21158701186985263</v>
      </c>
      <c r="W111" s="25">
        <f t="shared" si="250"/>
        <v>0.16681429979504392</v>
      </c>
      <c r="X111" s="36"/>
      <c r="Y111" s="36"/>
      <c r="AA111" s="124">
        <f t="shared" si="321"/>
        <v>68</v>
      </c>
      <c r="AB111" s="128">
        <f t="shared" si="251"/>
        <v>116949.31125528547</v>
      </c>
      <c r="AC111" s="124">
        <f t="shared" si="322"/>
        <v>68</v>
      </c>
      <c r="AD111" s="130">
        <f t="shared" si="323"/>
        <v>4.2500000000000003E-2</v>
      </c>
      <c r="AE111" s="127">
        <f t="shared" si="324"/>
        <v>1213</v>
      </c>
      <c r="AF111" s="128">
        <f t="shared" si="325"/>
        <v>121182.90000000001</v>
      </c>
      <c r="AG111" s="128">
        <f t="shared" si="348"/>
        <v>121300</v>
      </c>
      <c r="AH111" s="128">
        <f t="shared" si="326"/>
        <v>121300</v>
      </c>
      <c r="AI111" s="130">
        <f t="shared" si="252"/>
        <v>4.2500000000000003E-2</v>
      </c>
      <c r="AJ111" s="128">
        <f t="shared" si="253"/>
        <v>121729.60416666669</v>
      </c>
      <c r="AK111" s="128" t="str">
        <f t="shared" si="254"/>
        <v>nie</v>
      </c>
      <c r="AL111" s="128">
        <f t="shared" si="255"/>
        <v>606.5</v>
      </c>
      <c r="AM111" s="128">
        <f t="shared" si="150"/>
        <v>121156.71437500001</v>
      </c>
      <c r="AN111" s="128">
        <f t="shared" si="256"/>
        <v>347.97937500001575</v>
      </c>
      <c r="AO111" s="130">
        <f t="shared" si="257"/>
        <v>4.2500000000000003E-2</v>
      </c>
      <c r="AP111" s="128">
        <f t="shared" si="258"/>
        <v>2877.7112450122918</v>
      </c>
      <c r="AQ111" s="128">
        <f t="shared" si="156"/>
        <v>123686.44624501228</v>
      </c>
      <c r="AS111" s="124">
        <f t="shared" si="327"/>
        <v>68</v>
      </c>
      <c r="AT111" s="130">
        <f t="shared" si="328"/>
        <v>4.2500000000000003E-2</v>
      </c>
      <c r="AU111" s="127">
        <f t="shared" si="329"/>
        <v>1162</v>
      </c>
      <c r="AV111" s="128">
        <f t="shared" si="330"/>
        <v>116091.90000000001</v>
      </c>
      <c r="AW111" s="128">
        <f t="shared" si="151"/>
        <v>116200</v>
      </c>
      <c r="AX111" s="128">
        <f t="shared" si="331"/>
        <v>116200</v>
      </c>
      <c r="AY111" s="130">
        <f t="shared" si="259"/>
        <v>4.4000000000000004E-2</v>
      </c>
      <c r="AZ111" s="128">
        <f t="shared" si="260"/>
        <v>116626.06666666667</v>
      </c>
      <c r="BA111" s="128" t="str">
        <f t="shared" si="261"/>
        <v>nie</v>
      </c>
      <c r="BB111" s="128">
        <f t="shared" si="262"/>
        <v>813.4</v>
      </c>
      <c r="BC111" s="128">
        <f t="shared" si="158"/>
        <v>115886.26000000001</v>
      </c>
      <c r="BD111" s="128">
        <f t="shared" si="263"/>
        <v>345.11399999999924</v>
      </c>
      <c r="BE111" s="130">
        <f t="shared" si="264"/>
        <v>4.2500000000000003E-2</v>
      </c>
      <c r="BF111" s="128">
        <f t="shared" si="265"/>
        <v>7111.8699574521879</v>
      </c>
      <c r="BG111" s="128">
        <f t="shared" si="159"/>
        <v>122653.0159574522</v>
      </c>
      <c r="BI111" s="124">
        <f t="shared" si="332"/>
        <v>68</v>
      </c>
      <c r="BJ111" s="130">
        <f t="shared" si="242"/>
        <v>4.1300000000000003E-2</v>
      </c>
      <c r="BK111" s="127">
        <f t="shared" si="333"/>
        <v>1119</v>
      </c>
      <c r="BL111" s="128">
        <f t="shared" si="334"/>
        <v>111788.1</v>
      </c>
      <c r="BM111" s="128">
        <f t="shared" si="349"/>
        <v>111900</v>
      </c>
      <c r="BN111" s="128">
        <f t="shared" si="335"/>
        <v>122548.65577499999</v>
      </c>
      <c r="BO111" s="130">
        <f t="shared" si="266"/>
        <v>4.65E-2</v>
      </c>
      <c r="BP111" s="128">
        <f t="shared" si="267"/>
        <v>126347.66410402498</v>
      </c>
      <c r="BQ111" s="128" t="str">
        <f t="shared" si="268"/>
        <v>nie</v>
      </c>
      <c r="BR111" s="128">
        <f t="shared" si="269"/>
        <v>1119</v>
      </c>
      <c r="BS111" s="128">
        <f t="shared" si="153"/>
        <v>122696.21792426023</v>
      </c>
      <c r="BT111" s="128">
        <f t="shared" si="336"/>
        <v>0</v>
      </c>
      <c r="BU111" s="130">
        <f t="shared" si="270"/>
        <v>4.2500000000000003E-2</v>
      </c>
      <c r="BV111" s="128">
        <f t="shared" si="271"/>
        <v>49.288135998402048</v>
      </c>
      <c r="BW111" s="128">
        <f t="shared" si="243"/>
        <v>122745.50606025863</v>
      </c>
      <c r="BY111" s="130">
        <f t="shared" si="244"/>
        <v>2.8000000000000001E-2</v>
      </c>
      <c r="BZ111" s="127">
        <f t="shared" si="337"/>
        <v>1154</v>
      </c>
      <c r="CA111" s="128">
        <f t="shared" si="338"/>
        <v>115296.5</v>
      </c>
      <c r="CB111" s="128">
        <f t="shared" si="154"/>
        <v>115400</v>
      </c>
      <c r="CC111" s="128">
        <f t="shared" si="339"/>
        <v>115400</v>
      </c>
      <c r="CD111" s="130">
        <f t="shared" si="272"/>
        <v>4.2999999999999997E-2</v>
      </c>
      <c r="CE111" s="128">
        <f t="shared" si="273"/>
        <v>118708.13333333333</v>
      </c>
      <c r="CF111" s="128" t="str">
        <f t="shared" si="274"/>
        <v>nie</v>
      </c>
      <c r="CG111" s="128">
        <f t="shared" si="275"/>
        <v>2308</v>
      </c>
      <c r="CH111" s="128">
        <f t="shared" si="160"/>
        <v>116210.10799999999</v>
      </c>
      <c r="CI111" s="128">
        <f t="shared" si="276"/>
        <v>0</v>
      </c>
      <c r="CJ111" s="130">
        <f t="shared" si="277"/>
        <v>4.2500000000000003E-2</v>
      </c>
      <c r="CK111" s="128">
        <f t="shared" si="278"/>
        <v>4794.9197029313545</v>
      </c>
      <c r="CL111" s="128">
        <f t="shared" si="279"/>
        <v>121005.02770293134</v>
      </c>
      <c r="CN111" s="127">
        <f t="shared" si="340"/>
        <v>1000</v>
      </c>
      <c r="CO111" s="128">
        <f t="shared" si="341"/>
        <v>100000</v>
      </c>
      <c r="CP111" s="128">
        <f t="shared" si="342"/>
        <v>100000</v>
      </c>
      <c r="CQ111" s="128">
        <f t="shared" si="343"/>
        <v>127382.28902952962</v>
      </c>
      <c r="CR111" s="130">
        <f t="shared" si="280"/>
        <v>4.8000000000000001E-2</v>
      </c>
      <c r="CS111" s="128">
        <f t="shared" si="281"/>
        <v>131458.52227847459</v>
      </c>
      <c r="CT111" s="128" t="str">
        <f t="shared" si="282"/>
        <v>nie</v>
      </c>
      <c r="CU111" s="128">
        <f t="shared" si="283"/>
        <v>3000</v>
      </c>
      <c r="CV111" s="128">
        <f t="shared" si="284"/>
        <v>123051.40304556441</v>
      </c>
      <c r="CW111" s="128">
        <f t="shared" si="285"/>
        <v>0</v>
      </c>
      <c r="CX111" s="130">
        <f t="shared" si="286"/>
        <v>4.2500000000000003E-2</v>
      </c>
      <c r="CY111" s="128">
        <f t="shared" si="287"/>
        <v>0</v>
      </c>
      <c r="CZ111" s="128">
        <f t="shared" si="288"/>
        <v>123051.40304556441</v>
      </c>
      <c r="DA111" s="20"/>
      <c r="DB111" s="127">
        <f t="shared" si="350"/>
        <v>1000</v>
      </c>
      <c r="DC111" s="128">
        <f t="shared" si="351"/>
        <v>100000</v>
      </c>
      <c r="DD111" s="128">
        <f t="shared" si="344"/>
        <v>100000</v>
      </c>
      <c r="DE111" s="128">
        <f t="shared" si="345"/>
        <v>126899.78035896322</v>
      </c>
      <c r="DF111" s="130">
        <f t="shared" si="289"/>
        <v>4.8000000000000001E-2</v>
      </c>
      <c r="DG111" s="128">
        <f t="shared" si="290"/>
        <v>130960.57333045005</v>
      </c>
      <c r="DH111" s="128" t="str">
        <f t="shared" si="291"/>
        <v>nie</v>
      </c>
      <c r="DI111" s="128">
        <f t="shared" si="292"/>
        <v>2000</v>
      </c>
      <c r="DJ111" s="128">
        <f t="shared" si="293"/>
        <v>123458.06439766454</v>
      </c>
      <c r="DK111" s="128">
        <f t="shared" si="294"/>
        <v>0</v>
      </c>
      <c r="DL111" s="130">
        <f t="shared" si="295"/>
        <v>4.2500000000000003E-2</v>
      </c>
      <c r="DM111" s="128">
        <f t="shared" si="296"/>
        <v>0</v>
      </c>
      <c r="DN111" s="128">
        <f t="shared" si="297"/>
        <v>123458.06439766454</v>
      </c>
      <c r="DP111" s="127">
        <f t="shared" si="352"/>
        <v>1000</v>
      </c>
      <c r="DQ111" s="128">
        <f t="shared" si="353"/>
        <v>100000</v>
      </c>
      <c r="DR111" s="128">
        <f t="shared" si="346"/>
        <v>100000</v>
      </c>
      <c r="DS111" s="128">
        <f t="shared" si="347"/>
        <v>130138.06562921382</v>
      </c>
      <c r="DT111" s="130">
        <f t="shared" si="298"/>
        <v>5.3000000000000005E-2</v>
      </c>
      <c r="DU111" s="128">
        <f t="shared" si="299"/>
        <v>134736.27728144606</v>
      </c>
      <c r="DV111" s="128" t="str">
        <f t="shared" si="300"/>
        <v>nie</v>
      </c>
      <c r="DW111" s="128">
        <f t="shared" si="301"/>
        <v>3000</v>
      </c>
      <c r="DX111" s="128">
        <f t="shared" si="302"/>
        <v>125706.38459797131</v>
      </c>
      <c r="DY111" s="128">
        <f t="shared" si="303"/>
        <v>0</v>
      </c>
      <c r="DZ111" s="130">
        <f t="shared" si="304"/>
        <v>4.2500000000000003E-2</v>
      </c>
      <c r="EA111" s="128">
        <f t="shared" si="305"/>
        <v>0</v>
      </c>
      <c r="EB111" s="128">
        <f t="shared" si="306"/>
        <v>125706.38459797131</v>
      </c>
    </row>
    <row r="112" spans="1:132">
      <c r="A112" s="224"/>
      <c r="B112" s="188">
        <f t="shared" si="307"/>
        <v>68</v>
      </c>
      <c r="C112" s="128">
        <f t="shared" si="308"/>
        <v>123686.44624501228</v>
      </c>
      <c r="D112" s="128">
        <f t="shared" si="309"/>
        <v>122653.0159574522</v>
      </c>
      <c r="E112" s="128">
        <f t="shared" si="310"/>
        <v>122745.50606025863</v>
      </c>
      <c r="F112" s="128">
        <f t="shared" si="311"/>
        <v>121005.02770293134</v>
      </c>
      <c r="G112" s="128">
        <f t="shared" si="312"/>
        <v>123051.40304556441</v>
      </c>
      <c r="H112" s="128">
        <f t="shared" si="313"/>
        <v>123458.06439766454</v>
      </c>
      <c r="I112" s="128">
        <f t="shared" si="314"/>
        <v>125706.38459797131</v>
      </c>
      <c r="J112" s="128">
        <f t="shared" si="315"/>
        <v>121506.27521101543</v>
      </c>
      <c r="K112" s="128">
        <f t="shared" si="316"/>
        <v>116949.31125528547</v>
      </c>
      <c r="M112" s="36"/>
      <c r="N112" s="32">
        <f t="shared" si="317"/>
        <v>68</v>
      </c>
      <c r="O112" s="25">
        <f t="shared" si="318"/>
        <v>0.23686446245012283</v>
      </c>
      <c r="P112" s="25">
        <f t="shared" si="319"/>
        <v>0.22653015957452194</v>
      </c>
      <c r="Q112" s="25">
        <f t="shared" si="320"/>
        <v>0.22745506060258625</v>
      </c>
      <c r="R112" s="25">
        <f t="shared" si="245"/>
        <v>0.21005027702931334</v>
      </c>
      <c r="S112" s="25">
        <f t="shared" si="246"/>
        <v>0.23051403045564411</v>
      </c>
      <c r="T112" s="25">
        <f t="shared" si="247"/>
        <v>0.23458064397664535</v>
      </c>
      <c r="U112" s="25">
        <f t="shared" si="248"/>
        <v>0.25706384597971299</v>
      </c>
      <c r="V112" s="25">
        <f t="shared" si="249"/>
        <v>0.21506275211015424</v>
      </c>
      <c r="W112" s="25">
        <f t="shared" si="250"/>
        <v>0.16949311255285471</v>
      </c>
      <c r="X112" s="36"/>
      <c r="Y112" s="36"/>
      <c r="AA112" s="124">
        <f t="shared" si="321"/>
        <v>69</v>
      </c>
      <c r="AB112" s="128">
        <f t="shared" si="251"/>
        <v>117217.19253106655</v>
      </c>
      <c r="AC112" s="124">
        <f t="shared" si="322"/>
        <v>69</v>
      </c>
      <c r="AD112" s="130">
        <f t="shared" si="323"/>
        <v>4.2500000000000003E-2</v>
      </c>
      <c r="AE112" s="127">
        <f t="shared" si="324"/>
        <v>1213</v>
      </c>
      <c r="AF112" s="128">
        <f t="shared" si="325"/>
        <v>121182.90000000001</v>
      </c>
      <c r="AG112" s="128">
        <f t="shared" si="348"/>
        <v>121300</v>
      </c>
      <c r="AH112" s="128">
        <f t="shared" si="326"/>
        <v>121300</v>
      </c>
      <c r="AI112" s="130">
        <f t="shared" si="252"/>
        <v>4.2500000000000003E-2</v>
      </c>
      <c r="AJ112" s="128">
        <f t="shared" si="253"/>
        <v>121729.60416666669</v>
      </c>
      <c r="AK112" s="128" t="str">
        <f t="shared" si="254"/>
        <v>nie</v>
      </c>
      <c r="AL112" s="128">
        <f t="shared" si="255"/>
        <v>606.5</v>
      </c>
      <c r="AM112" s="128">
        <f t="shared" si="150"/>
        <v>121156.71437500001</v>
      </c>
      <c r="AN112" s="128">
        <f t="shared" si="256"/>
        <v>347.97937500001575</v>
      </c>
      <c r="AO112" s="130">
        <f t="shared" si="257"/>
        <v>4.2500000000000003E-2</v>
      </c>
      <c r="AP112" s="128">
        <f t="shared" si="258"/>
        <v>3233.9460541464364</v>
      </c>
      <c r="AQ112" s="128">
        <f t="shared" si="156"/>
        <v>124042.68105414644</v>
      </c>
      <c r="AS112" s="124">
        <f t="shared" si="327"/>
        <v>69</v>
      </c>
      <c r="AT112" s="130">
        <f t="shared" si="328"/>
        <v>4.2500000000000003E-2</v>
      </c>
      <c r="AU112" s="127">
        <f t="shared" si="329"/>
        <v>1162</v>
      </c>
      <c r="AV112" s="128">
        <f t="shared" si="330"/>
        <v>116091.90000000001</v>
      </c>
      <c r="AW112" s="128">
        <f t="shared" si="151"/>
        <v>116200</v>
      </c>
      <c r="AX112" s="128">
        <f t="shared" si="331"/>
        <v>116200</v>
      </c>
      <c r="AY112" s="130">
        <f t="shared" si="259"/>
        <v>4.4000000000000004E-2</v>
      </c>
      <c r="AZ112" s="128">
        <f t="shared" si="260"/>
        <v>116626.06666666667</v>
      </c>
      <c r="BA112" s="128" t="str">
        <f t="shared" si="261"/>
        <v>nie</v>
      </c>
      <c r="BB112" s="128">
        <f t="shared" si="262"/>
        <v>813.4</v>
      </c>
      <c r="BC112" s="128">
        <f t="shared" si="158"/>
        <v>115886.26000000001</v>
      </c>
      <c r="BD112" s="128">
        <f t="shared" si="263"/>
        <v>345.11399999999924</v>
      </c>
      <c r="BE112" s="130">
        <f t="shared" si="264"/>
        <v>4.2500000000000003E-2</v>
      </c>
      <c r="BF112" s="128">
        <f t="shared" si="265"/>
        <v>7477.3861343926283</v>
      </c>
      <c r="BG112" s="128">
        <f t="shared" si="159"/>
        <v>123018.53213439263</v>
      </c>
      <c r="BI112" s="124">
        <f t="shared" si="332"/>
        <v>69</v>
      </c>
      <c r="BJ112" s="130">
        <f t="shared" si="242"/>
        <v>4.1300000000000003E-2</v>
      </c>
      <c r="BK112" s="127">
        <f t="shared" si="333"/>
        <v>1119</v>
      </c>
      <c r="BL112" s="128">
        <f t="shared" si="334"/>
        <v>111788.1</v>
      </c>
      <c r="BM112" s="128">
        <f t="shared" si="349"/>
        <v>111900</v>
      </c>
      <c r="BN112" s="128">
        <f t="shared" si="335"/>
        <v>122548.65577499999</v>
      </c>
      <c r="BO112" s="130">
        <f t="shared" si="266"/>
        <v>4.65E-2</v>
      </c>
      <c r="BP112" s="128">
        <f t="shared" si="267"/>
        <v>126822.54014515312</v>
      </c>
      <c r="BQ112" s="128" t="str">
        <f t="shared" si="268"/>
        <v>nie</v>
      </c>
      <c r="BR112" s="128">
        <f t="shared" si="269"/>
        <v>1119</v>
      </c>
      <c r="BS112" s="128">
        <f t="shared" si="153"/>
        <v>123080.86751757404</v>
      </c>
      <c r="BT112" s="128">
        <f t="shared" si="336"/>
        <v>0</v>
      </c>
      <c r="BU112" s="130">
        <f t="shared" si="270"/>
        <v>4.2500000000000003E-2</v>
      </c>
      <c r="BV112" s="128">
        <f t="shared" si="271"/>
        <v>49.429531338547463</v>
      </c>
      <c r="BW112" s="128">
        <f t="shared" si="243"/>
        <v>123130.29704891259</v>
      </c>
      <c r="BY112" s="130">
        <f t="shared" si="244"/>
        <v>2.8000000000000001E-2</v>
      </c>
      <c r="BZ112" s="127">
        <f t="shared" si="337"/>
        <v>1154</v>
      </c>
      <c r="CA112" s="128">
        <f t="shared" si="338"/>
        <v>115296.5</v>
      </c>
      <c r="CB112" s="128">
        <f t="shared" si="154"/>
        <v>115400</v>
      </c>
      <c r="CC112" s="128">
        <f t="shared" si="339"/>
        <v>115400</v>
      </c>
      <c r="CD112" s="130">
        <f t="shared" si="272"/>
        <v>4.2999999999999997E-2</v>
      </c>
      <c r="CE112" s="128">
        <f t="shared" si="273"/>
        <v>119121.65</v>
      </c>
      <c r="CF112" s="128" t="str">
        <f t="shared" si="274"/>
        <v>nie</v>
      </c>
      <c r="CG112" s="128">
        <f t="shared" si="275"/>
        <v>2308</v>
      </c>
      <c r="CH112" s="128">
        <f t="shared" si="160"/>
        <v>116545.05649999999</v>
      </c>
      <c r="CI112" s="128">
        <f t="shared" si="276"/>
        <v>0</v>
      </c>
      <c r="CJ112" s="130">
        <f t="shared" si="277"/>
        <v>4.2500000000000003E-2</v>
      </c>
      <c r="CK112" s="128">
        <f t="shared" si="278"/>
        <v>4808.6751288291389</v>
      </c>
      <c r="CL112" s="128">
        <f t="shared" si="279"/>
        <v>121353.73162882913</v>
      </c>
      <c r="CN112" s="127">
        <f t="shared" si="340"/>
        <v>1000</v>
      </c>
      <c r="CO112" s="128">
        <f t="shared" si="341"/>
        <v>100000</v>
      </c>
      <c r="CP112" s="128">
        <f t="shared" si="342"/>
        <v>100000</v>
      </c>
      <c r="CQ112" s="128">
        <f t="shared" si="343"/>
        <v>127382.28902952962</v>
      </c>
      <c r="CR112" s="130">
        <f t="shared" si="280"/>
        <v>4.8000000000000001E-2</v>
      </c>
      <c r="CS112" s="128">
        <f t="shared" si="281"/>
        <v>131968.05143459269</v>
      </c>
      <c r="CT112" s="128" t="str">
        <f t="shared" si="282"/>
        <v>nie</v>
      </c>
      <c r="CU112" s="128">
        <f t="shared" si="283"/>
        <v>3000</v>
      </c>
      <c r="CV112" s="128">
        <f t="shared" si="284"/>
        <v>123464.12166202009</v>
      </c>
      <c r="CW112" s="128">
        <f t="shared" si="285"/>
        <v>0</v>
      </c>
      <c r="CX112" s="130">
        <f t="shared" si="286"/>
        <v>4.2500000000000003E-2</v>
      </c>
      <c r="CY112" s="128">
        <f t="shared" si="287"/>
        <v>0</v>
      </c>
      <c r="CZ112" s="128">
        <f t="shared" si="288"/>
        <v>123464.12166202009</v>
      </c>
      <c r="DA112" s="20"/>
      <c r="DB112" s="127">
        <f t="shared" si="350"/>
        <v>1000</v>
      </c>
      <c r="DC112" s="128">
        <f t="shared" si="351"/>
        <v>100000</v>
      </c>
      <c r="DD112" s="128">
        <f t="shared" si="344"/>
        <v>100000</v>
      </c>
      <c r="DE112" s="128">
        <f t="shared" si="345"/>
        <v>126899.78035896322</v>
      </c>
      <c r="DF112" s="130">
        <f t="shared" si="289"/>
        <v>4.8000000000000001E-2</v>
      </c>
      <c r="DG112" s="128">
        <f t="shared" si="290"/>
        <v>131468.17245188591</v>
      </c>
      <c r="DH112" s="128" t="str">
        <f t="shared" si="291"/>
        <v>nie</v>
      </c>
      <c r="DI112" s="128">
        <f t="shared" si="292"/>
        <v>2000</v>
      </c>
      <c r="DJ112" s="128">
        <f t="shared" si="293"/>
        <v>123869.21968602759</v>
      </c>
      <c r="DK112" s="128">
        <f t="shared" si="294"/>
        <v>0</v>
      </c>
      <c r="DL112" s="130">
        <f t="shared" si="295"/>
        <v>4.2500000000000003E-2</v>
      </c>
      <c r="DM112" s="128">
        <f t="shared" si="296"/>
        <v>0</v>
      </c>
      <c r="DN112" s="128">
        <f t="shared" si="297"/>
        <v>123869.21968602759</v>
      </c>
      <c r="DP112" s="127">
        <f t="shared" si="352"/>
        <v>1000</v>
      </c>
      <c r="DQ112" s="128">
        <f t="shared" si="353"/>
        <v>100000</v>
      </c>
      <c r="DR112" s="128">
        <f t="shared" si="346"/>
        <v>100000</v>
      </c>
      <c r="DS112" s="128">
        <f t="shared" si="347"/>
        <v>130138.06562921382</v>
      </c>
      <c r="DT112" s="130">
        <f t="shared" si="298"/>
        <v>5.3000000000000005E-2</v>
      </c>
      <c r="DU112" s="128">
        <f t="shared" si="299"/>
        <v>135311.05373797505</v>
      </c>
      <c r="DV112" s="128" t="str">
        <f t="shared" si="300"/>
        <v>nie</v>
      </c>
      <c r="DW112" s="128">
        <f t="shared" si="301"/>
        <v>3000</v>
      </c>
      <c r="DX112" s="128">
        <f t="shared" si="302"/>
        <v>126171.95352775979</v>
      </c>
      <c r="DY112" s="128">
        <f t="shared" si="303"/>
        <v>0</v>
      </c>
      <c r="DZ112" s="130">
        <f t="shared" si="304"/>
        <v>4.2500000000000003E-2</v>
      </c>
      <c r="EA112" s="128">
        <f t="shared" si="305"/>
        <v>0</v>
      </c>
      <c r="EB112" s="128">
        <f t="shared" si="306"/>
        <v>126171.95352775979</v>
      </c>
    </row>
    <row r="113" spans="1:132">
      <c r="A113" s="224"/>
      <c r="B113" s="188">
        <f t="shared" si="307"/>
        <v>69</v>
      </c>
      <c r="C113" s="128">
        <f t="shared" si="308"/>
        <v>124042.68105414644</v>
      </c>
      <c r="D113" s="128">
        <f t="shared" si="309"/>
        <v>123018.53213439263</v>
      </c>
      <c r="E113" s="128">
        <f t="shared" si="310"/>
        <v>123130.29704891259</v>
      </c>
      <c r="F113" s="128">
        <f t="shared" si="311"/>
        <v>121353.73162882913</v>
      </c>
      <c r="G113" s="128">
        <f t="shared" si="312"/>
        <v>123464.12166202009</v>
      </c>
      <c r="H113" s="128">
        <f t="shared" si="313"/>
        <v>123869.21968602759</v>
      </c>
      <c r="I113" s="128">
        <f t="shared" si="314"/>
        <v>126171.95352775979</v>
      </c>
      <c r="J113" s="128">
        <f t="shared" si="315"/>
        <v>121854.84633802703</v>
      </c>
      <c r="K113" s="128">
        <f t="shared" si="316"/>
        <v>117217.19253106655</v>
      </c>
      <c r="M113" s="36"/>
      <c r="N113" s="32">
        <f t="shared" si="317"/>
        <v>69</v>
      </c>
      <c r="O113" s="25">
        <f t="shared" si="318"/>
        <v>0.24042681054146442</v>
      </c>
      <c r="P113" s="25">
        <f t="shared" si="319"/>
        <v>0.23018532134392644</v>
      </c>
      <c r="Q113" s="25">
        <f t="shared" si="320"/>
        <v>0.23130297048912585</v>
      </c>
      <c r="R113" s="25">
        <f t="shared" si="245"/>
        <v>0.21353731628829142</v>
      </c>
      <c r="S113" s="25">
        <f t="shared" si="246"/>
        <v>0.23464121662020077</v>
      </c>
      <c r="T113" s="25">
        <f t="shared" si="247"/>
        <v>0.23869219686027576</v>
      </c>
      <c r="U113" s="25">
        <f t="shared" si="248"/>
        <v>0.26171953527759784</v>
      </c>
      <c r="V113" s="25">
        <f t="shared" si="249"/>
        <v>0.21854846338027034</v>
      </c>
      <c r="W113" s="25">
        <f t="shared" si="250"/>
        <v>0.1721719253106655</v>
      </c>
      <c r="X113" s="36"/>
      <c r="Y113" s="36"/>
      <c r="AA113" s="124">
        <f t="shared" si="321"/>
        <v>70</v>
      </c>
      <c r="AB113" s="128">
        <f t="shared" si="251"/>
        <v>117485.07380684766</v>
      </c>
      <c r="AC113" s="124">
        <f t="shared" si="322"/>
        <v>70</v>
      </c>
      <c r="AD113" s="130">
        <f t="shared" si="323"/>
        <v>4.2500000000000003E-2</v>
      </c>
      <c r="AE113" s="127">
        <f t="shared" si="324"/>
        <v>1213</v>
      </c>
      <c r="AF113" s="128">
        <f t="shared" si="325"/>
        <v>121182.90000000001</v>
      </c>
      <c r="AG113" s="128">
        <f t="shared" si="348"/>
        <v>121300</v>
      </c>
      <c r="AH113" s="128">
        <f t="shared" si="326"/>
        <v>121300</v>
      </c>
      <c r="AI113" s="130">
        <f t="shared" si="252"/>
        <v>4.2500000000000003E-2</v>
      </c>
      <c r="AJ113" s="128">
        <f t="shared" si="253"/>
        <v>121729.60416666669</v>
      </c>
      <c r="AK113" s="128" t="str">
        <f t="shared" si="254"/>
        <v>nie</v>
      </c>
      <c r="AL113" s="128">
        <f t="shared" si="255"/>
        <v>606.5</v>
      </c>
      <c r="AM113" s="128">
        <f t="shared" si="150"/>
        <v>121156.71437500001</v>
      </c>
      <c r="AN113" s="128">
        <f t="shared" si="256"/>
        <v>347.97937500001575</v>
      </c>
      <c r="AO113" s="130">
        <f t="shared" si="257"/>
        <v>4.2500000000000003E-2</v>
      </c>
      <c r="AP113" s="128">
        <f t="shared" si="258"/>
        <v>3591.2028118892845</v>
      </c>
      <c r="AQ113" s="128">
        <f t="shared" si="156"/>
        <v>124399.93781188928</v>
      </c>
      <c r="AS113" s="124">
        <f t="shared" si="327"/>
        <v>70</v>
      </c>
      <c r="AT113" s="130">
        <f t="shared" si="328"/>
        <v>4.2500000000000003E-2</v>
      </c>
      <c r="AU113" s="127">
        <f t="shared" si="329"/>
        <v>1162</v>
      </c>
      <c r="AV113" s="128">
        <f t="shared" si="330"/>
        <v>116091.90000000001</v>
      </c>
      <c r="AW113" s="128">
        <f t="shared" si="151"/>
        <v>116200</v>
      </c>
      <c r="AX113" s="128">
        <f t="shared" si="331"/>
        <v>116200</v>
      </c>
      <c r="AY113" s="130">
        <f t="shared" si="259"/>
        <v>4.4000000000000004E-2</v>
      </c>
      <c r="AZ113" s="128">
        <f t="shared" si="260"/>
        <v>116626.06666666667</v>
      </c>
      <c r="BA113" s="128" t="str">
        <f t="shared" si="261"/>
        <v>nie</v>
      </c>
      <c r="BB113" s="128">
        <f t="shared" si="262"/>
        <v>813.4</v>
      </c>
      <c r="BC113" s="128">
        <f t="shared" si="158"/>
        <v>115886.26000000001</v>
      </c>
      <c r="BD113" s="128">
        <f t="shared" si="263"/>
        <v>345.11399999999924</v>
      </c>
      <c r="BE113" s="130">
        <f t="shared" si="264"/>
        <v>4.2500000000000003E-2</v>
      </c>
      <c r="BF113" s="128">
        <f t="shared" si="265"/>
        <v>7843.9508858656664</v>
      </c>
      <c r="BG113" s="128">
        <f t="shared" si="159"/>
        <v>123385.09688586567</v>
      </c>
      <c r="BI113" s="124">
        <f t="shared" si="332"/>
        <v>70</v>
      </c>
      <c r="BJ113" s="130">
        <f t="shared" si="242"/>
        <v>4.1300000000000003E-2</v>
      </c>
      <c r="BK113" s="127">
        <f t="shared" si="333"/>
        <v>1119</v>
      </c>
      <c r="BL113" s="128">
        <f t="shared" si="334"/>
        <v>111788.1</v>
      </c>
      <c r="BM113" s="128">
        <f t="shared" si="349"/>
        <v>111900</v>
      </c>
      <c r="BN113" s="128">
        <f t="shared" si="335"/>
        <v>122548.65577499999</v>
      </c>
      <c r="BO113" s="130">
        <f t="shared" si="266"/>
        <v>4.65E-2</v>
      </c>
      <c r="BP113" s="128">
        <f t="shared" si="267"/>
        <v>127297.41618628125</v>
      </c>
      <c r="BQ113" s="128" t="str">
        <f t="shared" si="268"/>
        <v>nie</v>
      </c>
      <c r="BR113" s="128">
        <f t="shared" si="269"/>
        <v>1119</v>
      </c>
      <c r="BS113" s="128">
        <f t="shared" si="153"/>
        <v>123465.51711088781</v>
      </c>
      <c r="BT113" s="128">
        <f t="shared" si="336"/>
        <v>0</v>
      </c>
      <c r="BU113" s="130">
        <f t="shared" si="270"/>
        <v>4.2500000000000003E-2</v>
      </c>
      <c r="BV113" s="128">
        <f t="shared" si="271"/>
        <v>49.571332306574917</v>
      </c>
      <c r="BW113" s="128">
        <f t="shared" si="243"/>
        <v>123515.08844319439</v>
      </c>
      <c r="BY113" s="130">
        <f t="shared" si="244"/>
        <v>2.8000000000000001E-2</v>
      </c>
      <c r="BZ113" s="127">
        <f t="shared" si="337"/>
        <v>1154</v>
      </c>
      <c r="CA113" s="128">
        <f t="shared" si="338"/>
        <v>115296.5</v>
      </c>
      <c r="CB113" s="128">
        <f t="shared" si="154"/>
        <v>115400</v>
      </c>
      <c r="CC113" s="128">
        <f t="shared" si="339"/>
        <v>115400</v>
      </c>
      <c r="CD113" s="130">
        <f t="shared" si="272"/>
        <v>4.2999999999999997E-2</v>
      </c>
      <c r="CE113" s="128">
        <f t="shared" si="273"/>
        <v>119535.16666666667</v>
      </c>
      <c r="CF113" s="128" t="str">
        <f t="shared" si="274"/>
        <v>nie</v>
      </c>
      <c r="CG113" s="128">
        <f t="shared" si="275"/>
        <v>2308</v>
      </c>
      <c r="CH113" s="128">
        <f t="shared" si="160"/>
        <v>116880.005</v>
      </c>
      <c r="CI113" s="128">
        <f t="shared" si="276"/>
        <v>0</v>
      </c>
      <c r="CJ113" s="130">
        <f t="shared" si="277"/>
        <v>4.2500000000000003E-2</v>
      </c>
      <c r="CK113" s="128">
        <f t="shared" si="278"/>
        <v>4822.4700156049676</v>
      </c>
      <c r="CL113" s="128">
        <f t="shared" si="279"/>
        <v>121702.47501560497</v>
      </c>
      <c r="CN113" s="127">
        <f t="shared" si="340"/>
        <v>1000</v>
      </c>
      <c r="CO113" s="128">
        <f t="shared" si="341"/>
        <v>100000</v>
      </c>
      <c r="CP113" s="128">
        <f t="shared" si="342"/>
        <v>100000</v>
      </c>
      <c r="CQ113" s="128">
        <f t="shared" si="343"/>
        <v>127382.28902952962</v>
      </c>
      <c r="CR113" s="130">
        <f t="shared" si="280"/>
        <v>4.8000000000000001E-2</v>
      </c>
      <c r="CS113" s="128">
        <f t="shared" si="281"/>
        <v>132477.5805907108</v>
      </c>
      <c r="CT113" s="128" t="str">
        <f t="shared" si="282"/>
        <v>nie</v>
      </c>
      <c r="CU113" s="128">
        <f t="shared" si="283"/>
        <v>3000</v>
      </c>
      <c r="CV113" s="128">
        <f t="shared" si="284"/>
        <v>123876.84027847575</v>
      </c>
      <c r="CW113" s="128">
        <f t="shared" si="285"/>
        <v>0</v>
      </c>
      <c r="CX113" s="130">
        <f t="shared" si="286"/>
        <v>4.2500000000000003E-2</v>
      </c>
      <c r="CY113" s="128">
        <f t="shared" si="287"/>
        <v>0</v>
      </c>
      <c r="CZ113" s="128">
        <f t="shared" si="288"/>
        <v>123876.84027847575</v>
      </c>
      <c r="DA113" s="20"/>
      <c r="DB113" s="127">
        <f t="shared" si="350"/>
        <v>1000</v>
      </c>
      <c r="DC113" s="128">
        <f t="shared" si="351"/>
        <v>100000</v>
      </c>
      <c r="DD113" s="128">
        <f t="shared" si="344"/>
        <v>100000</v>
      </c>
      <c r="DE113" s="128">
        <f t="shared" si="345"/>
        <v>126899.78035896322</v>
      </c>
      <c r="DF113" s="130">
        <f t="shared" si="289"/>
        <v>4.8000000000000001E-2</v>
      </c>
      <c r="DG113" s="128">
        <f t="shared" si="290"/>
        <v>131975.77157332175</v>
      </c>
      <c r="DH113" s="128" t="str">
        <f t="shared" si="291"/>
        <v>nie</v>
      </c>
      <c r="DI113" s="128">
        <f t="shared" si="292"/>
        <v>2000</v>
      </c>
      <c r="DJ113" s="128">
        <f t="shared" si="293"/>
        <v>124280.37497439062</v>
      </c>
      <c r="DK113" s="128">
        <f t="shared" si="294"/>
        <v>0</v>
      </c>
      <c r="DL113" s="130">
        <f t="shared" si="295"/>
        <v>4.2500000000000003E-2</v>
      </c>
      <c r="DM113" s="128">
        <f t="shared" si="296"/>
        <v>0</v>
      </c>
      <c r="DN113" s="128">
        <f t="shared" si="297"/>
        <v>124280.37497439062</v>
      </c>
      <c r="DP113" s="127">
        <f t="shared" si="352"/>
        <v>1000</v>
      </c>
      <c r="DQ113" s="128">
        <f t="shared" si="353"/>
        <v>100000</v>
      </c>
      <c r="DR113" s="128">
        <f t="shared" si="346"/>
        <v>100000</v>
      </c>
      <c r="DS113" s="128">
        <f t="shared" si="347"/>
        <v>130138.06562921382</v>
      </c>
      <c r="DT113" s="130">
        <f t="shared" si="298"/>
        <v>5.3000000000000005E-2</v>
      </c>
      <c r="DU113" s="128">
        <f t="shared" si="299"/>
        <v>135885.83019450409</v>
      </c>
      <c r="DV113" s="128" t="str">
        <f t="shared" si="300"/>
        <v>nie</v>
      </c>
      <c r="DW113" s="128">
        <f t="shared" si="301"/>
        <v>3000</v>
      </c>
      <c r="DX113" s="128">
        <f t="shared" si="302"/>
        <v>126637.52245754832</v>
      </c>
      <c r="DY113" s="128">
        <f t="shared" si="303"/>
        <v>0</v>
      </c>
      <c r="DZ113" s="130">
        <f t="shared" si="304"/>
        <v>4.2500000000000003E-2</v>
      </c>
      <c r="EA113" s="128">
        <f t="shared" si="305"/>
        <v>0</v>
      </c>
      <c r="EB113" s="128">
        <f t="shared" si="306"/>
        <v>126637.52245754832</v>
      </c>
    </row>
    <row r="114" spans="1:132">
      <c r="A114" s="224"/>
      <c r="B114" s="188">
        <f t="shared" si="307"/>
        <v>70</v>
      </c>
      <c r="C114" s="128">
        <f t="shared" si="308"/>
        <v>124399.93781188928</v>
      </c>
      <c r="D114" s="128">
        <f t="shared" si="309"/>
        <v>123385.09688586567</v>
      </c>
      <c r="E114" s="128">
        <f t="shared" si="310"/>
        <v>123515.08844319439</v>
      </c>
      <c r="F114" s="128">
        <f t="shared" si="311"/>
        <v>121702.47501560497</v>
      </c>
      <c r="G114" s="128">
        <f t="shared" si="312"/>
        <v>123876.84027847575</v>
      </c>
      <c r="H114" s="128">
        <f t="shared" si="313"/>
        <v>124280.37497439062</v>
      </c>
      <c r="I114" s="128">
        <f t="shared" si="314"/>
        <v>126637.52245754832</v>
      </c>
      <c r="J114" s="128">
        <f t="shared" si="315"/>
        <v>122204.41742845924</v>
      </c>
      <c r="K114" s="128">
        <f t="shared" si="316"/>
        <v>117485.07380684766</v>
      </c>
      <c r="M114" s="36"/>
      <c r="N114" s="32">
        <f t="shared" si="317"/>
        <v>70</v>
      </c>
      <c r="O114" s="25">
        <f t="shared" si="318"/>
        <v>0.24399937811889272</v>
      </c>
      <c r="P114" s="25">
        <f t="shared" si="319"/>
        <v>0.23385096885865675</v>
      </c>
      <c r="Q114" s="25">
        <f t="shared" si="320"/>
        <v>0.23515088443194387</v>
      </c>
      <c r="R114" s="25">
        <f t="shared" si="245"/>
        <v>0.21702475015604961</v>
      </c>
      <c r="S114" s="25">
        <f t="shared" si="246"/>
        <v>0.23876840278475742</v>
      </c>
      <c r="T114" s="25">
        <f t="shared" si="247"/>
        <v>0.24280374974390617</v>
      </c>
      <c r="U114" s="25">
        <f t="shared" si="248"/>
        <v>0.26637522457548313</v>
      </c>
      <c r="V114" s="25">
        <f t="shared" si="249"/>
        <v>0.22204417428459244</v>
      </c>
      <c r="W114" s="25">
        <f t="shared" si="250"/>
        <v>0.17485073806847673</v>
      </c>
      <c r="X114" s="36"/>
      <c r="Y114" s="36"/>
      <c r="AA114" s="124">
        <f t="shared" si="321"/>
        <v>71</v>
      </c>
      <c r="AB114" s="128">
        <f t="shared" si="251"/>
        <v>117752.95508262875</v>
      </c>
      <c r="AC114" s="124">
        <f t="shared" si="322"/>
        <v>71</v>
      </c>
      <c r="AD114" s="130">
        <f t="shared" si="323"/>
        <v>4.2500000000000003E-2</v>
      </c>
      <c r="AE114" s="127">
        <f t="shared" si="324"/>
        <v>1213</v>
      </c>
      <c r="AF114" s="128">
        <f t="shared" si="325"/>
        <v>121182.90000000001</v>
      </c>
      <c r="AG114" s="128">
        <f t="shared" si="348"/>
        <v>121300</v>
      </c>
      <c r="AH114" s="128">
        <f t="shared" si="326"/>
        <v>121300</v>
      </c>
      <c r="AI114" s="130">
        <f t="shared" si="252"/>
        <v>4.2500000000000003E-2</v>
      </c>
      <c r="AJ114" s="128">
        <f t="shared" si="253"/>
        <v>121729.60416666669</v>
      </c>
      <c r="AK114" s="128" t="str">
        <f t="shared" si="254"/>
        <v>nie</v>
      </c>
      <c r="AL114" s="128">
        <f t="shared" si="255"/>
        <v>606.5</v>
      </c>
      <c r="AM114" s="128">
        <f t="shared" si="150"/>
        <v>121156.71437500001</v>
      </c>
      <c r="AN114" s="128">
        <f t="shared" si="256"/>
        <v>347.97937500001575</v>
      </c>
      <c r="AO114" s="130">
        <f t="shared" si="257"/>
        <v>4.2500000000000003E-2</v>
      </c>
      <c r="AP114" s="128">
        <f t="shared" si="258"/>
        <v>3949.4844499559076</v>
      </c>
      <c r="AQ114" s="128">
        <f t="shared" si="156"/>
        <v>124758.2194499559</v>
      </c>
      <c r="AS114" s="124">
        <f t="shared" si="327"/>
        <v>71</v>
      </c>
      <c r="AT114" s="130">
        <f t="shared" si="328"/>
        <v>4.2500000000000003E-2</v>
      </c>
      <c r="AU114" s="127">
        <f t="shared" si="329"/>
        <v>1162</v>
      </c>
      <c r="AV114" s="128">
        <f t="shared" si="330"/>
        <v>116091.90000000001</v>
      </c>
      <c r="AW114" s="128">
        <f t="shared" si="151"/>
        <v>116200</v>
      </c>
      <c r="AX114" s="128">
        <f t="shared" si="331"/>
        <v>116200</v>
      </c>
      <c r="AY114" s="130">
        <f t="shared" si="259"/>
        <v>4.4000000000000004E-2</v>
      </c>
      <c r="AZ114" s="128">
        <f t="shared" si="260"/>
        <v>116626.06666666667</v>
      </c>
      <c r="BA114" s="128" t="str">
        <f t="shared" si="261"/>
        <v>nie</v>
      </c>
      <c r="BB114" s="128">
        <f t="shared" si="262"/>
        <v>813.4</v>
      </c>
      <c r="BC114" s="128">
        <f t="shared" si="158"/>
        <v>115886.26000000001</v>
      </c>
      <c r="BD114" s="128">
        <f t="shared" si="263"/>
        <v>345.11399999999924</v>
      </c>
      <c r="BE114" s="130">
        <f t="shared" si="264"/>
        <v>4.2500000000000003E-2</v>
      </c>
      <c r="BF114" s="128">
        <f t="shared" si="265"/>
        <v>8211.5672199694927</v>
      </c>
      <c r="BG114" s="128">
        <f t="shared" si="159"/>
        <v>123752.7132199695</v>
      </c>
      <c r="BI114" s="124">
        <f t="shared" si="332"/>
        <v>71</v>
      </c>
      <c r="BJ114" s="130">
        <f t="shared" ref="BJ114:BJ145" si="354">MAX(INDEX(scenariusz_I_WIBOR6M,MATCH(ROUNDUP(BI114/12,0),scenariusz_I_rok,0)),0)</f>
        <v>4.1300000000000003E-2</v>
      </c>
      <c r="BK114" s="127">
        <f t="shared" si="333"/>
        <v>1119</v>
      </c>
      <c r="BL114" s="128">
        <f t="shared" si="334"/>
        <v>111788.1</v>
      </c>
      <c r="BM114" s="128">
        <f t="shared" si="349"/>
        <v>111900</v>
      </c>
      <c r="BN114" s="128">
        <f t="shared" si="335"/>
        <v>122548.65577499999</v>
      </c>
      <c r="BO114" s="130">
        <f t="shared" si="266"/>
        <v>4.65E-2</v>
      </c>
      <c r="BP114" s="128">
        <f t="shared" si="267"/>
        <v>127772.29222740936</v>
      </c>
      <c r="BQ114" s="128" t="str">
        <f t="shared" si="268"/>
        <v>nie</v>
      </c>
      <c r="BR114" s="128">
        <f t="shared" si="269"/>
        <v>1119</v>
      </c>
      <c r="BS114" s="128">
        <f t="shared" si="153"/>
        <v>123850.16670420158</v>
      </c>
      <c r="BT114" s="128">
        <f t="shared" si="336"/>
        <v>0</v>
      </c>
      <c r="BU114" s="130">
        <f t="shared" si="270"/>
        <v>4.2500000000000003E-2</v>
      </c>
      <c r="BV114" s="128">
        <f t="shared" si="271"/>
        <v>49.713540066129404</v>
      </c>
      <c r="BW114" s="128">
        <f t="shared" si="243"/>
        <v>123899.88024426771</v>
      </c>
      <c r="BY114" s="130">
        <f t="shared" si="244"/>
        <v>2.8000000000000001E-2</v>
      </c>
      <c r="BZ114" s="127">
        <f t="shared" si="337"/>
        <v>1154</v>
      </c>
      <c r="CA114" s="128">
        <f t="shared" si="338"/>
        <v>115296.5</v>
      </c>
      <c r="CB114" s="128">
        <f t="shared" si="154"/>
        <v>115400</v>
      </c>
      <c r="CC114" s="128">
        <f t="shared" si="339"/>
        <v>115400</v>
      </c>
      <c r="CD114" s="130">
        <f t="shared" si="272"/>
        <v>4.2999999999999997E-2</v>
      </c>
      <c r="CE114" s="128">
        <f t="shared" si="273"/>
        <v>119948.68333333333</v>
      </c>
      <c r="CF114" s="128" t="str">
        <f t="shared" si="274"/>
        <v>nie</v>
      </c>
      <c r="CG114" s="128">
        <f t="shared" si="275"/>
        <v>2308</v>
      </c>
      <c r="CH114" s="128">
        <f t="shared" si="160"/>
        <v>117214.9535</v>
      </c>
      <c r="CI114" s="128">
        <f t="shared" si="276"/>
        <v>0</v>
      </c>
      <c r="CJ114" s="130">
        <f t="shared" si="277"/>
        <v>4.2500000000000003E-2</v>
      </c>
      <c r="CK114" s="128">
        <f t="shared" si="278"/>
        <v>4836.3044764622346</v>
      </c>
      <c r="CL114" s="128">
        <f t="shared" si="279"/>
        <v>122051.25797646224</v>
      </c>
      <c r="CN114" s="127">
        <f t="shared" si="340"/>
        <v>1000</v>
      </c>
      <c r="CO114" s="128">
        <f t="shared" si="341"/>
        <v>100000</v>
      </c>
      <c r="CP114" s="128">
        <f t="shared" si="342"/>
        <v>100000</v>
      </c>
      <c r="CQ114" s="128">
        <f t="shared" si="343"/>
        <v>127382.28902952962</v>
      </c>
      <c r="CR114" s="130">
        <f t="shared" si="280"/>
        <v>4.8000000000000001E-2</v>
      </c>
      <c r="CS114" s="128">
        <f t="shared" si="281"/>
        <v>132987.10974682894</v>
      </c>
      <c r="CT114" s="128" t="str">
        <f t="shared" si="282"/>
        <v>nie</v>
      </c>
      <c r="CU114" s="128">
        <f t="shared" si="283"/>
        <v>3000</v>
      </c>
      <c r="CV114" s="128">
        <f t="shared" si="284"/>
        <v>124289.55889493144</v>
      </c>
      <c r="CW114" s="128">
        <f t="shared" si="285"/>
        <v>0</v>
      </c>
      <c r="CX114" s="130">
        <f t="shared" si="286"/>
        <v>4.2500000000000003E-2</v>
      </c>
      <c r="CY114" s="128">
        <f t="shared" si="287"/>
        <v>0</v>
      </c>
      <c r="CZ114" s="128">
        <f t="shared" si="288"/>
        <v>124289.55889493144</v>
      </c>
      <c r="DA114" s="20"/>
      <c r="DB114" s="127">
        <f t="shared" si="350"/>
        <v>1000</v>
      </c>
      <c r="DC114" s="128">
        <f t="shared" si="351"/>
        <v>100000</v>
      </c>
      <c r="DD114" s="128">
        <f t="shared" si="344"/>
        <v>100000</v>
      </c>
      <c r="DE114" s="128">
        <f t="shared" si="345"/>
        <v>126899.78035896322</v>
      </c>
      <c r="DF114" s="130">
        <f t="shared" si="289"/>
        <v>4.8000000000000001E-2</v>
      </c>
      <c r="DG114" s="128">
        <f t="shared" si="290"/>
        <v>132483.37069475761</v>
      </c>
      <c r="DH114" s="128" t="str">
        <f t="shared" si="291"/>
        <v>nie</v>
      </c>
      <c r="DI114" s="128">
        <f t="shared" si="292"/>
        <v>2000</v>
      </c>
      <c r="DJ114" s="128">
        <f t="shared" si="293"/>
        <v>124691.53026275367</v>
      </c>
      <c r="DK114" s="128">
        <f t="shared" si="294"/>
        <v>0</v>
      </c>
      <c r="DL114" s="130">
        <f t="shared" si="295"/>
        <v>4.2500000000000003E-2</v>
      </c>
      <c r="DM114" s="128">
        <f t="shared" si="296"/>
        <v>0</v>
      </c>
      <c r="DN114" s="128">
        <f t="shared" si="297"/>
        <v>124691.53026275367</v>
      </c>
      <c r="DP114" s="127">
        <f t="shared" si="352"/>
        <v>1000</v>
      </c>
      <c r="DQ114" s="128">
        <f t="shared" si="353"/>
        <v>100000</v>
      </c>
      <c r="DR114" s="128">
        <f t="shared" si="346"/>
        <v>100000</v>
      </c>
      <c r="DS114" s="128">
        <f t="shared" si="347"/>
        <v>130138.06562921382</v>
      </c>
      <c r="DT114" s="130">
        <f t="shared" si="298"/>
        <v>5.3000000000000005E-2</v>
      </c>
      <c r="DU114" s="128">
        <f t="shared" si="299"/>
        <v>136460.60665103313</v>
      </c>
      <c r="DV114" s="128" t="str">
        <f t="shared" si="300"/>
        <v>nie</v>
      </c>
      <c r="DW114" s="128">
        <f t="shared" si="301"/>
        <v>3000</v>
      </c>
      <c r="DX114" s="128">
        <f t="shared" si="302"/>
        <v>127103.09138733684</v>
      </c>
      <c r="DY114" s="128">
        <f t="shared" si="303"/>
        <v>0</v>
      </c>
      <c r="DZ114" s="130">
        <f t="shared" si="304"/>
        <v>4.2500000000000003E-2</v>
      </c>
      <c r="EA114" s="128">
        <f t="shared" si="305"/>
        <v>0</v>
      </c>
      <c r="EB114" s="128">
        <f t="shared" si="306"/>
        <v>127103.09138733684</v>
      </c>
    </row>
    <row r="115" spans="1:132" ht="14.25" customHeight="1">
      <c r="A115" s="224"/>
      <c r="B115" s="188">
        <f t="shared" si="307"/>
        <v>71</v>
      </c>
      <c r="C115" s="128">
        <f t="shared" si="308"/>
        <v>124758.2194499559</v>
      </c>
      <c r="D115" s="128">
        <f t="shared" si="309"/>
        <v>123752.7132199695</v>
      </c>
      <c r="E115" s="128">
        <f t="shared" si="310"/>
        <v>123899.88024426771</v>
      </c>
      <c r="F115" s="128">
        <f t="shared" si="311"/>
        <v>122051.25797646224</v>
      </c>
      <c r="G115" s="128">
        <f t="shared" si="312"/>
        <v>124289.55889493144</v>
      </c>
      <c r="H115" s="128">
        <f t="shared" si="313"/>
        <v>124691.53026275367</v>
      </c>
      <c r="I115" s="128">
        <f t="shared" si="314"/>
        <v>127103.09138733684</v>
      </c>
      <c r="J115" s="128">
        <f t="shared" si="315"/>
        <v>122554.99135095713</v>
      </c>
      <c r="K115" s="128">
        <f t="shared" si="316"/>
        <v>117752.95508262875</v>
      </c>
      <c r="M115" s="36"/>
      <c r="N115" s="32">
        <f t="shared" si="317"/>
        <v>71</v>
      </c>
      <c r="O115" s="25">
        <f t="shared" si="318"/>
        <v>0.24758219449955887</v>
      </c>
      <c r="P115" s="25">
        <f t="shared" si="319"/>
        <v>0.23752713219969501</v>
      </c>
      <c r="Q115" s="25">
        <f t="shared" si="320"/>
        <v>0.23899880244267702</v>
      </c>
      <c r="R115" s="25">
        <f t="shared" si="245"/>
        <v>0.22051257976462235</v>
      </c>
      <c r="S115" s="25">
        <f t="shared" si="246"/>
        <v>0.24289558894931451</v>
      </c>
      <c r="T115" s="25">
        <f t="shared" si="247"/>
        <v>0.2469153026275368</v>
      </c>
      <c r="U115" s="25">
        <f t="shared" si="248"/>
        <v>0.27103091387336842</v>
      </c>
      <c r="V115" s="25">
        <f t="shared" si="249"/>
        <v>0.22554991350957132</v>
      </c>
      <c r="W115" s="25">
        <f t="shared" si="250"/>
        <v>0.17752955082628752</v>
      </c>
      <c r="X115" s="36"/>
      <c r="Y115" s="36"/>
      <c r="AA115" s="124">
        <f t="shared" si="321"/>
        <v>72</v>
      </c>
      <c r="AB115" s="128">
        <f t="shared" si="251"/>
        <v>118020.83635840983</v>
      </c>
      <c r="AC115" s="124">
        <f t="shared" si="322"/>
        <v>72</v>
      </c>
      <c r="AD115" s="130">
        <f t="shared" si="323"/>
        <v>4.2500000000000003E-2</v>
      </c>
      <c r="AE115" s="127">
        <f t="shared" si="324"/>
        <v>1213</v>
      </c>
      <c r="AF115" s="128">
        <f t="shared" si="325"/>
        <v>121182.90000000001</v>
      </c>
      <c r="AG115" s="128">
        <f t="shared" si="348"/>
        <v>121300</v>
      </c>
      <c r="AH115" s="128">
        <f t="shared" si="326"/>
        <v>121300</v>
      </c>
      <c r="AI115" s="130">
        <f t="shared" si="252"/>
        <v>4.2500000000000003E-2</v>
      </c>
      <c r="AJ115" s="128">
        <f t="shared" si="253"/>
        <v>121729.60416666669</v>
      </c>
      <c r="AK115" s="128" t="str">
        <f t="shared" si="254"/>
        <v>tak</v>
      </c>
      <c r="AL115" s="128">
        <f t="shared" si="255"/>
        <v>0</v>
      </c>
      <c r="AM115" s="128">
        <f t="shared" si="150"/>
        <v>121647.97937500001</v>
      </c>
      <c r="AN115" s="128">
        <f t="shared" si="256"/>
        <v>469.77937500000883</v>
      </c>
      <c r="AO115" s="130">
        <f t="shared" si="257"/>
        <v>4.2500000000000003E-2</v>
      </c>
      <c r="AP115" s="128">
        <f t="shared" si="258"/>
        <v>4430.5939084717274</v>
      </c>
      <c r="AQ115" s="128">
        <f t="shared" si="156"/>
        <v>125608.79390847172</v>
      </c>
      <c r="AS115" s="124">
        <f t="shared" si="327"/>
        <v>72</v>
      </c>
      <c r="AT115" s="130">
        <f t="shared" si="328"/>
        <v>4.2500000000000003E-2</v>
      </c>
      <c r="AU115" s="127">
        <f t="shared" si="329"/>
        <v>1162</v>
      </c>
      <c r="AV115" s="128">
        <f t="shared" si="330"/>
        <v>116091.90000000001</v>
      </c>
      <c r="AW115" s="128">
        <f t="shared" si="151"/>
        <v>116200</v>
      </c>
      <c r="AX115" s="128">
        <f t="shared" si="331"/>
        <v>116200</v>
      </c>
      <c r="AY115" s="130">
        <f t="shared" si="259"/>
        <v>4.4000000000000004E-2</v>
      </c>
      <c r="AZ115" s="128">
        <f t="shared" si="260"/>
        <v>116626.06666666667</v>
      </c>
      <c r="BA115" s="128" t="str">
        <f t="shared" si="261"/>
        <v>tak</v>
      </c>
      <c r="BB115" s="128">
        <f t="shared" si="262"/>
        <v>0</v>
      </c>
      <c r="BC115" s="128">
        <f t="shared" si="158"/>
        <v>116545.114</v>
      </c>
      <c r="BD115" s="128">
        <f t="shared" si="263"/>
        <v>461.81399999999257</v>
      </c>
      <c r="BE115" s="130">
        <f t="shared" si="264"/>
        <v>4.2500000000000003E-2</v>
      </c>
      <c r="BF115" s="128">
        <f t="shared" si="265"/>
        <v>8696.9381534317727</v>
      </c>
      <c r="BG115" s="128">
        <f t="shared" si="159"/>
        <v>124780.23815343178</v>
      </c>
      <c r="BI115" s="124">
        <f t="shared" si="332"/>
        <v>72</v>
      </c>
      <c r="BJ115" s="130">
        <f t="shared" si="354"/>
        <v>4.1300000000000003E-2</v>
      </c>
      <c r="BK115" s="127">
        <f t="shared" si="333"/>
        <v>1119</v>
      </c>
      <c r="BL115" s="128">
        <f t="shared" si="334"/>
        <v>111788.1</v>
      </c>
      <c r="BM115" s="128">
        <f t="shared" si="349"/>
        <v>111900</v>
      </c>
      <c r="BN115" s="128">
        <f t="shared" si="335"/>
        <v>122548.65577499999</v>
      </c>
      <c r="BO115" s="130">
        <f t="shared" si="266"/>
        <v>4.65E-2</v>
      </c>
      <c r="BP115" s="128">
        <f t="shared" si="267"/>
        <v>128247.16826853748</v>
      </c>
      <c r="BQ115" s="128" t="str">
        <f t="shared" si="268"/>
        <v>tak</v>
      </c>
      <c r="BR115" s="128">
        <f t="shared" si="269"/>
        <v>0</v>
      </c>
      <c r="BS115" s="128">
        <f t="shared" si="153"/>
        <v>125141.20629751537</v>
      </c>
      <c r="BT115" s="128">
        <f t="shared" si="336"/>
        <v>66.406297515364713</v>
      </c>
      <c r="BU115" s="130">
        <f t="shared" si="270"/>
        <v>4.2500000000000003E-2</v>
      </c>
      <c r="BV115" s="128">
        <f t="shared" si="271"/>
        <v>116.26245329955883</v>
      </c>
      <c r="BW115" s="128">
        <f t="shared" si="243"/>
        <v>125191.06245329956</v>
      </c>
      <c r="BY115" s="130">
        <f t="shared" si="244"/>
        <v>2.8000000000000001E-2</v>
      </c>
      <c r="BZ115" s="127">
        <f t="shared" si="337"/>
        <v>1154</v>
      </c>
      <c r="CA115" s="128">
        <f t="shared" si="338"/>
        <v>115296.5</v>
      </c>
      <c r="CB115" s="128">
        <f t="shared" si="154"/>
        <v>115400</v>
      </c>
      <c r="CC115" s="128">
        <f t="shared" si="339"/>
        <v>115400</v>
      </c>
      <c r="CD115" s="130">
        <f t="shared" si="272"/>
        <v>4.2999999999999997E-2</v>
      </c>
      <c r="CE115" s="128">
        <f t="shared" si="273"/>
        <v>120362.2</v>
      </c>
      <c r="CF115" s="128" t="str">
        <f t="shared" si="274"/>
        <v>nie</v>
      </c>
      <c r="CG115" s="128">
        <f t="shared" si="275"/>
        <v>2308</v>
      </c>
      <c r="CH115" s="128">
        <f t="shared" si="160"/>
        <v>117549.902</v>
      </c>
      <c r="CI115" s="128">
        <f t="shared" si="276"/>
        <v>4019.3819999999978</v>
      </c>
      <c r="CJ115" s="130">
        <f t="shared" si="277"/>
        <v>4.2500000000000003E-2</v>
      </c>
      <c r="CK115" s="128">
        <f t="shared" si="278"/>
        <v>8869.5606249290831</v>
      </c>
      <c r="CL115" s="128">
        <f t="shared" si="279"/>
        <v>122400.08062492909</v>
      </c>
      <c r="CN115" s="127">
        <f t="shared" si="340"/>
        <v>1000</v>
      </c>
      <c r="CO115" s="128">
        <f t="shared" si="341"/>
        <v>100000</v>
      </c>
      <c r="CP115" s="128">
        <f t="shared" si="342"/>
        <v>100000</v>
      </c>
      <c r="CQ115" s="128">
        <f t="shared" si="343"/>
        <v>127382.28902952962</v>
      </c>
      <c r="CR115" s="130">
        <f t="shared" si="280"/>
        <v>4.8000000000000001E-2</v>
      </c>
      <c r="CS115" s="128">
        <f t="shared" si="281"/>
        <v>133496.63890294704</v>
      </c>
      <c r="CT115" s="128" t="str">
        <f t="shared" si="282"/>
        <v>nie</v>
      </c>
      <c r="CU115" s="128">
        <f t="shared" si="283"/>
        <v>3000</v>
      </c>
      <c r="CV115" s="128">
        <f t="shared" si="284"/>
        <v>124702.2775113871</v>
      </c>
      <c r="CW115" s="128">
        <f t="shared" si="285"/>
        <v>0</v>
      </c>
      <c r="CX115" s="130">
        <f t="shared" si="286"/>
        <v>4.2500000000000003E-2</v>
      </c>
      <c r="CY115" s="128">
        <f t="shared" si="287"/>
        <v>0</v>
      </c>
      <c r="CZ115" s="128">
        <f t="shared" si="288"/>
        <v>124702.2775113871</v>
      </c>
      <c r="DA115" s="20"/>
      <c r="DB115" s="127">
        <f t="shared" si="350"/>
        <v>1000</v>
      </c>
      <c r="DC115" s="128">
        <f t="shared" si="351"/>
        <v>100000</v>
      </c>
      <c r="DD115" s="128">
        <f t="shared" si="344"/>
        <v>100000</v>
      </c>
      <c r="DE115" s="128">
        <f t="shared" si="345"/>
        <v>126899.78035896322</v>
      </c>
      <c r="DF115" s="130">
        <f t="shared" si="289"/>
        <v>4.8000000000000001E-2</v>
      </c>
      <c r="DG115" s="128">
        <f t="shared" si="290"/>
        <v>132990.96981619345</v>
      </c>
      <c r="DH115" s="128" t="str">
        <f t="shared" si="291"/>
        <v>tak</v>
      </c>
      <c r="DI115" s="128">
        <f t="shared" si="292"/>
        <v>0</v>
      </c>
      <c r="DJ115" s="128">
        <f t="shared" si="293"/>
        <v>126722.68555111669</v>
      </c>
      <c r="DK115" s="128">
        <f t="shared" si="294"/>
        <v>22.685551116694114</v>
      </c>
      <c r="DL115" s="130">
        <f t="shared" si="295"/>
        <v>4.2500000000000003E-2</v>
      </c>
      <c r="DM115" s="128">
        <f t="shared" si="296"/>
        <v>22.685551116694114</v>
      </c>
      <c r="DN115" s="128">
        <f t="shared" si="297"/>
        <v>126722.68555111669</v>
      </c>
      <c r="DP115" s="127">
        <f t="shared" si="352"/>
        <v>1000</v>
      </c>
      <c r="DQ115" s="128">
        <f t="shared" si="353"/>
        <v>100000</v>
      </c>
      <c r="DR115" s="128">
        <f t="shared" si="346"/>
        <v>100000</v>
      </c>
      <c r="DS115" s="128">
        <f t="shared" si="347"/>
        <v>130138.06562921382</v>
      </c>
      <c r="DT115" s="130">
        <f t="shared" si="298"/>
        <v>5.3000000000000005E-2</v>
      </c>
      <c r="DU115" s="128">
        <f t="shared" si="299"/>
        <v>137035.38310756214</v>
      </c>
      <c r="DV115" s="128" t="str">
        <f t="shared" si="300"/>
        <v>nie</v>
      </c>
      <c r="DW115" s="128">
        <f t="shared" si="301"/>
        <v>3000</v>
      </c>
      <c r="DX115" s="128">
        <f t="shared" si="302"/>
        <v>127568.66031712534</v>
      </c>
      <c r="DY115" s="128">
        <f t="shared" si="303"/>
        <v>0</v>
      </c>
      <c r="DZ115" s="130">
        <f t="shared" si="304"/>
        <v>4.2500000000000003E-2</v>
      </c>
      <c r="EA115" s="128">
        <f t="shared" si="305"/>
        <v>0</v>
      </c>
      <c r="EB115" s="128">
        <f t="shared" si="306"/>
        <v>127568.66031712534</v>
      </c>
    </row>
    <row r="116" spans="1:132">
      <c r="A116" s="224"/>
      <c r="B116" s="188">
        <f t="shared" si="307"/>
        <v>72</v>
      </c>
      <c r="C116" s="128">
        <f t="shared" si="308"/>
        <v>125608.79390847172</v>
      </c>
      <c r="D116" s="128">
        <f t="shared" si="309"/>
        <v>124780.23815343178</v>
      </c>
      <c r="E116" s="128">
        <f t="shared" si="310"/>
        <v>125191.06245329956</v>
      </c>
      <c r="F116" s="128">
        <f t="shared" si="311"/>
        <v>122400.08062492909</v>
      </c>
      <c r="G116" s="128">
        <f t="shared" si="312"/>
        <v>124702.2775113871</v>
      </c>
      <c r="H116" s="128">
        <f t="shared" si="313"/>
        <v>126722.68555111669</v>
      </c>
      <c r="I116" s="128">
        <f t="shared" si="314"/>
        <v>127568.66031712534</v>
      </c>
      <c r="J116" s="128">
        <f t="shared" si="315"/>
        <v>122906.57098239519</v>
      </c>
      <c r="K116" s="128">
        <f t="shared" si="316"/>
        <v>118020.83635840983</v>
      </c>
      <c r="M116" s="36"/>
      <c r="N116" s="32">
        <f t="shared" si="317"/>
        <v>72</v>
      </c>
      <c r="O116" s="25">
        <f t="shared" si="318"/>
        <v>0.25608793908471728</v>
      </c>
      <c r="P116" s="25">
        <f t="shared" si="319"/>
        <v>0.24780238153431777</v>
      </c>
      <c r="Q116" s="25">
        <f t="shared" si="320"/>
        <v>0.25191062453299562</v>
      </c>
      <c r="R116" s="25">
        <f t="shared" si="245"/>
        <v>0.22400080624929086</v>
      </c>
      <c r="S116" s="25">
        <f t="shared" si="246"/>
        <v>0.24702277511387094</v>
      </c>
      <c r="T116" s="25">
        <f t="shared" si="247"/>
        <v>0.26722685551116698</v>
      </c>
      <c r="U116" s="25">
        <f t="shared" si="248"/>
        <v>0.27568660317125326</v>
      </c>
      <c r="V116" s="25">
        <f t="shared" si="249"/>
        <v>0.22906570982395191</v>
      </c>
      <c r="W116" s="25">
        <f t="shared" si="250"/>
        <v>0.18020836358409831</v>
      </c>
      <c r="X116" s="36"/>
      <c r="Y116" s="36"/>
      <c r="AA116" s="124">
        <f t="shared" si="321"/>
        <v>73</v>
      </c>
      <c r="AB116" s="128">
        <f t="shared" si="251"/>
        <v>118296.21830991277</v>
      </c>
      <c r="AC116" s="124">
        <f t="shared" si="322"/>
        <v>73</v>
      </c>
      <c r="AD116" s="130">
        <f t="shared" si="323"/>
        <v>4.2500000000000003E-2</v>
      </c>
      <c r="AE116" s="127">
        <f t="shared" si="324"/>
        <v>1261</v>
      </c>
      <c r="AF116" s="128">
        <f t="shared" si="325"/>
        <v>125978.3</v>
      </c>
      <c r="AG116" s="128">
        <f t="shared" si="348"/>
        <v>126100</v>
      </c>
      <c r="AH116" s="128">
        <f t="shared" si="326"/>
        <v>126100</v>
      </c>
      <c r="AI116" s="130">
        <f t="shared" si="252"/>
        <v>4.2500000000000003E-2</v>
      </c>
      <c r="AJ116" s="128">
        <f t="shared" si="253"/>
        <v>126546.60416666669</v>
      </c>
      <c r="AK116" s="128" t="str">
        <f t="shared" si="254"/>
        <v>nie</v>
      </c>
      <c r="AL116" s="128">
        <f t="shared" si="255"/>
        <v>446.60416666668607</v>
      </c>
      <c r="AM116" s="128">
        <f t="shared" si="150"/>
        <v>126100</v>
      </c>
      <c r="AN116" s="128">
        <f t="shared" si="256"/>
        <v>361.74937500001573</v>
      </c>
      <c r="AO116" s="130">
        <f t="shared" si="257"/>
        <v>4.2500000000000003E-2</v>
      </c>
      <c r="AP116" s="128">
        <f t="shared" si="258"/>
        <v>392.43104974667142</v>
      </c>
      <c r="AQ116" s="128">
        <f t="shared" si="156"/>
        <v>130543.30417474665</v>
      </c>
      <c r="AS116" s="124">
        <f t="shared" si="327"/>
        <v>73</v>
      </c>
      <c r="AT116" s="130">
        <f t="shared" si="328"/>
        <v>4.2500000000000003E-2</v>
      </c>
      <c r="AU116" s="127">
        <f t="shared" si="329"/>
        <v>1252</v>
      </c>
      <c r="AV116" s="128">
        <f t="shared" si="330"/>
        <v>125083.40000000001</v>
      </c>
      <c r="AW116" s="128">
        <f t="shared" si="151"/>
        <v>125200</v>
      </c>
      <c r="AX116" s="128">
        <f t="shared" si="331"/>
        <v>125200</v>
      </c>
      <c r="AY116" s="130">
        <f t="shared" si="259"/>
        <v>4.3999999999999997E-2</v>
      </c>
      <c r="AZ116" s="128">
        <f t="shared" si="260"/>
        <v>125659.06666666667</v>
      </c>
      <c r="BA116" s="128" t="str">
        <f t="shared" si="261"/>
        <v>nie</v>
      </c>
      <c r="BB116" s="128">
        <f t="shared" si="262"/>
        <v>459.0666666666657</v>
      </c>
      <c r="BC116" s="128">
        <f t="shared" si="158"/>
        <v>125200</v>
      </c>
      <c r="BD116" s="128">
        <f t="shared" si="263"/>
        <v>371.84399999999926</v>
      </c>
      <c r="BE116" s="130">
        <f t="shared" si="264"/>
        <v>4.2500000000000003E-2</v>
      </c>
      <c r="BF116" s="128">
        <f t="shared" si="265"/>
        <v>469.06024475942934</v>
      </c>
      <c r="BG116" s="128">
        <f t="shared" si="159"/>
        <v>133921.88749475943</v>
      </c>
      <c r="BI116" s="124">
        <f t="shared" si="332"/>
        <v>73</v>
      </c>
      <c r="BJ116" s="130">
        <f t="shared" si="354"/>
        <v>4.1300000000000003E-2</v>
      </c>
      <c r="BK116" s="127">
        <f t="shared" si="333"/>
        <v>1252</v>
      </c>
      <c r="BL116" s="128">
        <f t="shared" si="334"/>
        <v>125074.8</v>
      </c>
      <c r="BM116" s="128">
        <f t="shared" si="349"/>
        <v>125200</v>
      </c>
      <c r="BN116" s="128">
        <f t="shared" si="335"/>
        <v>125200</v>
      </c>
      <c r="BO116" s="130">
        <f t="shared" si="266"/>
        <v>4.65E-2</v>
      </c>
      <c r="BP116" s="128">
        <f t="shared" si="267"/>
        <v>125685.15000000001</v>
      </c>
      <c r="BQ116" s="128" t="str">
        <f t="shared" si="268"/>
        <v>nie</v>
      </c>
      <c r="BR116" s="128">
        <f t="shared" si="269"/>
        <v>485.15000000000873</v>
      </c>
      <c r="BS116" s="128">
        <f t="shared" si="153"/>
        <v>125200</v>
      </c>
      <c r="BT116" s="128">
        <f>IF(AND(BQ116="tak",BL117&lt;&gt;""),
 BS116-BL117,
0)</f>
        <v>0</v>
      </c>
      <c r="BU116" s="130">
        <f t="shared" si="270"/>
        <v>4.2500000000000003E-2</v>
      </c>
      <c r="BV116" s="128">
        <f t="shared" si="271"/>
        <v>116.59598121246194</v>
      </c>
      <c r="BW116" s="128">
        <f t="shared" si="243"/>
        <v>125316.59598121246</v>
      </c>
      <c r="BY116" s="130">
        <f t="shared" si="244"/>
        <v>2.8000000000000001E-2</v>
      </c>
      <c r="BZ116" s="127">
        <f t="shared" si="337"/>
        <v>1154</v>
      </c>
      <c r="CA116" s="128">
        <f t="shared" si="338"/>
        <v>115296.5</v>
      </c>
      <c r="CB116" s="128">
        <f t="shared" si="154"/>
        <v>115400</v>
      </c>
      <c r="CC116" s="128">
        <f t="shared" si="339"/>
        <v>115400</v>
      </c>
      <c r="CD116" s="130">
        <f t="shared" si="272"/>
        <v>4.2999999999999997E-2</v>
      </c>
      <c r="CE116" s="128">
        <f t="shared" si="273"/>
        <v>115813.51666666666</v>
      </c>
      <c r="CF116" s="128" t="str">
        <f t="shared" si="274"/>
        <v>nie</v>
      </c>
      <c r="CG116" s="128">
        <f t="shared" si="275"/>
        <v>2308</v>
      </c>
      <c r="CH116" s="128">
        <f t="shared" si="160"/>
        <v>113865.4685</v>
      </c>
      <c r="CI116" s="128">
        <f t="shared" si="276"/>
        <v>0</v>
      </c>
      <c r="CJ116" s="130">
        <f t="shared" si="277"/>
        <v>4.2500000000000003E-2</v>
      </c>
      <c r="CK116" s="128">
        <f t="shared" si="278"/>
        <v>8895.0051769718484</v>
      </c>
      <c r="CL116" s="128">
        <f t="shared" si="279"/>
        <v>122760.47367697186</v>
      </c>
      <c r="CN116" s="127">
        <f t="shared" si="340"/>
        <v>1000</v>
      </c>
      <c r="CO116" s="128">
        <f t="shared" si="341"/>
        <v>100000</v>
      </c>
      <c r="CP116" s="128">
        <f t="shared" si="342"/>
        <v>100000</v>
      </c>
      <c r="CQ116" s="128">
        <f t="shared" si="343"/>
        <v>133496.63890294704</v>
      </c>
      <c r="CR116" s="130">
        <f t="shared" si="280"/>
        <v>4.8000000000000001E-2</v>
      </c>
      <c r="CS116" s="128">
        <f t="shared" si="281"/>
        <v>134030.62545855885</v>
      </c>
      <c r="CT116" s="128" t="str">
        <f t="shared" si="282"/>
        <v>nie</v>
      </c>
      <c r="CU116" s="128">
        <f t="shared" si="283"/>
        <v>3000</v>
      </c>
      <c r="CV116" s="128">
        <f t="shared" si="284"/>
        <v>125134.80662143267</v>
      </c>
      <c r="CW116" s="128">
        <f t="shared" si="285"/>
        <v>0</v>
      </c>
      <c r="CX116" s="130">
        <f t="shared" si="286"/>
        <v>4.2500000000000003E-2</v>
      </c>
      <c r="CY116" s="128">
        <f t="shared" si="287"/>
        <v>0</v>
      </c>
      <c r="CZ116" s="128">
        <f t="shared" si="288"/>
        <v>125134.80662143267</v>
      </c>
      <c r="DA116" s="20"/>
      <c r="DB116" s="127">
        <f t="shared" si="350"/>
        <v>1267</v>
      </c>
      <c r="DC116" s="128">
        <f t="shared" si="351"/>
        <v>126700</v>
      </c>
      <c r="DD116" s="128">
        <f t="shared" si="344"/>
        <v>126700</v>
      </c>
      <c r="DE116" s="128">
        <f t="shared" si="345"/>
        <v>126700</v>
      </c>
      <c r="DF116" s="130">
        <f t="shared" si="289"/>
        <v>5.1999999999999998E-2</v>
      </c>
      <c r="DG116" s="128">
        <f t="shared" si="290"/>
        <v>127249.03333333333</v>
      </c>
      <c r="DH116" s="128" t="str">
        <f t="shared" si="291"/>
        <v>nie</v>
      </c>
      <c r="DI116" s="128">
        <f t="shared" si="292"/>
        <v>549.03333333332557</v>
      </c>
      <c r="DJ116" s="128">
        <f t="shared" ref="DJ116:DJ179" si="355">DG116-DI116
-(DG116-DD116-DI116)*podatek_Belki</f>
        <v>126700</v>
      </c>
      <c r="DK116" s="128">
        <f t="shared" si="294"/>
        <v>0</v>
      </c>
      <c r="DL116" s="130">
        <f t="shared" si="295"/>
        <v>4.2500000000000003E-2</v>
      </c>
      <c r="DM116" s="128">
        <f t="shared" si="296"/>
        <v>22.75063029146013</v>
      </c>
      <c r="DN116" s="128">
        <f t="shared" si="297"/>
        <v>126722.75063029146</v>
      </c>
      <c r="DP116" s="127">
        <f t="shared" si="352"/>
        <v>1000</v>
      </c>
      <c r="DQ116" s="128">
        <f t="shared" si="353"/>
        <v>100000</v>
      </c>
      <c r="DR116" s="128">
        <f t="shared" si="346"/>
        <v>100000</v>
      </c>
      <c r="DS116" s="128">
        <f t="shared" si="347"/>
        <v>137035.38310756214</v>
      </c>
      <c r="DT116" s="130">
        <f t="shared" si="298"/>
        <v>5.3000000000000005E-2</v>
      </c>
      <c r="DU116" s="128">
        <f t="shared" si="299"/>
        <v>137640.62271628721</v>
      </c>
      <c r="DV116" s="128" t="str">
        <f t="shared" si="300"/>
        <v>nie</v>
      </c>
      <c r="DW116" s="128">
        <f t="shared" si="301"/>
        <v>3000</v>
      </c>
      <c r="DX116" s="128">
        <f t="shared" si="302"/>
        <v>128058.90440019264</v>
      </c>
      <c r="DY116" s="128">
        <f t="shared" si="303"/>
        <v>0</v>
      </c>
      <c r="DZ116" s="130">
        <f t="shared" si="304"/>
        <v>4.2500000000000003E-2</v>
      </c>
      <c r="EA116" s="128">
        <f t="shared" si="305"/>
        <v>0</v>
      </c>
      <c r="EB116" s="128">
        <f t="shared" si="306"/>
        <v>128058.90440019264</v>
      </c>
    </row>
    <row r="117" spans="1:132">
      <c r="A117" s="224">
        <f>ROUNDUP(B128/12,0)</f>
        <v>7</v>
      </c>
      <c r="B117" s="188">
        <f t="shared" si="307"/>
        <v>73</v>
      </c>
      <c r="C117" s="128">
        <f t="shared" si="308"/>
        <v>130543.30417474665</v>
      </c>
      <c r="D117" s="128">
        <f t="shared" si="309"/>
        <v>133921.88749475943</v>
      </c>
      <c r="E117" s="128">
        <f t="shared" si="310"/>
        <v>125316.59598121246</v>
      </c>
      <c r="F117" s="128">
        <f t="shared" si="311"/>
        <v>122760.47367697186</v>
      </c>
      <c r="G117" s="128">
        <f t="shared" si="312"/>
        <v>125134.80662143267</v>
      </c>
      <c r="H117" s="128">
        <f t="shared" si="313"/>
        <v>126722.75063029146</v>
      </c>
      <c r="I117" s="128">
        <f t="shared" si="314"/>
        <v>128058.90440019264</v>
      </c>
      <c r="J117" s="128">
        <f t="shared" si="315"/>
        <v>123259.15920790093</v>
      </c>
      <c r="K117" s="128">
        <f t="shared" si="316"/>
        <v>118296.21830991277</v>
      </c>
      <c r="M117" s="36"/>
      <c r="N117" s="32">
        <f t="shared" si="317"/>
        <v>73</v>
      </c>
      <c r="O117" s="25">
        <f t="shared" si="318"/>
        <v>0.30543304174746644</v>
      </c>
      <c r="P117" s="25">
        <f t="shared" si="319"/>
        <v>0.3392188749475944</v>
      </c>
      <c r="Q117" s="25">
        <f t="shared" si="320"/>
        <v>0.25316595981212453</v>
      </c>
      <c r="R117" s="25">
        <f t="shared" si="245"/>
        <v>0.22760473676971849</v>
      </c>
      <c r="S117" s="25">
        <f t="shared" si="246"/>
        <v>0.25134806621432659</v>
      </c>
      <c r="T117" s="25">
        <f t="shared" si="247"/>
        <v>0.26722750630291459</v>
      </c>
      <c r="U117" s="25">
        <f t="shared" si="248"/>
        <v>0.2805890440019263</v>
      </c>
      <c r="V117" s="25">
        <f t="shared" si="249"/>
        <v>0.23259159207900937</v>
      </c>
      <c r="W117" s="25">
        <f t="shared" si="250"/>
        <v>0.18296218309912771</v>
      </c>
      <c r="X117" s="36"/>
      <c r="Y117" s="36"/>
      <c r="AA117" s="124">
        <f t="shared" si="321"/>
        <v>74</v>
      </c>
      <c r="AB117" s="128">
        <f t="shared" si="251"/>
        <v>118571.60026141573</v>
      </c>
      <c r="AC117" s="124">
        <f t="shared" si="322"/>
        <v>74</v>
      </c>
      <c r="AD117" s="130">
        <f t="shared" si="323"/>
        <v>4.2500000000000003E-2</v>
      </c>
      <c r="AE117" s="127">
        <f t="shared" si="324"/>
        <v>1261</v>
      </c>
      <c r="AF117" s="128">
        <f t="shared" si="325"/>
        <v>125978.3</v>
      </c>
      <c r="AG117" s="128">
        <f t="shared" si="348"/>
        <v>126100</v>
      </c>
      <c r="AH117" s="128">
        <f>AG117</f>
        <v>126100</v>
      </c>
      <c r="AI117" s="130">
        <f t="shared" si="252"/>
        <v>4.2500000000000003E-2</v>
      </c>
      <c r="AJ117" s="128">
        <f t="shared" si="253"/>
        <v>126546.60416666669</v>
      </c>
      <c r="AK117" s="128" t="str">
        <f t="shared" si="254"/>
        <v>nie</v>
      </c>
      <c r="AL117" s="128">
        <f t="shared" si="255"/>
        <v>630.5</v>
      </c>
      <c r="AM117" s="128">
        <f t="shared" si="150"/>
        <v>125951.04437500001</v>
      </c>
      <c r="AN117" s="128">
        <f t="shared" si="256"/>
        <v>361.74937500001573</v>
      </c>
      <c r="AO117" s="130">
        <f t="shared" si="257"/>
        <v>4.2500000000000003E-2</v>
      </c>
      <c r="AP117" s="128">
        <f t="shared" si="258"/>
        <v>755.30621132064789</v>
      </c>
      <c r="AQ117" s="128">
        <f t="shared" si="156"/>
        <v>126344.60121132064</v>
      </c>
      <c r="AS117" s="124">
        <f t="shared" si="327"/>
        <v>74</v>
      </c>
      <c r="AT117" s="130">
        <f t="shared" si="328"/>
        <v>4.2500000000000003E-2</v>
      </c>
      <c r="AU117" s="127">
        <f t="shared" si="329"/>
        <v>1252</v>
      </c>
      <c r="AV117" s="128">
        <f t="shared" si="330"/>
        <v>125083.40000000001</v>
      </c>
      <c r="AW117" s="128">
        <f t="shared" si="151"/>
        <v>125200</v>
      </c>
      <c r="AX117" s="128">
        <f>AW117</f>
        <v>125200</v>
      </c>
      <c r="AY117" s="130">
        <f t="shared" si="259"/>
        <v>4.4000000000000004E-2</v>
      </c>
      <c r="AZ117" s="128">
        <f t="shared" si="260"/>
        <v>125659.06666666667</v>
      </c>
      <c r="BA117" s="128" t="str">
        <f t="shared" si="261"/>
        <v>nie</v>
      </c>
      <c r="BB117" s="128">
        <f t="shared" si="262"/>
        <v>876.4</v>
      </c>
      <c r="BC117" s="128">
        <f t="shared" si="158"/>
        <v>124861.96</v>
      </c>
      <c r="BD117" s="128">
        <f t="shared" si="263"/>
        <v>371.84399999999926</v>
      </c>
      <c r="BE117" s="130">
        <f t="shared" si="264"/>
        <v>4.2500000000000003E-2</v>
      </c>
      <c r="BF117" s="128">
        <f t="shared" si="265"/>
        <v>842.24986133658217</v>
      </c>
      <c r="BG117" s="128">
        <f t="shared" si="159"/>
        <v>125332.36586133658</v>
      </c>
      <c r="BI117" s="124">
        <f t="shared" si="332"/>
        <v>74</v>
      </c>
      <c r="BJ117" s="130">
        <f t="shared" si="354"/>
        <v>4.1300000000000003E-2</v>
      </c>
      <c r="BK117" s="127">
        <f t="shared" si="333"/>
        <v>1252</v>
      </c>
      <c r="BL117" s="128">
        <f t="shared" si="334"/>
        <v>125074.8</v>
      </c>
      <c r="BM117" s="128">
        <f t="shared" si="349"/>
        <v>125200</v>
      </c>
      <c r="BN117" s="128">
        <f t="shared" si="335"/>
        <v>125200</v>
      </c>
      <c r="BO117" s="130">
        <f t="shared" si="266"/>
        <v>4.65E-2</v>
      </c>
      <c r="BP117" s="128">
        <f t="shared" si="267"/>
        <v>126170.29999999999</v>
      </c>
      <c r="BQ117" s="128" t="str">
        <f t="shared" si="268"/>
        <v>nie</v>
      </c>
      <c r="BR117" s="128">
        <f t="shared" si="269"/>
        <v>970.29999999998836</v>
      </c>
      <c r="BS117" s="128">
        <f t="shared" si="153"/>
        <v>125200</v>
      </c>
      <c r="BT117" s="128">
        <f t="shared" ref="BT117:BT139" si="356">IF(AND(BQ117="tak",BL118&lt;&gt;""),
 BS117-BL118,
0)</f>
        <v>0</v>
      </c>
      <c r="BU117" s="130">
        <f t="shared" si="270"/>
        <v>4.2500000000000003E-2</v>
      </c>
      <c r="BV117" s="128">
        <f t="shared" si="271"/>
        <v>116.93046593356519</v>
      </c>
      <c r="BW117" s="128">
        <f t="shared" si="243"/>
        <v>125316.93046593356</v>
      </c>
      <c r="BY117" s="130">
        <f t="shared" si="244"/>
        <v>2.8000000000000001E-2</v>
      </c>
      <c r="BZ117" s="127">
        <f t="shared" si="337"/>
        <v>1154</v>
      </c>
      <c r="CA117" s="128">
        <f t="shared" si="338"/>
        <v>115296.5</v>
      </c>
      <c r="CB117" s="128">
        <f t="shared" si="154"/>
        <v>115400</v>
      </c>
      <c r="CC117" s="128">
        <f>CB117</f>
        <v>115400</v>
      </c>
      <c r="CD117" s="130">
        <f t="shared" si="272"/>
        <v>4.2999999999999997E-2</v>
      </c>
      <c r="CE117" s="128">
        <f t="shared" si="273"/>
        <v>116227.03333333334</v>
      </c>
      <c r="CF117" s="128" t="str">
        <f t="shared" si="274"/>
        <v>nie</v>
      </c>
      <c r="CG117" s="128">
        <f t="shared" si="275"/>
        <v>2308</v>
      </c>
      <c r="CH117" s="128">
        <f t="shared" si="160"/>
        <v>114200.417</v>
      </c>
      <c r="CI117" s="128">
        <f t="shared" si="276"/>
        <v>0</v>
      </c>
      <c r="CJ117" s="130">
        <f t="shared" si="277"/>
        <v>4.2500000000000003E-2</v>
      </c>
      <c r="CK117" s="128">
        <f t="shared" si="278"/>
        <v>8920.5227230732853</v>
      </c>
      <c r="CL117" s="128">
        <f t="shared" si="279"/>
        <v>123120.93972307329</v>
      </c>
      <c r="CN117" s="127">
        <f t="shared" si="340"/>
        <v>1000</v>
      </c>
      <c r="CO117" s="128">
        <f t="shared" si="341"/>
        <v>100000</v>
      </c>
      <c r="CP117" s="128">
        <f t="shared" si="342"/>
        <v>100000</v>
      </c>
      <c r="CQ117" s="128">
        <f t="shared" si="343"/>
        <v>133496.63890294704</v>
      </c>
      <c r="CR117" s="130">
        <f t="shared" si="280"/>
        <v>4.8000000000000001E-2</v>
      </c>
      <c r="CS117" s="128">
        <f t="shared" si="281"/>
        <v>134564.61201417062</v>
      </c>
      <c r="CT117" s="128" t="str">
        <f t="shared" si="282"/>
        <v>nie</v>
      </c>
      <c r="CU117" s="128">
        <f t="shared" si="283"/>
        <v>3000</v>
      </c>
      <c r="CV117" s="128">
        <f t="shared" si="284"/>
        <v>125567.3357314782</v>
      </c>
      <c r="CW117" s="128">
        <f t="shared" si="285"/>
        <v>0</v>
      </c>
      <c r="CX117" s="130">
        <f t="shared" si="286"/>
        <v>4.2500000000000003E-2</v>
      </c>
      <c r="CY117" s="128">
        <f t="shared" si="287"/>
        <v>0</v>
      </c>
      <c r="CZ117" s="128">
        <f t="shared" si="288"/>
        <v>125567.3357314782</v>
      </c>
      <c r="DA117" s="20"/>
      <c r="DB117" s="127">
        <f t="shared" si="350"/>
        <v>1267</v>
      </c>
      <c r="DC117" s="128">
        <f t="shared" si="351"/>
        <v>126700</v>
      </c>
      <c r="DD117" s="128">
        <f t="shared" si="344"/>
        <v>126700</v>
      </c>
      <c r="DE117" s="128">
        <f t="shared" si="345"/>
        <v>126700</v>
      </c>
      <c r="DF117" s="130">
        <f t="shared" si="289"/>
        <v>5.1999999999999998E-2</v>
      </c>
      <c r="DG117" s="128">
        <f t="shared" si="290"/>
        <v>127798.06666666665</v>
      </c>
      <c r="DH117" s="128" t="str">
        <f t="shared" si="291"/>
        <v>nie</v>
      </c>
      <c r="DI117" s="128">
        <f t="shared" si="292"/>
        <v>1098.0666666666511</v>
      </c>
      <c r="DJ117" s="128">
        <f t="shared" si="355"/>
        <v>126700</v>
      </c>
      <c r="DK117" s="128">
        <f t="shared" si="294"/>
        <v>0</v>
      </c>
      <c r="DL117" s="130">
        <f t="shared" si="295"/>
        <v>4.2500000000000003E-2</v>
      </c>
      <c r="DM117" s="128">
        <f t="shared" si="296"/>
        <v>22.815896162108757</v>
      </c>
      <c r="DN117" s="128">
        <f t="shared" si="297"/>
        <v>126722.81589616211</v>
      </c>
      <c r="DP117" s="127">
        <f t="shared" si="352"/>
        <v>1000</v>
      </c>
      <c r="DQ117" s="128">
        <f t="shared" si="353"/>
        <v>100000</v>
      </c>
      <c r="DR117" s="128">
        <f t="shared" si="346"/>
        <v>100000</v>
      </c>
      <c r="DS117" s="128">
        <f t="shared" si="347"/>
        <v>137035.38310756214</v>
      </c>
      <c r="DT117" s="130">
        <f t="shared" si="298"/>
        <v>5.3000000000000005E-2</v>
      </c>
      <c r="DU117" s="128">
        <f t="shared" si="299"/>
        <v>138245.86232501228</v>
      </c>
      <c r="DV117" s="128" t="str">
        <f t="shared" si="300"/>
        <v>nie</v>
      </c>
      <c r="DW117" s="128">
        <f t="shared" si="301"/>
        <v>3000</v>
      </c>
      <c r="DX117" s="128">
        <f t="shared" si="302"/>
        <v>128549.14848325994</v>
      </c>
      <c r="DY117" s="128">
        <f t="shared" si="303"/>
        <v>0</v>
      </c>
      <c r="DZ117" s="130">
        <f t="shared" si="304"/>
        <v>4.2500000000000003E-2</v>
      </c>
      <c r="EA117" s="128">
        <f t="shared" si="305"/>
        <v>0</v>
      </c>
      <c r="EB117" s="128">
        <f t="shared" si="306"/>
        <v>128549.14848325994</v>
      </c>
    </row>
    <row r="118" spans="1:132">
      <c r="A118" s="224"/>
      <c r="B118" s="188">
        <f t="shared" si="307"/>
        <v>74</v>
      </c>
      <c r="C118" s="128">
        <f t="shared" si="308"/>
        <v>126344.60121132064</v>
      </c>
      <c r="D118" s="128">
        <f t="shared" si="309"/>
        <v>125332.36586133658</v>
      </c>
      <c r="E118" s="128">
        <f t="shared" si="310"/>
        <v>125316.93046593356</v>
      </c>
      <c r="F118" s="128">
        <f t="shared" si="311"/>
        <v>123120.93972307329</v>
      </c>
      <c r="G118" s="128">
        <f t="shared" si="312"/>
        <v>125567.3357314782</v>
      </c>
      <c r="H118" s="128">
        <f t="shared" si="313"/>
        <v>126722.81589616211</v>
      </c>
      <c r="I118" s="128">
        <f t="shared" si="314"/>
        <v>128549.14848325994</v>
      </c>
      <c r="J118" s="128">
        <f t="shared" si="315"/>
        <v>123612.75892087859</v>
      </c>
      <c r="K118" s="128">
        <f t="shared" si="316"/>
        <v>118571.60026141573</v>
      </c>
      <c r="M118" s="36"/>
      <c r="N118" s="32">
        <f t="shared" si="317"/>
        <v>74</v>
      </c>
      <c r="O118" s="25">
        <f t="shared" si="318"/>
        <v>0.26344601211320628</v>
      </c>
      <c r="P118" s="25">
        <f t="shared" si="319"/>
        <v>0.25332365861336581</v>
      </c>
      <c r="Q118" s="25">
        <f t="shared" si="320"/>
        <v>0.25316930465933551</v>
      </c>
      <c r="R118" s="25">
        <f t="shared" si="245"/>
        <v>0.23120939723073297</v>
      </c>
      <c r="S118" s="25">
        <f t="shared" si="246"/>
        <v>0.25567335731478202</v>
      </c>
      <c r="T118" s="25">
        <f t="shared" si="247"/>
        <v>0.267228158961621</v>
      </c>
      <c r="U118" s="25">
        <f t="shared" si="248"/>
        <v>0.28549148483259934</v>
      </c>
      <c r="V118" s="25">
        <f t="shared" si="249"/>
        <v>0.23612758920878596</v>
      </c>
      <c r="W118" s="25">
        <f t="shared" si="250"/>
        <v>0.18571600261415733</v>
      </c>
      <c r="X118" s="36"/>
      <c r="Y118" s="36"/>
      <c r="AA118" s="124">
        <f t="shared" si="321"/>
        <v>75</v>
      </c>
      <c r="AB118" s="128">
        <f t="shared" si="251"/>
        <v>118846.98221291868</v>
      </c>
      <c r="AC118" s="124">
        <f t="shared" si="322"/>
        <v>75</v>
      </c>
      <c r="AD118" s="130">
        <f t="shared" si="323"/>
        <v>4.2500000000000003E-2</v>
      </c>
      <c r="AE118" s="127">
        <f t="shared" si="324"/>
        <v>1261</v>
      </c>
      <c r="AF118" s="128">
        <f t="shared" si="325"/>
        <v>125978.3</v>
      </c>
      <c r="AG118" s="128">
        <f t="shared" si="348"/>
        <v>126100</v>
      </c>
      <c r="AH118" s="128">
        <f t="shared" ref="AH118:AH181" si="357">AG118</f>
        <v>126100</v>
      </c>
      <c r="AI118" s="130">
        <f t="shared" si="252"/>
        <v>4.2500000000000003E-2</v>
      </c>
      <c r="AJ118" s="128">
        <f t="shared" si="253"/>
        <v>126546.60416666669</v>
      </c>
      <c r="AK118" s="128" t="str">
        <f t="shared" si="254"/>
        <v>nie</v>
      </c>
      <c r="AL118" s="128">
        <f t="shared" si="255"/>
        <v>630.5</v>
      </c>
      <c r="AM118" s="128">
        <f t="shared" si="150"/>
        <v>125951.04437500001</v>
      </c>
      <c r="AN118" s="128">
        <f t="shared" si="256"/>
        <v>361.74937500001573</v>
      </c>
      <c r="AO118" s="130">
        <f t="shared" si="257"/>
        <v>4.2500000000000003E-2</v>
      </c>
      <c r="AP118" s="128">
        <f t="shared" si="258"/>
        <v>1119.2223710143896</v>
      </c>
      <c r="AQ118" s="128">
        <f t="shared" si="156"/>
        <v>126708.51737101439</v>
      </c>
      <c r="AS118" s="124">
        <f t="shared" si="327"/>
        <v>75</v>
      </c>
      <c r="AT118" s="130">
        <f t="shared" si="328"/>
        <v>4.2500000000000003E-2</v>
      </c>
      <c r="AU118" s="127">
        <f t="shared" si="329"/>
        <v>1252</v>
      </c>
      <c r="AV118" s="128">
        <f t="shared" si="330"/>
        <v>125083.40000000001</v>
      </c>
      <c r="AW118" s="128">
        <f t="shared" si="151"/>
        <v>125200</v>
      </c>
      <c r="AX118" s="128">
        <f t="shared" ref="AX118:AX181" si="358">AW118</f>
        <v>125200</v>
      </c>
      <c r="AY118" s="130">
        <f t="shared" si="259"/>
        <v>4.4000000000000004E-2</v>
      </c>
      <c r="AZ118" s="128">
        <f t="shared" si="260"/>
        <v>125659.06666666667</v>
      </c>
      <c r="BA118" s="128" t="str">
        <f t="shared" si="261"/>
        <v>nie</v>
      </c>
      <c r="BB118" s="128">
        <f t="shared" si="262"/>
        <v>876.4</v>
      </c>
      <c r="BC118" s="128">
        <f t="shared" si="158"/>
        <v>124861.96</v>
      </c>
      <c r="BD118" s="128">
        <f t="shared" si="263"/>
        <v>371.84399999999926</v>
      </c>
      <c r="BE118" s="130">
        <f t="shared" si="264"/>
        <v>4.2500000000000003E-2</v>
      </c>
      <c r="BF118" s="128">
        <f t="shared" si="265"/>
        <v>1216.5100656262907</v>
      </c>
      <c r="BG118" s="128">
        <f t="shared" si="159"/>
        <v>125706.6260656263</v>
      </c>
      <c r="BI118" s="124">
        <f t="shared" si="332"/>
        <v>75</v>
      </c>
      <c r="BJ118" s="130">
        <f t="shared" si="354"/>
        <v>4.1300000000000003E-2</v>
      </c>
      <c r="BK118" s="127">
        <f t="shared" si="333"/>
        <v>1252</v>
      </c>
      <c r="BL118" s="128">
        <f t="shared" si="334"/>
        <v>125074.8</v>
      </c>
      <c r="BM118" s="128">
        <f t="shared" si="349"/>
        <v>125200</v>
      </c>
      <c r="BN118" s="128">
        <f t="shared" si="335"/>
        <v>125200</v>
      </c>
      <c r="BO118" s="130">
        <f t="shared" si="266"/>
        <v>4.65E-2</v>
      </c>
      <c r="BP118" s="128">
        <f t="shared" si="267"/>
        <v>126655.45</v>
      </c>
      <c r="BQ118" s="128" t="str">
        <f t="shared" si="268"/>
        <v>nie</v>
      </c>
      <c r="BR118" s="128">
        <f t="shared" si="269"/>
        <v>1252</v>
      </c>
      <c r="BS118" s="128">
        <f t="shared" si="153"/>
        <v>125364.7945</v>
      </c>
      <c r="BT118" s="128">
        <f t="shared" si="356"/>
        <v>0</v>
      </c>
      <c r="BU118" s="130">
        <f t="shared" si="270"/>
        <v>4.2500000000000003E-2</v>
      </c>
      <c r="BV118" s="128">
        <f t="shared" si="271"/>
        <v>117.2659102077121</v>
      </c>
      <c r="BW118" s="128">
        <f t="shared" si="243"/>
        <v>125482.06041020772</v>
      </c>
      <c r="BY118" s="130">
        <f t="shared" si="244"/>
        <v>2.8000000000000001E-2</v>
      </c>
      <c r="BZ118" s="127">
        <f t="shared" si="337"/>
        <v>1154</v>
      </c>
      <c r="CA118" s="128">
        <f t="shared" si="338"/>
        <v>115296.5</v>
      </c>
      <c r="CB118" s="128">
        <f t="shared" si="154"/>
        <v>115400</v>
      </c>
      <c r="CC118" s="128">
        <f t="shared" ref="CC118:CC181" si="359">CB118</f>
        <v>115400</v>
      </c>
      <c r="CD118" s="130">
        <f t="shared" si="272"/>
        <v>4.2999999999999997E-2</v>
      </c>
      <c r="CE118" s="128">
        <f t="shared" si="273"/>
        <v>116640.55</v>
      </c>
      <c r="CF118" s="128" t="str">
        <f t="shared" si="274"/>
        <v>nie</v>
      </c>
      <c r="CG118" s="128">
        <f t="shared" si="275"/>
        <v>2308</v>
      </c>
      <c r="CH118" s="128">
        <f t="shared" si="160"/>
        <v>114535.3655</v>
      </c>
      <c r="CI118" s="128">
        <f t="shared" si="276"/>
        <v>0</v>
      </c>
      <c r="CJ118" s="130">
        <f t="shared" si="277"/>
        <v>4.2500000000000003E-2</v>
      </c>
      <c r="CK118" s="128">
        <f t="shared" si="278"/>
        <v>8946.1134726351011</v>
      </c>
      <c r="CL118" s="128">
        <f t="shared" si="279"/>
        <v>123481.4789726351</v>
      </c>
      <c r="CN118" s="127">
        <f t="shared" si="340"/>
        <v>1000</v>
      </c>
      <c r="CO118" s="128">
        <f t="shared" si="341"/>
        <v>100000</v>
      </c>
      <c r="CP118" s="128">
        <f t="shared" si="342"/>
        <v>100000</v>
      </c>
      <c r="CQ118" s="128">
        <f t="shared" si="343"/>
        <v>133496.63890294704</v>
      </c>
      <c r="CR118" s="130">
        <f t="shared" si="280"/>
        <v>4.8000000000000001E-2</v>
      </c>
      <c r="CS118" s="128">
        <f t="shared" si="281"/>
        <v>135098.59856978242</v>
      </c>
      <c r="CT118" s="128" t="str">
        <f t="shared" si="282"/>
        <v>nie</v>
      </c>
      <c r="CU118" s="128">
        <f t="shared" si="283"/>
        <v>3000</v>
      </c>
      <c r="CV118" s="128">
        <f t="shared" si="284"/>
        <v>125999.86484152375</v>
      </c>
      <c r="CW118" s="128">
        <f t="shared" si="285"/>
        <v>0</v>
      </c>
      <c r="CX118" s="130">
        <f t="shared" si="286"/>
        <v>4.2500000000000003E-2</v>
      </c>
      <c r="CY118" s="128">
        <f t="shared" si="287"/>
        <v>0</v>
      </c>
      <c r="CZ118" s="128">
        <f t="shared" si="288"/>
        <v>125999.86484152375</v>
      </c>
      <c r="DA118" s="20"/>
      <c r="DB118" s="127">
        <f t="shared" si="350"/>
        <v>1267</v>
      </c>
      <c r="DC118" s="128">
        <f t="shared" si="351"/>
        <v>126700</v>
      </c>
      <c r="DD118" s="128">
        <f t="shared" si="344"/>
        <v>126700</v>
      </c>
      <c r="DE118" s="128">
        <f t="shared" si="345"/>
        <v>126700</v>
      </c>
      <c r="DF118" s="130">
        <f t="shared" si="289"/>
        <v>5.1999999999999998E-2</v>
      </c>
      <c r="DG118" s="128">
        <f t="shared" si="290"/>
        <v>128347.09999999999</v>
      </c>
      <c r="DH118" s="128" t="str">
        <f t="shared" si="291"/>
        <v>nie</v>
      </c>
      <c r="DI118" s="128">
        <f t="shared" si="292"/>
        <v>1647.0999999999913</v>
      </c>
      <c r="DJ118" s="128">
        <f t="shared" si="355"/>
        <v>126700</v>
      </c>
      <c r="DK118" s="128">
        <f t="shared" si="294"/>
        <v>0</v>
      </c>
      <c r="DL118" s="130">
        <f t="shared" si="295"/>
        <v>4.2500000000000003E-2</v>
      </c>
      <c r="DM118" s="128">
        <f t="shared" si="296"/>
        <v>22.881349264223807</v>
      </c>
      <c r="DN118" s="128">
        <f t="shared" si="297"/>
        <v>126722.88134926422</v>
      </c>
      <c r="DP118" s="127">
        <f t="shared" si="352"/>
        <v>1000</v>
      </c>
      <c r="DQ118" s="128">
        <f t="shared" si="353"/>
        <v>100000</v>
      </c>
      <c r="DR118" s="128">
        <f t="shared" si="346"/>
        <v>100000</v>
      </c>
      <c r="DS118" s="128">
        <f t="shared" si="347"/>
        <v>137035.38310756214</v>
      </c>
      <c r="DT118" s="130">
        <f t="shared" si="298"/>
        <v>5.3000000000000005E-2</v>
      </c>
      <c r="DU118" s="128">
        <f t="shared" si="299"/>
        <v>138851.10193373734</v>
      </c>
      <c r="DV118" s="128" t="str">
        <f t="shared" si="300"/>
        <v>nie</v>
      </c>
      <c r="DW118" s="128">
        <f t="shared" si="301"/>
        <v>3000</v>
      </c>
      <c r="DX118" s="128">
        <f t="shared" si="302"/>
        <v>129039.39256632725</v>
      </c>
      <c r="DY118" s="128">
        <f t="shared" si="303"/>
        <v>0</v>
      </c>
      <c r="DZ118" s="130">
        <f t="shared" si="304"/>
        <v>4.2500000000000003E-2</v>
      </c>
      <c r="EA118" s="128">
        <f t="shared" si="305"/>
        <v>0</v>
      </c>
      <c r="EB118" s="128">
        <f t="shared" si="306"/>
        <v>129039.39256632725</v>
      </c>
    </row>
    <row r="119" spans="1:132">
      <c r="A119" s="224"/>
      <c r="B119" s="188">
        <f t="shared" si="307"/>
        <v>75</v>
      </c>
      <c r="C119" s="128">
        <f t="shared" si="308"/>
        <v>126708.51737101439</v>
      </c>
      <c r="D119" s="128">
        <f t="shared" si="309"/>
        <v>125706.6260656263</v>
      </c>
      <c r="E119" s="128">
        <f t="shared" si="310"/>
        <v>125482.06041020772</v>
      </c>
      <c r="F119" s="128">
        <f t="shared" si="311"/>
        <v>123481.4789726351</v>
      </c>
      <c r="G119" s="128">
        <f t="shared" si="312"/>
        <v>125999.86484152375</v>
      </c>
      <c r="H119" s="128">
        <f t="shared" si="313"/>
        <v>126722.88134926422</v>
      </c>
      <c r="I119" s="128">
        <f t="shared" si="314"/>
        <v>129039.39256632725</v>
      </c>
      <c r="J119" s="128">
        <f t="shared" si="315"/>
        <v>123967.37302303287</v>
      </c>
      <c r="K119" s="128">
        <f t="shared" si="316"/>
        <v>118846.98221291868</v>
      </c>
      <c r="M119" s="36"/>
      <c r="N119" s="32">
        <f t="shared" si="317"/>
        <v>75</v>
      </c>
      <c r="O119" s="25">
        <f t="shared" si="318"/>
        <v>0.26708517371014384</v>
      </c>
      <c r="P119" s="25">
        <f t="shared" si="319"/>
        <v>0.25706626065626303</v>
      </c>
      <c r="Q119" s="25">
        <f t="shared" si="320"/>
        <v>0.2548206041020773</v>
      </c>
      <c r="R119" s="25">
        <f t="shared" si="245"/>
        <v>0.23481478972635106</v>
      </c>
      <c r="S119" s="25">
        <f t="shared" si="246"/>
        <v>0.25999864841523745</v>
      </c>
      <c r="T119" s="25">
        <f t="shared" si="247"/>
        <v>0.26722881349264216</v>
      </c>
      <c r="U119" s="25">
        <f t="shared" si="248"/>
        <v>0.2903939256632726</v>
      </c>
      <c r="V119" s="25">
        <f t="shared" si="249"/>
        <v>0.23967373023032867</v>
      </c>
      <c r="W119" s="25">
        <f t="shared" si="250"/>
        <v>0.18846982212918673</v>
      </c>
      <c r="X119" s="36"/>
      <c r="Y119" s="36"/>
      <c r="AA119" s="124">
        <f t="shared" si="321"/>
        <v>76</v>
      </c>
      <c r="AB119" s="128">
        <f t="shared" si="251"/>
        <v>119122.36416442166</v>
      </c>
      <c r="AC119" s="124">
        <f t="shared" si="322"/>
        <v>76</v>
      </c>
      <c r="AD119" s="130">
        <f t="shared" si="323"/>
        <v>4.2500000000000003E-2</v>
      </c>
      <c r="AE119" s="127">
        <f t="shared" si="324"/>
        <v>1261</v>
      </c>
      <c r="AF119" s="128">
        <f t="shared" si="325"/>
        <v>125978.3</v>
      </c>
      <c r="AG119" s="128">
        <f t="shared" si="348"/>
        <v>126100</v>
      </c>
      <c r="AH119" s="128">
        <f t="shared" si="357"/>
        <v>126100</v>
      </c>
      <c r="AI119" s="130">
        <f t="shared" si="252"/>
        <v>4.2500000000000003E-2</v>
      </c>
      <c r="AJ119" s="128">
        <f t="shared" si="253"/>
        <v>126546.60416666669</v>
      </c>
      <c r="AK119" s="128" t="str">
        <f t="shared" si="254"/>
        <v>nie</v>
      </c>
      <c r="AL119" s="128">
        <f t="shared" si="255"/>
        <v>630.5</v>
      </c>
      <c r="AM119" s="128">
        <f t="shared" si="150"/>
        <v>125951.04437500001</v>
      </c>
      <c r="AN119" s="128">
        <f t="shared" si="256"/>
        <v>361.74937500001573</v>
      </c>
      <c r="AO119" s="130">
        <f t="shared" si="257"/>
        <v>4.2500000000000003E-2</v>
      </c>
      <c r="AP119" s="128">
        <f t="shared" si="258"/>
        <v>1484.1825151912528</v>
      </c>
      <c r="AQ119" s="128">
        <f t="shared" si="156"/>
        <v>127073.47751519125</v>
      </c>
      <c r="AS119" s="124">
        <f t="shared" si="327"/>
        <v>76</v>
      </c>
      <c r="AT119" s="130">
        <f t="shared" si="328"/>
        <v>4.2500000000000003E-2</v>
      </c>
      <c r="AU119" s="127">
        <f t="shared" si="329"/>
        <v>1252</v>
      </c>
      <c r="AV119" s="128">
        <f t="shared" si="330"/>
        <v>125083.40000000001</v>
      </c>
      <c r="AW119" s="128">
        <f t="shared" si="151"/>
        <v>125200</v>
      </c>
      <c r="AX119" s="128">
        <f t="shared" si="358"/>
        <v>125200</v>
      </c>
      <c r="AY119" s="130">
        <f t="shared" si="259"/>
        <v>4.4000000000000004E-2</v>
      </c>
      <c r="AZ119" s="128">
        <f t="shared" si="260"/>
        <v>125659.06666666667</v>
      </c>
      <c r="BA119" s="128" t="str">
        <f t="shared" si="261"/>
        <v>nie</v>
      </c>
      <c r="BB119" s="128">
        <f t="shared" si="262"/>
        <v>876.4</v>
      </c>
      <c r="BC119" s="128">
        <f t="shared" si="158"/>
        <v>124861.96</v>
      </c>
      <c r="BD119" s="128">
        <f t="shared" si="263"/>
        <v>371.84399999999926</v>
      </c>
      <c r="BE119" s="130">
        <f t="shared" si="264"/>
        <v>4.2500000000000003E-2</v>
      </c>
      <c r="BF119" s="128">
        <f t="shared" si="265"/>
        <v>1591.8439288770555</v>
      </c>
      <c r="BG119" s="128">
        <f t="shared" si="159"/>
        <v>126081.95992887707</v>
      </c>
      <c r="BI119" s="124">
        <f t="shared" si="332"/>
        <v>76</v>
      </c>
      <c r="BJ119" s="130">
        <f t="shared" si="354"/>
        <v>4.1300000000000003E-2</v>
      </c>
      <c r="BK119" s="127">
        <f t="shared" si="333"/>
        <v>1252</v>
      </c>
      <c r="BL119" s="128">
        <f t="shared" si="334"/>
        <v>125074.8</v>
      </c>
      <c r="BM119" s="128">
        <f t="shared" si="349"/>
        <v>125200</v>
      </c>
      <c r="BN119" s="128">
        <f t="shared" si="335"/>
        <v>125200</v>
      </c>
      <c r="BO119" s="130">
        <f t="shared" si="266"/>
        <v>4.65E-2</v>
      </c>
      <c r="BP119" s="128">
        <f t="shared" si="267"/>
        <v>127140.6</v>
      </c>
      <c r="BQ119" s="128" t="str">
        <f t="shared" si="268"/>
        <v>nie</v>
      </c>
      <c r="BR119" s="128">
        <f t="shared" si="269"/>
        <v>1252</v>
      </c>
      <c r="BS119" s="128">
        <f t="shared" si="153"/>
        <v>125757.766</v>
      </c>
      <c r="BT119" s="128">
        <f t="shared" si="356"/>
        <v>0</v>
      </c>
      <c r="BU119" s="130">
        <f t="shared" si="270"/>
        <v>4.2500000000000003E-2</v>
      </c>
      <c r="BV119" s="128">
        <f t="shared" si="271"/>
        <v>117.60231678762047</v>
      </c>
      <c r="BW119" s="128">
        <f t="shared" si="243"/>
        <v>125875.36831678763</v>
      </c>
      <c r="BY119" s="130">
        <f t="shared" si="244"/>
        <v>2.8000000000000001E-2</v>
      </c>
      <c r="BZ119" s="127">
        <f t="shared" si="337"/>
        <v>1154</v>
      </c>
      <c r="CA119" s="128">
        <f t="shared" si="338"/>
        <v>115296.5</v>
      </c>
      <c r="CB119" s="128">
        <f t="shared" si="154"/>
        <v>115400</v>
      </c>
      <c r="CC119" s="128">
        <f t="shared" si="359"/>
        <v>115400</v>
      </c>
      <c r="CD119" s="130">
        <f t="shared" si="272"/>
        <v>4.2999999999999997E-2</v>
      </c>
      <c r="CE119" s="128">
        <f t="shared" si="273"/>
        <v>117054.06666666667</v>
      </c>
      <c r="CF119" s="128" t="str">
        <f t="shared" si="274"/>
        <v>nie</v>
      </c>
      <c r="CG119" s="128">
        <f t="shared" si="275"/>
        <v>2308</v>
      </c>
      <c r="CH119" s="128">
        <f t="shared" si="160"/>
        <v>114870.314</v>
      </c>
      <c r="CI119" s="128">
        <f t="shared" si="276"/>
        <v>0</v>
      </c>
      <c r="CJ119" s="130">
        <f t="shared" si="277"/>
        <v>4.2500000000000003E-2</v>
      </c>
      <c r="CK119" s="128">
        <f t="shared" si="278"/>
        <v>8971.7776356597224</v>
      </c>
      <c r="CL119" s="128">
        <f t="shared" si="279"/>
        <v>123842.09163565972</v>
      </c>
      <c r="CN119" s="127">
        <f t="shared" si="340"/>
        <v>1000</v>
      </c>
      <c r="CO119" s="128">
        <f t="shared" si="341"/>
        <v>100000</v>
      </c>
      <c r="CP119" s="128">
        <f t="shared" si="342"/>
        <v>100000</v>
      </c>
      <c r="CQ119" s="128">
        <f t="shared" si="343"/>
        <v>133496.63890294704</v>
      </c>
      <c r="CR119" s="130">
        <f t="shared" si="280"/>
        <v>4.8000000000000001E-2</v>
      </c>
      <c r="CS119" s="128">
        <f t="shared" si="281"/>
        <v>135632.58512539419</v>
      </c>
      <c r="CT119" s="128" t="str">
        <f t="shared" si="282"/>
        <v>nie</v>
      </c>
      <c r="CU119" s="128">
        <f t="shared" si="283"/>
        <v>3000</v>
      </c>
      <c r="CV119" s="128">
        <f t="shared" si="284"/>
        <v>126432.39395156929</v>
      </c>
      <c r="CW119" s="128">
        <f t="shared" si="285"/>
        <v>0</v>
      </c>
      <c r="CX119" s="130">
        <f t="shared" si="286"/>
        <v>4.2500000000000003E-2</v>
      </c>
      <c r="CY119" s="128">
        <f t="shared" si="287"/>
        <v>0</v>
      </c>
      <c r="CZ119" s="128">
        <f t="shared" si="288"/>
        <v>126432.39395156929</v>
      </c>
      <c r="DA119" s="20"/>
      <c r="DB119" s="127">
        <f t="shared" si="350"/>
        <v>1267</v>
      </c>
      <c r="DC119" s="128">
        <f t="shared" si="351"/>
        <v>126700</v>
      </c>
      <c r="DD119" s="128">
        <f t="shared" si="344"/>
        <v>126700</v>
      </c>
      <c r="DE119" s="128">
        <f t="shared" si="345"/>
        <v>126700</v>
      </c>
      <c r="DF119" s="130">
        <f t="shared" si="289"/>
        <v>5.1999999999999998E-2</v>
      </c>
      <c r="DG119" s="128">
        <f t="shared" si="290"/>
        <v>128896.13333333335</v>
      </c>
      <c r="DH119" s="128" t="str">
        <f t="shared" si="291"/>
        <v>nie</v>
      </c>
      <c r="DI119" s="128">
        <f t="shared" si="292"/>
        <v>2196.1333333333459</v>
      </c>
      <c r="DJ119" s="128">
        <f t="shared" si="355"/>
        <v>126700</v>
      </c>
      <c r="DK119" s="128">
        <f t="shared" si="294"/>
        <v>0</v>
      </c>
      <c r="DL119" s="130">
        <f t="shared" si="295"/>
        <v>4.2500000000000003E-2</v>
      </c>
      <c r="DM119" s="128">
        <f t="shared" si="296"/>
        <v>22.946990134925549</v>
      </c>
      <c r="DN119" s="128">
        <f t="shared" si="297"/>
        <v>126722.94699013492</v>
      </c>
      <c r="DP119" s="127">
        <f t="shared" si="352"/>
        <v>1000</v>
      </c>
      <c r="DQ119" s="128">
        <f t="shared" si="353"/>
        <v>100000</v>
      </c>
      <c r="DR119" s="128">
        <f t="shared" si="346"/>
        <v>100000</v>
      </c>
      <c r="DS119" s="128">
        <f t="shared" si="347"/>
        <v>137035.38310756214</v>
      </c>
      <c r="DT119" s="130">
        <f t="shared" si="298"/>
        <v>5.3000000000000005E-2</v>
      </c>
      <c r="DU119" s="128">
        <f t="shared" si="299"/>
        <v>139456.34154246241</v>
      </c>
      <c r="DV119" s="128" t="str">
        <f t="shared" si="300"/>
        <v>nie</v>
      </c>
      <c r="DW119" s="128">
        <f t="shared" si="301"/>
        <v>3000</v>
      </c>
      <c r="DX119" s="128">
        <f t="shared" si="302"/>
        <v>129529.63664939455</v>
      </c>
      <c r="DY119" s="128">
        <f t="shared" si="303"/>
        <v>0</v>
      </c>
      <c r="DZ119" s="130">
        <f t="shared" si="304"/>
        <v>4.2500000000000003E-2</v>
      </c>
      <c r="EA119" s="128">
        <f t="shared" si="305"/>
        <v>0</v>
      </c>
      <c r="EB119" s="128">
        <f t="shared" si="306"/>
        <v>129529.63664939455</v>
      </c>
    </row>
    <row r="120" spans="1:132">
      <c r="A120" s="224"/>
      <c r="B120" s="188">
        <f t="shared" si="307"/>
        <v>76</v>
      </c>
      <c r="C120" s="128">
        <f t="shared" si="308"/>
        <v>127073.47751519125</v>
      </c>
      <c r="D120" s="128">
        <f t="shared" si="309"/>
        <v>126081.95992887707</v>
      </c>
      <c r="E120" s="128">
        <f t="shared" si="310"/>
        <v>125875.36831678763</v>
      </c>
      <c r="F120" s="128">
        <f t="shared" si="311"/>
        <v>123842.09163565972</v>
      </c>
      <c r="G120" s="128">
        <f t="shared" si="312"/>
        <v>126432.39395156929</v>
      </c>
      <c r="H120" s="128">
        <f t="shared" si="313"/>
        <v>126722.94699013492</v>
      </c>
      <c r="I120" s="128">
        <f t="shared" si="314"/>
        <v>129529.63664939455</v>
      </c>
      <c r="J120" s="128">
        <f t="shared" si="315"/>
        <v>124323.00442439268</v>
      </c>
      <c r="K120" s="128">
        <f t="shared" si="316"/>
        <v>119122.36416442166</v>
      </c>
      <c r="M120" s="36"/>
      <c r="N120" s="32">
        <f t="shared" si="317"/>
        <v>76</v>
      </c>
      <c r="O120" s="25">
        <f t="shared" si="318"/>
        <v>0.27073477515191247</v>
      </c>
      <c r="P120" s="25">
        <f t="shared" si="319"/>
        <v>0.26081959928877074</v>
      </c>
      <c r="Q120" s="25">
        <f t="shared" si="320"/>
        <v>0.25875368316787628</v>
      </c>
      <c r="R120" s="25">
        <f t="shared" si="245"/>
        <v>0.23842091635659712</v>
      </c>
      <c r="S120" s="25">
        <f t="shared" si="246"/>
        <v>0.26432393951569289</v>
      </c>
      <c r="T120" s="25">
        <f t="shared" si="247"/>
        <v>0.26722946990134933</v>
      </c>
      <c r="U120" s="25">
        <f t="shared" si="248"/>
        <v>0.29529636649394564</v>
      </c>
      <c r="V120" s="25">
        <f t="shared" si="249"/>
        <v>0.2432300442439268</v>
      </c>
      <c r="W120" s="25">
        <f t="shared" si="250"/>
        <v>0.19122364164421657</v>
      </c>
      <c r="X120" s="36"/>
      <c r="Y120" s="36"/>
      <c r="AA120" s="124">
        <f t="shared" si="321"/>
        <v>77</v>
      </c>
      <c r="AB120" s="128">
        <f t="shared" si="251"/>
        <v>119397.74611592462</v>
      </c>
      <c r="AC120" s="124">
        <f t="shared" si="322"/>
        <v>77</v>
      </c>
      <c r="AD120" s="130">
        <f t="shared" si="323"/>
        <v>4.2500000000000003E-2</v>
      </c>
      <c r="AE120" s="127">
        <f t="shared" si="324"/>
        <v>1261</v>
      </c>
      <c r="AF120" s="128">
        <f t="shared" si="325"/>
        <v>125978.3</v>
      </c>
      <c r="AG120" s="128">
        <f t="shared" si="348"/>
        <v>126100</v>
      </c>
      <c r="AH120" s="128">
        <f t="shared" si="357"/>
        <v>126100</v>
      </c>
      <c r="AI120" s="130">
        <f t="shared" si="252"/>
        <v>4.2500000000000003E-2</v>
      </c>
      <c r="AJ120" s="128">
        <f t="shared" si="253"/>
        <v>126546.60416666669</v>
      </c>
      <c r="AK120" s="128" t="str">
        <f t="shared" si="254"/>
        <v>nie</v>
      </c>
      <c r="AL120" s="128">
        <f t="shared" si="255"/>
        <v>630.5</v>
      </c>
      <c r="AM120" s="128">
        <f t="shared" si="150"/>
        <v>125951.04437500001</v>
      </c>
      <c r="AN120" s="128">
        <f t="shared" si="256"/>
        <v>361.74937500001573</v>
      </c>
      <c r="AO120" s="130">
        <f t="shared" si="257"/>
        <v>4.2500000000000003E-2</v>
      </c>
      <c r="AP120" s="128">
        <f t="shared" si="258"/>
        <v>1850.1896387817235</v>
      </c>
      <c r="AQ120" s="128">
        <f t="shared" si="156"/>
        <v>127439.48463878172</v>
      </c>
      <c r="AS120" s="124">
        <f t="shared" si="327"/>
        <v>77</v>
      </c>
      <c r="AT120" s="130">
        <f t="shared" si="328"/>
        <v>4.2500000000000003E-2</v>
      </c>
      <c r="AU120" s="127">
        <f t="shared" si="329"/>
        <v>1252</v>
      </c>
      <c r="AV120" s="128">
        <f t="shared" si="330"/>
        <v>125083.40000000001</v>
      </c>
      <c r="AW120" s="128">
        <f t="shared" si="151"/>
        <v>125200</v>
      </c>
      <c r="AX120" s="128">
        <f t="shared" si="358"/>
        <v>125200</v>
      </c>
      <c r="AY120" s="130">
        <f t="shared" si="259"/>
        <v>4.4000000000000004E-2</v>
      </c>
      <c r="AZ120" s="128">
        <f t="shared" si="260"/>
        <v>125659.06666666667</v>
      </c>
      <c r="BA120" s="128" t="str">
        <f t="shared" si="261"/>
        <v>nie</v>
      </c>
      <c r="BB120" s="128">
        <f t="shared" si="262"/>
        <v>876.4</v>
      </c>
      <c r="BC120" s="128">
        <f t="shared" si="158"/>
        <v>124861.96</v>
      </c>
      <c r="BD120" s="128">
        <f t="shared" si="263"/>
        <v>371.84399999999926</v>
      </c>
      <c r="BE120" s="130">
        <f t="shared" si="264"/>
        <v>4.2500000000000003E-2</v>
      </c>
      <c r="BF120" s="128">
        <f t="shared" si="265"/>
        <v>1968.2545311480208</v>
      </c>
      <c r="BG120" s="128">
        <f t="shared" si="159"/>
        <v>126458.37053114803</v>
      </c>
      <c r="BI120" s="124">
        <f t="shared" si="332"/>
        <v>77</v>
      </c>
      <c r="BJ120" s="130">
        <f t="shared" si="354"/>
        <v>4.1300000000000003E-2</v>
      </c>
      <c r="BK120" s="127">
        <f t="shared" si="333"/>
        <v>1252</v>
      </c>
      <c r="BL120" s="128">
        <f t="shared" si="334"/>
        <v>125074.8</v>
      </c>
      <c r="BM120" s="128">
        <f t="shared" si="349"/>
        <v>125200</v>
      </c>
      <c r="BN120" s="128">
        <f t="shared" si="335"/>
        <v>125200</v>
      </c>
      <c r="BO120" s="130">
        <f t="shared" si="266"/>
        <v>4.65E-2</v>
      </c>
      <c r="BP120" s="128">
        <f t="shared" si="267"/>
        <v>127625.74999999999</v>
      </c>
      <c r="BQ120" s="128" t="str">
        <f t="shared" si="268"/>
        <v>nie</v>
      </c>
      <c r="BR120" s="128">
        <f t="shared" si="269"/>
        <v>1252</v>
      </c>
      <c r="BS120" s="128">
        <f t="shared" si="153"/>
        <v>126150.73749999999</v>
      </c>
      <c r="BT120" s="128">
        <f t="shared" si="356"/>
        <v>0</v>
      </c>
      <c r="BU120" s="130">
        <f t="shared" si="270"/>
        <v>4.2500000000000003E-2</v>
      </c>
      <c r="BV120" s="128">
        <f t="shared" si="271"/>
        <v>117.93968843390495</v>
      </c>
      <c r="BW120" s="128">
        <f t="shared" si="243"/>
        <v>126268.6771884339</v>
      </c>
      <c r="BY120" s="130">
        <f t="shared" ref="BY120:BY151" si="360">MAX(INDEX(scenariusz_I_inflacja,MATCH(ROUNDUP(AA120/12,0)-1,scenariusz_I_rok,0)),0)</f>
        <v>2.8000000000000001E-2</v>
      </c>
      <c r="BZ120" s="127">
        <f t="shared" si="337"/>
        <v>1154</v>
      </c>
      <c r="CA120" s="128">
        <f t="shared" si="338"/>
        <v>115296.5</v>
      </c>
      <c r="CB120" s="128">
        <f t="shared" si="154"/>
        <v>115400</v>
      </c>
      <c r="CC120" s="128">
        <f t="shared" si="359"/>
        <v>115400</v>
      </c>
      <c r="CD120" s="130">
        <f t="shared" si="272"/>
        <v>4.2999999999999997E-2</v>
      </c>
      <c r="CE120" s="128">
        <f t="shared" si="273"/>
        <v>117467.58333333333</v>
      </c>
      <c r="CF120" s="128" t="str">
        <f t="shared" si="274"/>
        <v>nie</v>
      </c>
      <c r="CG120" s="128">
        <f t="shared" si="275"/>
        <v>2308</v>
      </c>
      <c r="CH120" s="128">
        <f t="shared" si="160"/>
        <v>115205.2625</v>
      </c>
      <c r="CI120" s="128">
        <f t="shared" si="276"/>
        <v>0</v>
      </c>
      <c r="CJ120" s="130">
        <f t="shared" si="277"/>
        <v>4.2500000000000003E-2</v>
      </c>
      <c r="CK120" s="128">
        <f t="shared" si="278"/>
        <v>8997.5154227520215</v>
      </c>
      <c r="CL120" s="128">
        <f t="shared" si="279"/>
        <v>124202.77792275202</v>
      </c>
      <c r="CN120" s="127">
        <f t="shared" si="340"/>
        <v>1000</v>
      </c>
      <c r="CO120" s="128">
        <f t="shared" si="341"/>
        <v>100000</v>
      </c>
      <c r="CP120" s="128">
        <f t="shared" si="342"/>
        <v>100000</v>
      </c>
      <c r="CQ120" s="128">
        <f t="shared" si="343"/>
        <v>133496.63890294704</v>
      </c>
      <c r="CR120" s="130">
        <f t="shared" si="280"/>
        <v>4.8000000000000001E-2</v>
      </c>
      <c r="CS120" s="128">
        <f t="shared" si="281"/>
        <v>136166.571681006</v>
      </c>
      <c r="CT120" s="128" t="str">
        <f t="shared" si="282"/>
        <v>nie</v>
      </c>
      <c r="CU120" s="128">
        <f t="shared" si="283"/>
        <v>3000</v>
      </c>
      <c r="CV120" s="128">
        <f t="shared" si="284"/>
        <v>126864.92306161486</v>
      </c>
      <c r="CW120" s="128">
        <f t="shared" si="285"/>
        <v>0</v>
      </c>
      <c r="CX120" s="130">
        <f t="shared" si="286"/>
        <v>4.2500000000000003E-2</v>
      </c>
      <c r="CY120" s="128">
        <f t="shared" si="287"/>
        <v>0</v>
      </c>
      <c r="CZ120" s="128">
        <f t="shared" si="288"/>
        <v>126864.92306161486</v>
      </c>
      <c r="DA120" s="20"/>
      <c r="DB120" s="127">
        <f t="shared" si="350"/>
        <v>1267</v>
      </c>
      <c r="DC120" s="128">
        <f t="shared" si="351"/>
        <v>126700</v>
      </c>
      <c r="DD120" s="128">
        <f t="shared" si="344"/>
        <v>126700</v>
      </c>
      <c r="DE120" s="128">
        <f t="shared" si="345"/>
        <v>126700</v>
      </c>
      <c r="DF120" s="130">
        <f t="shared" si="289"/>
        <v>5.1999999999999998E-2</v>
      </c>
      <c r="DG120" s="128">
        <f t="shared" si="290"/>
        <v>129445.16666666667</v>
      </c>
      <c r="DH120" s="128" t="str">
        <f t="shared" si="291"/>
        <v>nie</v>
      </c>
      <c r="DI120" s="128">
        <f t="shared" si="292"/>
        <v>2534</v>
      </c>
      <c r="DJ120" s="128">
        <f t="shared" si="355"/>
        <v>126871.045</v>
      </c>
      <c r="DK120" s="128">
        <f t="shared" si="294"/>
        <v>0</v>
      </c>
      <c r="DL120" s="130">
        <f t="shared" si="295"/>
        <v>4.2500000000000003E-2</v>
      </c>
      <c r="DM120" s="128">
        <f t="shared" si="296"/>
        <v>23.012819312875116</v>
      </c>
      <c r="DN120" s="128">
        <f t="shared" si="297"/>
        <v>126894.05781931287</v>
      </c>
      <c r="DP120" s="127">
        <f t="shared" si="352"/>
        <v>1000</v>
      </c>
      <c r="DQ120" s="128">
        <f t="shared" si="353"/>
        <v>100000</v>
      </c>
      <c r="DR120" s="128">
        <f t="shared" si="346"/>
        <v>100000</v>
      </c>
      <c r="DS120" s="128">
        <f t="shared" si="347"/>
        <v>137035.38310756214</v>
      </c>
      <c r="DT120" s="130">
        <f t="shared" si="298"/>
        <v>5.3000000000000005E-2</v>
      </c>
      <c r="DU120" s="128">
        <f t="shared" si="299"/>
        <v>140061.58115118745</v>
      </c>
      <c r="DV120" s="128" t="str">
        <f t="shared" si="300"/>
        <v>nie</v>
      </c>
      <c r="DW120" s="128">
        <f t="shared" si="301"/>
        <v>3000</v>
      </c>
      <c r="DX120" s="128">
        <f t="shared" si="302"/>
        <v>130019.88073246184</v>
      </c>
      <c r="DY120" s="128">
        <f t="shared" si="303"/>
        <v>0</v>
      </c>
      <c r="DZ120" s="130">
        <f t="shared" si="304"/>
        <v>4.2500000000000003E-2</v>
      </c>
      <c r="EA120" s="128">
        <f t="shared" si="305"/>
        <v>0</v>
      </c>
      <c r="EB120" s="128">
        <f t="shared" si="306"/>
        <v>130019.88073246184</v>
      </c>
    </row>
    <row r="121" spans="1:132">
      <c r="A121" s="224"/>
      <c r="B121" s="188">
        <f t="shared" si="307"/>
        <v>77</v>
      </c>
      <c r="C121" s="128">
        <f t="shared" si="308"/>
        <v>127439.48463878172</v>
      </c>
      <c r="D121" s="128">
        <f t="shared" si="309"/>
        <v>126458.37053114803</v>
      </c>
      <c r="E121" s="128">
        <f t="shared" si="310"/>
        <v>126268.6771884339</v>
      </c>
      <c r="F121" s="128">
        <f t="shared" si="311"/>
        <v>124202.77792275202</v>
      </c>
      <c r="G121" s="128">
        <f t="shared" si="312"/>
        <v>126864.92306161486</v>
      </c>
      <c r="H121" s="128">
        <f t="shared" si="313"/>
        <v>126894.05781931287</v>
      </c>
      <c r="I121" s="128">
        <f t="shared" si="314"/>
        <v>130019.88073246184</v>
      </c>
      <c r="J121" s="128">
        <f t="shared" si="315"/>
        <v>124679.65604333516</v>
      </c>
      <c r="K121" s="128">
        <f t="shared" si="316"/>
        <v>119397.74611592462</v>
      </c>
      <c r="M121" s="36"/>
      <c r="N121" s="32">
        <f t="shared" si="317"/>
        <v>77</v>
      </c>
      <c r="O121" s="25">
        <f t="shared" si="318"/>
        <v>0.27439484638781719</v>
      </c>
      <c r="P121" s="25">
        <f t="shared" si="319"/>
        <v>0.26458370531148034</v>
      </c>
      <c r="Q121" s="25">
        <f t="shared" si="320"/>
        <v>0.26268677188433887</v>
      </c>
      <c r="R121" s="25">
        <f t="shared" si="245"/>
        <v>0.24202777922752028</v>
      </c>
      <c r="S121" s="25">
        <f t="shared" si="246"/>
        <v>0.26864923061614854</v>
      </c>
      <c r="T121" s="25">
        <f t="shared" si="247"/>
        <v>0.26894057819312867</v>
      </c>
      <c r="U121" s="25">
        <f t="shared" si="248"/>
        <v>0.30019880732461846</v>
      </c>
      <c r="V121" s="25">
        <f t="shared" si="249"/>
        <v>0.24679656043335152</v>
      </c>
      <c r="W121" s="25">
        <f t="shared" si="250"/>
        <v>0.19397746115924619</v>
      </c>
      <c r="X121" s="36"/>
      <c r="Y121" s="36"/>
      <c r="AA121" s="124">
        <f t="shared" si="321"/>
        <v>78</v>
      </c>
      <c r="AB121" s="128">
        <f t="shared" si="251"/>
        <v>119673.12806742756</v>
      </c>
      <c r="AC121" s="124">
        <f t="shared" si="322"/>
        <v>78</v>
      </c>
      <c r="AD121" s="130">
        <f t="shared" si="323"/>
        <v>4.2500000000000003E-2</v>
      </c>
      <c r="AE121" s="127">
        <f t="shared" si="324"/>
        <v>1261</v>
      </c>
      <c r="AF121" s="128">
        <f t="shared" si="325"/>
        <v>125978.3</v>
      </c>
      <c r="AG121" s="128">
        <f t="shared" si="348"/>
        <v>126100</v>
      </c>
      <c r="AH121" s="128">
        <f t="shared" si="357"/>
        <v>126100</v>
      </c>
      <c r="AI121" s="130">
        <f t="shared" si="252"/>
        <v>4.2500000000000003E-2</v>
      </c>
      <c r="AJ121" s="128">
        <f t="shared" si="253"/>
        <v>126546.60416666669</v>
      </c>
      <c r="AK121" s="128" t="str">
        <f t="shared" si="254"/>
        <v>nie</v>
      </c>
      <c r="AL121" s="128">
        <f t="shared" si="255"/>
        <v>630.5</v>
      </c>
      <c r="AM121" s="128">
        <f t="shared" ref="AM121:AM184" si="361">AJ121-AL121
-(AJ121-AG121-AL121)*podatek_Belki</f>
        <v>125951.04437500001</v>
      </c>
      <c r="AN121" s="128">
        <f t="shared" si="256"/>
        <v>361.74937500001573</v>
      </c>
      <c r="AO121" s="130">
        <f t="shared" si="257"/>
        <v>4.2500000000000003E-2</v>
      </c>
      <c r="AP121" s="128">
        <f t="shared" si="258"/>
        <v>2217.2467453079944</v>
      </c>
      <c r="AQ121" s="128">
        <f t="shared" ref="AQ121:AQ184" si="362">AP120*(1+AO121/12*(1-podatek_Belki))+AM121</f>
        <v>127806.54174530799</v>
      </c>
      <c r="AS121" s="124">
        <f t="shared" si="327"/>
        <v>78</v>
      </c>
      <c r="AT121" s="130">
        <f t="shared" si="328"/>
        <v>4.2500000000000003E-2</v>
      </c>
      <c r="AU121" s="127">
        <f t="shared" si="329"/>
        <v>1252</v>
      </c>
      <c r="AV121" s="128">
        <f t="shared" si="330"/>
        <v>125083.40000000001</v>
      </c>
      <c r="AW121" s="128">
        <f t="shared" ref="AW121:AW184" si="363">IF(BA120="tak",
AU121*100,
AW120)</f>
        <v>125200</v>
      </c>
      <c r="AX121" s="128">
        <f t="shared" si="358"/>
        <v>125200</v>
      </c>
      <c r="AY121" s="130">
        <f t="shared" si="259"/>
        <v>4.4000000000000004E-2</v>
      </c>
      <c r="AZ121" s="128">
        <f t="shared" si="260"/>
        <v>125659.06666666667</v>
      </c>
      <c r="BA121" s="128" t="str">
        <f t="shared" si="261"/>
        <v>nie</v>
      </c>
      <c r="BB121" s="128">
        <f t="shared" si="262"/>
        <v>876.4</v>
      </c>
      <c r="BC121" s="128">
        <f t="shared" si="158"/>
        <v>124861.96</v>
      </c>
      <c r="BD121" s="128">
        <f t="shared" si="263"/>
        <v>371.84399999999926</v>
      </c>
      <c r="BE121" s="130">
        <f t="shared" si="264"/>
        <v>4.2500000000000003E-2</v>
      </c>
      <c r="BF121" s="128">
        <f t="shared" si="265"/>
        <v>2345.744961334251</v>
      </c>
      <c r="BG121" s="128">
        <f t="shared" si="159"/>
        <v>126835.86096133426</v>
      </c>
      <c r="BI121" s="124">
        <f t="shared" si="332"/>
        <v>78</v>
      </c>
      <c r="BJ121" s="130">
        <f t="shared" si="354"/>
        <v>4.1300000000000003E-2</v>
      </c>
      <c r="BK121" s="127">
        <f t="shared" si="333"/>
        <v>1252</v>
      </c>
      <c r="BL121" s="128">
        <f t="shared" si="334"/>
        <v>125074.8</v>
      </c>
      <c r="BM121" s="128">
        <f t="shared" si="349"/>
        <v>125200</v>
      </c>
      <c r="BN121" s="128">
        <f t="shared" si="335"/>
        <v>125200</v>
      </c>
      <c r="BO121" s="130">
        <f t="shared" si="266"/>
        <v>4.65E-2</v>
      </c>
      <c r="BP121" s="128">
        <f t="shared" si="267"/>
        <v>128110.9</v>
      </c>
      <c r="BQ121" s="128" t="str">
        <f t="shared" si="268"/>
        <v>nie</v>
      </c>
      <c r="BR121" s="128">
        <f t="shared" si="269"/>
        <v>1252</v>
      </c>
      <c r="BS121" s="128">
        <f t="shared" ref="BS121:BS184" si="364">BP121-BR121
-(BP121-BM121-BR121)*podatek_Belki</f>
        <v>126543.709</v>
      </c>
      <c r="BT121" s="128">
        <f t="shared" si="356"/>
        <v>0</v>
      </c>
      <c r="BU121" s="130">
        <f t="shared" si="270"/>
        <v>4.2500000000000003E-2</v>
      </c>
      <c r="BV121" s="128">
        <f t="shared" si="271"/>
        <v>118.27802791509971</v>
      </c>
      <c r="BW121" s="128">
        <f t="shared" ref="BW121:BW184" si="365">BV120*(1+BU121/12*(1-podatek_Belki))+BS121</f>
        <v>126661.98702791511</v>
      </c>
      <c r="BY121" s="130">
        <f t="shared" si="360"/>
        <v>2.8000000000000001E-2</v>
      </c>
      <c r="BZ121" s="127">
        <f t="shared" si="337"/>
        <v>1154</v>
      </c>
      <c r="CA121" s="128">
        <f t="shared" si="338"/>
        <v>115296.5</v>
      </c>
      <c r="CB121" s="128">
        <f t="shared" ref="CB121:CB184" si="366">IF(CF120="tak",
BZ121*100,
CB120)</f>
        <v>115400</v>
      </c>
      <c r="CC121" s="128">
        <f t="shared" si="359"/>
        <v>115400</v>
      </c>
      <c r="CD121" s="130">
        <f t="shared" si="272"/>
        <v>4.2999999999999997E-2</v>
      </c>
      <c r="CE121" s="128">
        <f t="shared" si="273"/>
        <v>117881.1</v>
      </c>
      <c r="CF121" s="128" t="str">
        <f t="shared" si="274"/>
        <v>nie</v>
      </c>
      <c r="CG121" s="128">
        <f t="shared" si="275"/>
        <v>2308</v>
      </c>
      <c r="CH121" s="128">
        <f t="shared" si="160"/>
        <v>115540.21100000001</v>
      </c>
      <c r="CI121" s="128">
        <f t="shared" si="276"/>
        <v>0</v>
      </c>
      <c r="CJ121" s="130">
        <f t="shared" si="277"/>
        <v>4.2500000000000003E-2</v>
      </c>
      <c r="CK121" s="128">
        <f t="shared" si="278"/>
        <v>9023.327045121041</v>
      </c>
      <c r="CL121" s="128">
        <f t="shared" si="279"/>
        <v>124563.53804512105</v>
      </c>
      <c r="CN121" s="127">
        <f t="shared" si="340"/>
        <v>1000</v>
      </c>
      <c r="CO121" s="128">
        <f t="shared" si="341"/>
        <v>100000</v>
      </c>
      <c r="CP121" s="128">
        <f t="shared" si="342"/>
        <v>100000</v>
      </c>
      <c r="CQ121" s="128">
        <f t="shared" si="343"/>
        <v>133496.63890294704</v>
      </c>
      <c r="CR121" s="130">
        <f t="shared" si="280"/>
        <v>4.8000000000000001E-2</v>
      </c>
      <c r="CS121" s="128">
        <f t="shared" si="281"/>
        <v>136700.55823661777</v>
      </c>
      <c r="CT121" s="128" t="str">
        <f t="shared" si="282"/>
        <v>nie</v>
      </c>
      <c r="CU121" s="128">
        <f t="shared" si="283"/>
        <v>3000</v>
      </c>
      <c r="CV121" s="128">
        <f t="shared" si="284"/>
        <v>127297.45217166039</v>
      </c>
      <c r="CW121" s="128">
        <f t="shared" si="285"/>
        <v>0</v>
      </c>
      <c r="CX121" s="130">
        <f t="shared" si="286"/>
        <v>4.2500000000000003E-2</v>
      </c>
      <c r="CY121" s="128">
        <f t="shared" si="287"/>
        <v>0</v>
      </c>
      <c r="CZ121" s="128">
        <f t="shared" si="288"/>
        <v>127297.45217166039</v>
      </c>
      <c r="DA121" s="20"/>
      <c r="DB121" s="127">
        <f t="shared" si="350"/>
        <v>1267</v>
      </c>
      <c r="DC121" s="128">
        <f t="shared" si="351"/>
        <v>126700</v>
      </c>
      <c r="DD121" s="128">
        <f t="shared" si="344"/>
        <v>126700</v>
      </c>
      <c r="DE121" s="128">
        <f t="shared" si="345"/>
        <v>126700</v>
      </c>
      <c r="DF121" s="130">
        <f t="shared" si="289"/>
        <v>5.1999999999999998E-2</v>
      </c>
      <c r="DG121" s="128">
        <f t="shared" si="290"/>
        <v>129994.2</v>
      </c>
      <c r="DH121" s="128" t="str">
        <f t="shared" si="291"/>
        <v>nie</v>
      </c>
      <c r="DI121" s="128">
        <f t="shared" si="292"/>
        <v>2534</v>
      </c>
      <c r="DJ121" s="128">
        <f t="shared" si="355"/>
        <v>127315.762</v>
      </c>
      <c r="DK121" s="128">
        <f t="shared" si="294"/>
        <v>0</v>
      </c>
      <c r="DL121" s="130">
        <f t="shared" si="295"/>
        <v>4.2500000000000003E-2</v>
      </c>
      <c r="DM121" s="128">
        <f t="shared" si="296"/>
        <v>23.078837338278927</v>
      </c>
      <c r="DN121" s="128">
        <f t="shared" si="297"/>
        <v>127338.84083733828</v>
      </c>
      <c r="DP121" s="127">
        <f t="shared" si="352"/>
        <v>1000</v>
      </c>
      <c r="DQ121" s="128">
        <f t="shared" si="353"/>
        <v>100000</v>
      </c>
      <c r="DR121" s="128">
        <f t="shared" si="346"/>
        <v>100000</v>
      </c>
      <c r="DS121" s="128">
        <f t="shared" si="347"/>
        <v>137035.38310756214</v>
      </c>
      <c r="DT121" s="130">
        <f t="shared" si="298"/>
        <v>5.3000000000000005E-2</v>
      </c>
      <c r="DU121" s="128">
        <f t="shared" si="299"/>
        <v>140666.82075991255</v>
      </c>
      <c r="DV121" s="128" t="str">
        <f t="shared" si="300"/>
        <v>nie</v>
      </c>
      <c r="DW121" s="128">
        <f t="shared" si="301"/>
        <v>3000</v>
      </c>
      <c r="DX121" s="128">
        <f t="shared" si="302"/>
        <v>130510.12481552915</v>
      </c>
      <c r="DY121" s="128">
        <f t="shared" si="303"/>
        <v>0</v>
      </c>
      <c r="DZ121" s="130">
        <f t="shared" si="304"/>
        <v>4.2500000000000003E-2</v>
      </c>
      <c r="EA121" s="128">
        <f t="shared" si="305"/>
        <v>0</v>
      </c>
      <c r="EB121" s="128">
        <f t="shared" si="306"/>
        <v>130510.12481552915</v>
      </c>
    </row>
    <row r="122" spans="1:132">
      <c r="A122" s="224"/>
      <c r="B122" s="188">
        <f t="shared" si="307"/>
        <v>78</v>
      </c>
      <c r="C122" s="128">
        <f t="shared" si="308"/>
        <v>127806.54174530799</v>
      </c>
      <c r="D122" s="128">
        <f t="shared" si="309"/>
        <v>126835.86096133426</v>
      </c>
      <c r="E122" s="128">
        <f t="shared" si="310"/>
        <v>126661.98702791511</v>
      </c>
      <c r="F122" s="128">
        <f t="shared" si="311"/>
        <v>124563.53804512105</v>
      </c>
      <c r="G122" s="128">
        <f t="shared" si="312"/>
        <v>127297.45217166039</v>
      </c>
      <c r="H122" s="128">
        <f t="shared" si="313"/>
        <v>127338.84083733828</v>
      </c>
      <c r="I122" s="128">
        <f t="shared" si="314"/>
        <v>130510.12481552915</v>
      </c>
      <c r="J122" s="128">
        <f t="shared" si="315"/>
        <v>125037.33080660948</v>
      </c>
      <c r="K122" s="128">
        <f t="shared" si="316"/>
        <v>119673.12806742756</v>
      </c>
      <c r="M122" s="36"/>
      <c r="N122" s="32">
        <f t="shared" si="317"/>
        <v>78</v>
      </c>
      <c r="O122" s="25">
        <f t="shared" si="318"/>
        <v>0.27806541745307989</v>
      </c>
      <c r="P122" s="25">
        <f t="shared" si="319"/>
        <v>0.26835860961334257</v>
      </c>
      <c r="Q122" s="25">
        <f t="shared" si="320"/>
        <v>0.26661987027915113</v>
      </c>
      <c r="R122" s="25">
        <f t="shared" si="245"/>
        <v>0.24563538045121058</v>
      </c>
      <c r="S122" s="25">
        <f t="shared" si="246"/>
        <v>0.27297452171660397</v>
      </c>
      <c r="T122" s="25">
        <f t="shared" si="247"/>
        <v>0.27338840837338285</v>
      </c>
      <c r="U122" s="25">
        <f t="shared" si="248"/>
        <v>0.30510124815529149</v>
      </c>
      <c r="V122" s="25">
        <f t="shared" si="249"/>
        <v>0.25037330806609481</v>
      </c>
      <c r="W122" s="25">
        <f t="shared" si="250"/>
        <v>0.19673128067427559</v>
      </c>
      <c r="X122" s="36"/>
      <c r="Y122" s="36"/>
      <c r="AA122" s="124">
        <f t="shared" si="321"/>
        <v>79</v>
      </c>
      <c r="AB122" s="128">
        <f t="shared" si="251"/>
        <v>119948.51001893052</v>
      </c>
      <c r="AC122" s="124">
        <f t="shared" si="322"/>
        <v>79</v>
      </c>
      <c r="AD122" s="130">
        <f t="shared" si="323"/>
        <v>4.2500000000000003E-2</v>
      </c>
      <c r="AE122" s="127">
        <f t="shared" si="324"/>
        <v>1261</v>
      </c>
      <c r="AF122" s="128">
        <f t="shared" si="325"/>
        <v>125978.3</v>
      </c>
      <c r="AG122" s="128">
        <f t="shared" si="348"/>
        <v>126100</v>
      </c>
      <c r="AH122" s="128">
        <f t="shared" si="357"/>
        <v>126100</v>
      </c>
      <c r="AI122" s="130">
        <f t="shared" si="252"/>
        <v>4.2500000000000003E-2</v>
      </c>
      <c r="AJ122" s="128">
        <f t="shared" si="253"/>
        <v>126546.60416666669</v>
      </c>
      <c r="AK122" s="128" t="str">
        <f t="shared" si="254"/>
        <v>nie</v>
      </c>
      <c r="AL122" s="128">
        <f t="shared" si="255"/>
        <v>630.5</v>
      </c>
      <c r="AM122" s="128">
        <f t="shared" si="361"/>
        <v>125951.04437500001</v>
      </c>
      <c r="AN122" s="128">
        <f t="shared" si="256"/>
        <v>361.74937500001573</v>
      </c>
      <c r="AO122" s="130">
        <f t="shared" si="257"/>
        <v>4.2500000000000003E-2</v>
      </c>
      <c r="AP122" s="128">
        <f t="shared" si="258"/>
        <v>2585.3568469086126</v>
      </c>
      <c r="AQ122" s="128">
        <f t="shared" si="362"/>
        <v>128174.65184690861</v>
      </c>
      <c r="AS122" s="124">
        <f t="shared" si="327"/>
        <v>79</v>
      </c>
      <c r="AT122" s="130">
        <f t="shared" si="328"/>
        <v>4.2500000000000003E-2</v>
      </c>
      <c r="AU122" s="127">
        <f t="shared" si="329"/>
        <v>1252</v>
      </c>
      <c r="AV122" s="128">
        <f t="shared" si="330"/>
        <v>125083.40000000001</v>
      </c>
      <c r="AW122" s="128">
        <f t="shared" si="363"/>
        <v>125200</v>
      </c>
      <c r="AX122" s="128">
        <f t="shared" si="358"/>
        <v>125200</v>
      </c>
      <c r="AY122" s="130">
        <f t="shared" si="259"/>
        <v>4.4000000000000004E-2</v>
      </c>
      <c r="AZ122" s="128">
        <f t="shared" si="260"/>
        <v>125659.06666666667</v>
      </c>
      <c r="BA122" s="128" t="str">
        <f t="shared" si="261"/>
        <v>nie</v>
      </c>
      <c r="BB122" s="128">
        <f t="shared" si="262"/>
        <v>876.4</v>
      </c>
      <c r="BC122" s="128">
        <f t="shared" si="158"/>
        <v>124861.96</v>
      </c>
      <c r="BD122" s="128">
        <f t="shared" si="263"/>
        <v>371.84399999999926</v>
      </c>
      <c r="BE122" s="130">
        <f t="shared" si="264"/>
        <v>4.2500000000000003E-2</v>
      </c>
      <c r="BF122" s="128">
        <f t="shared" si="265"/>
        <v>2724.3183171920778</v>
      </c>
      <c r="BG122" s="128">
        <f t="shared" si="159"/>
        <v>127214.43431719209</v>
      </c>
      <c r="BI122" s="124">
        <f t="shared" si="332"/>
        <v>79</v>
      </c>
      <c r="BJ122" s="130">
        <f t="shared" si="354"/>
        <v>4.1300000000000003E-2</v>
      </c>
      <c r="BK122" s="127">
        <f t="shared" si="333"/>
        <v>1252</v>
      </c>
      <c r="BL122" s="128">
        <f t="shared" si="334"/>
        <v>125074.8</v>
      </c>
      <c r="BM122" s="128">
        <f t="shared" si="349"/>
        <v>125200</v>
      </c>
      <c r="BN122" s="128">
        <f t="shared" si="335"/>
        <v>125200</v>
      </c>
      <c r="BO122" s="130">
        <f t="shared" si="266"/>
        <v>4.65E-2</v>
      </c>
      <c r="BP122" s="128">
        <f t="shared" si="267"/>
        <v>128596.05</v>
      </c>
      <c r="BQ122" s="128" t="str">
        <f t="shared" si="268"/>
        <v>nie</v>
      </c>
      <c r="BR122" s="128">
        <f t="shared" si="269"/>
        <v>1252</v>
      </c>
      <c r="BS122" s="128">
        <f t="shared" si="364"/>
        <v>126936.6805</v>
      </c>
      <c r="BT122" s="128">
        <f t="shared" si="356"/>
        <v>0</v>
      </c>
      <c r="BU122" s="130">
        <f t="shared" si="270"/>
        <v>4.2500000000000003E-2</v>
      </c>
      <c r="BV122" s="128">
        <f t="shared" si="271"/>
        <v>118.61733800768116</v>
      </c>
      <c r="BW122" s="128">
        <f t="shared" si="365"/>
        <v>127055.29783800768</v>
      </c>
      <c r="BY122" s="130">
        <f t="shared" si="360"/>
        <v>2.8000000000000001E-2</v>
      </c>
      <c r="BZ122" s="127">
        <f t="shared" si="337"/>
        <v>1154</v>
      </c>
      <c r="CA122" s="128">
        <f t="shared" si="338"/>
        <v>115296.5</v>
      </c>
      <c r="CB122" s="128">
        <f t="shared" si="366"/>
        <v>115400</v>
      </c>
      <c r="CC122" s="128">
        <f t="shared" si="359"/>
        <v>115400</v>
      </c>
      <c r="CD122" s="130">
        <f t="shared" si="272"/>
        <v>4.2999999999999997E-2</v>
      </c>
      <c r="CE122" s="128">
        <f t="shared" si="273"/>
        <v>118294.61666666667</v>
      </c>
      <c r="CF122" s="128" t="str">
        <f t="shared" si="274"/>
        <v>nie</v>
      </c>
      <c r="CG122" s="128">
        <f t="shared" si="275"/>
        <v>2308</v>
      </c>
      <c r="CH122" s="128">
        <f t="shared" si="160"/>
        <v>115875.15950000001</v>
      </c>
      <c r="CI122" s="128">
        <f t="shared" si="276"/>
        <v>0</v>
      </c>
      <c r="CJ122" s="130">
        <f t="shared" si="277"/>
        <v>4.2500000000000003E-2</v>
      </c>
      <c r="CK122" s="128">
        <f t="shared" si="278"/>
        <v>9049.2127145817321</v>
      </c>
      <c r="CL122" s="128">
        <f t="shared" si="279"/>
        <v>124924.37221458174</v>
      </c>
      <c r="CN122" s="127">
        <f t="shared" si="340"/>
        <v>1000</v>
      </c>
      <c r="CO122" s="128">
        <f t="shared" si="341"/>
        <v>100000</v>
      </c>
      <c r="CP122" s="128">
        <f t="shared" si="342"/>
        <v>100000</v>
      </c>
      <c r="CQ122" s="128">
        <f t="shared" si="343"/>
        <v>133496.63890294704</v>
      </c>
      <c r="CR122" s="130">
        <f t="shared" si="280"/>
        <v>4.8000000000000001E-2</v>
      </c>
      <c r="CS122" s="128">
        <f t="shared" si="281"/>
        <v>137234.54479222957</v>
      </c>
      <c r="CT122" s="128" t="str">
        <f t="shared" si="282"/>
        <v>nie</v>
      </c>
      <c r="CU122" s="128">
        <f t="shared" si="283"/>
        <v>3000</v>
      </c>
      <c r="CV122" s="128">
        <f t="shared" si="284"/>
        <v>127729.98128170596</v>
      </c>
      <c r="CW122" s="128">
        <f t="shared" si="285"/>
        <v>0</v>
      </c>
      <c r="CX122" s="130">
        <f t="shared" si="286"/>
        <v>4.2500000000000003E-2</v>
      </c>
      <c r="CY122" s="128">
        <f t="shared" si="287"/>
        <v>0</v>
      </c>
      <c r="CZ122" s="128">
        <f t="shared" si="288"/>
        <v>127729.98128170596</v>
      </c>
      <c r="DA122" s="20"/>
      <c r="DB122" s="127">
        <f t="shared" si="350"/>
        <v>1267</v>
      </c>
      <c r="DC122" s="128">
        <f t="shared" si="351"/>
        <v>126700</v>
      </c>
      <c r="DD122" s="128">
        <f t="shared" si="344"/>
        <v>126700</v>
      </c>
      <c r="DE122" s="128">
        <f t="shared" si="345"/>
        <v>126700</v>
      </c>
      <c r="DF122" s="130">
        <f t="shared" si="289"/>
        <v>5.1999999999999998E-2</v>
      </c>
      <c r="DG122" s="128">
        <f t="shared" si="290"/>
        <v>130543.23333333334</v>
      </c>
      <c r="DH122" s="128" t="str">
        <f t="shared" si="291"/>
        <v>nie</v>
      </c>
      <c r="DI122" s="128">
        <f t="shared" si="292"/>
        <v>2534</v>
      </c>
      <c r="DJ122" s="128">
        <f t="shared" si="355"/>
        <v>127760.47900000001</v>
      </c>
      <c r="DK122" s="128">
        <f t="shared" si="294"/>
        <v>0</v>
      </c>
      <c r="DL122" s="130">
        <f t="shared" si="295"/>
        <v>4.2500000000000003E-2</v>
      </c>
      <c r="DM122" s="128">
        <f t="shared" si="296"/>
        <v>23.145044752893114</v>
      </c>
      <c r="DN122" s="128">
        <f t="shared" si="297"/>
        <v>127783.6240447529</v>
      </c>
      <c r="DP122" s="127">
        <f t="shared" si="352"/>
        <v>1000</v>
      </c>
      <c r="DQ122" s="128">
        <f t="shared" si="353"/>
        <v>100000</v>
      </c>
      <c r="DR122" s="128">
        <f t="shared" si="346"/>
        <v>100000</v>
      </c>
      <c r="DS122" s="128">
        <f t="shared" si="347"/>
        <v>137035.38310756214</v>
      </c>
      <c r="DT122" s="130">
        <f t="shared" si="298"/>
        <v>5.3000000000000005E-2</v>
      </c>
      <c r="DU122" s="128">
        <f t="shared" si="299"/>
        <v>141272.06036863761</v>
      </c>
      <c r="DV122" s="128" t="str">
        <f t="shared" si="300"/>
        <v>nie</v>
      </c>
      <c r="DW122" s="128">
        <f t="shared" si="301"/>
        <v>3000</v>
      </c>
      <c r="DX122" s="128">
        <f t="shared" si="302"/>
        <v>131000.36889859647</v>
      </c>
      <c r="DY122" s="128">
        <f t="shared" si="303"/>
        <v>0</v>
      </c>
      <c r="DZ122" s="130">
        <f t="shared" si="304"/>
        <v>4.2500000000000003E-2</v>
      </c>
      <c r="EA122" s="128">
        <f t="shared" si="305"/>
        <v>0</v>
      </c>
      <c r="EB122" s="128">
        <f t="shared" si="306"/>
        <v>131000.36889859647</v>
      </c>
    </row>
    <row r="123" spans="1:132">
      <c r="A123" s="224"/>
      <c r="B123" s="188">
        <f t="shared" si="307"/>
        <v>79</v>
      </c>
      <c r="C123" s="128">
        <f t="shared" si="308"/>
        <v>128174.65184690861</v>
      </c>
      <c r="D123" s="128">
        <f t="shared" si="309"/>
        <v>127214.43431719209</v>
      </c>
      <c r="E123" s="128">
        <f t="shared" si="310"/>
        <v>127055.29783800768</v>
      </c>
      <c r="F123" s="128">
        <f t="shared" si="311"/>
        <v>124924.37221458174</v>
      </c>
      <c r="G123" s="128">
        <f t="shared" si="312"/>
        <v>127729.98128170596</v>
      </c>
      <c r="H123" s="128">
        <f t="shared" si="313"/>
        <v>127783.6240447529</v>
      </c>
      <c r="I123" s="128">
        <f t="shared" si="314"/>
        <v>131000.36889859647</v>
      </c>
      <c r="J123" s="128">
        <f t="shared" si="315"/>
        <v>125396.03164936093</v>
      </c>
      <c r="K123" s="128">
        <f t="shared" si="316"/>
        <v>119948.51001893052</v>
      </c>
      <c r="M123" s="36"/>
      <c r="N123" s="32">
        <f t="shared" si="317"/>
        <v>79</v>
      </c>
      <c r="O123" s="25">
        <f t="shared" si="318"/>
        <v>0.28174651846908616</v>
      </c>
      <c r="P123" s="25">
        <f t="shared" si="319"/>
        <v>0.27214434317192082</v>
      </c>
      <c r="Q123" s="25">
        <f t="shared" si="320"/>
        <v>0.27055297838007686</v>
      </c>
      <c r="R123" s="25">
        <f t="shared" si="245"/>
        <v>0.24924372214581747</v>
      </c>
      <c r="S123" s="25">
        <f t="shared" si="246"/>
        <v>0.27729981281705962</v>
      </c>
      <c r="T123" s="25">
        <f t="shared" si="247"/>
        <v>0.27783624044752897</v>
      </c>
      <c r="U123" s="25">
        <f t="shared" si="248"/>
        <v>0.31000368898596475</v>
      </c>
      <c r="V123" s="25">
        <f t="shared" si="249"/>
        <v>0.25396031649360928</v>
      </c>
      <c r="W123" s="25">
        <f t="shared" si="250"/>
        <v>0.19948510018930521</v>
      </c>
      <c r="X123" s="36"/>
      <c r="Y123" s="36"/>
      <c r="AA123" s="124">
        <f t="shared" si="321"/>
        <v>80</v>
      </c>
      <c r="AB123" s="128">
        <f t="shared" si="251"/>
        <v>120223.89197043347</v>
      </c>
      <c r="AC123" s="124">
        <f t="shared" si="322"/>
        <v>80</v>
      </c>
      <c r="AD123" s="130">
        <f t="shared" si="323"/>
        <v>4.2500000000000003E-2</v>
      </c>
      <c r="AE123" s="127">
        <f t="shared" si="324"/>
        <v>1261</v>
      </c>
      <c r="AF123" s="128">
        <f t="shared" si="325"/>
        <v>125978.3</v>
      </c>
      <c r="AG123" s="128">
        <f t="shared" si="348"/>
        <v>126100</v>
      </c>
      <c r="AH123" s="128">
        <f t="shared" si="357"/>
        <v>126100</v>
      </c>
      <c r="AI123" s="130">
        <f t="shared" si="252"/>
        <v>4.2500000000000003E-2</v>
      </c>
      <c r="AJ123" s="128">
        <f t="shared" si="253"/>
        <v>126546.60416666669</v>
      </c>
      <c r="AK123" s="128" t="str">
        <f t="shared" si="254"/>
        <v>nie</v>
      </c>
      <c r="AL123" s="128">
        <f t="shared" si="255"/>
        <v>630.5</v>
      </c>
      <c r="AM123" s="128">
        <f t="shared" si="361"/>
        <v>125951.04437500001</v>
      </c>
      <c r="AN123" s="128">
        <f t="shared" si="256"/>
        <v>361.74937500001573</v>
      </c>
      <c r="AO123" s="130">
        <f t="shared" si="257"/>
        <v>4.2500000000000003E-2</v>
      </c>
      <c r="AP123" s="128">
        <f t="shared" si="258"/>
        <v>2954.5229643631974</v>
      </c>
      <c r="AQ123" s="128">
        <f t="shared" si="362"/>
        <v>128543.81796436319</v>
      </c>
      <c r="AS123" s="124">
        <f t="shared" si="327"/>
        <v>80</v>
      </c>
      <c r="AT123" s="130">
        <f t="shared" si="328"/>
        <v>4.2500000000000003E-2</v>
      </c>
      <c r="AU123" s="127">
        <f t="shared" si="329"/>
        <v>1252</v>
      </c>
      <c r="AV123" s="128">
        <f t="shared" si="330"/>
        <v>125083.40000000001</v>
      </c>
      <c r="AW123" s="128">
        <f t="shared" si="363"/>
        <v>125200</v>
      </c>
      <c r="AX123" s="128">
        <f t="shared" si="358"/>
        <v>125200</v>
      </c>
      <c r="AY123" s="130">
        <f t="shared" si="259"/>
        <v>4.4000000000000004E-2</v>
      </c>
      <c r="AZ123" s="128">
        <f t="shared" si="260"/>
        <v>125659.06666666667</v>
      </c>
      <c r="BA123" s="128" t="str">
        <f t="shared" si="261"/>
        <v>nie</v>
      </c>
      <c r="BB123" s="128">
        <f t="shared" si="262"/>
        <v>876.4</v>
      </c>
      <c r="BC123" s="128">
        <f t="shared" si="158"/>
        <v>124861.96</v>
      </c>
      <c r="BD123" s="128">
        <f t="shared" si="263"/>
        <v>371.84399999999926</v>
      </c>
      <c r="BE123" s="130">
        <f t="shared" si="264"/>
        <v>4.2500000000000003E-2</v>
      </c>
      <c r="BF123" s="128">
        <f t="shared" si="265"/>
        <v>3103.9777053645216</v>
      </c>
      <c r="BG123" s="128">
        <f t="shared" si="159"/>
        <v>127594.09370536453</v>
      </c>
      <c r="BI123" s="124">
        <f t="shared" si="332"/>
        <v>80</v>
      </c>
      <c r="BJ123" s="130">
        <f t="shared" si="354"/>
        <v>4.1300000000000003E-2</v>
      </c>
      <c r="BK123" s="127">
        <f t="shared" si="333"/>
        <v>1252</v>
      </c>
      <c r="BL123" s="128">
        <f t="shared" si="334"/>
        <v>125074.8</v>
      </c>
      <c r="BM123" s="128">
        <f t="shared" si="349"/>
        <v>125200</v>
      </c>
      <c r="BN123" s="128">
        <f t="shared" si="335"/>
        <v>125200</v>
      </c>
      <c r="BO123" s="130">
        <f t="shared" si="266"/>
        <v>4.65E-2</v>
      </c>
      <c r="BP123" s="128">
        <f t="shared" si="267"/>
        <v>129081.19999999998</v>
      </c>
      <c r="BQ123" s="128" t="str">
        <f t="shared" si="268"/>
        <v>nie</v>
      </c>
      <c r="BR123" s="128">
        <f t="shared" si="269"/>
        <v>1252</v>
      </c>
      <c r="BS123" s="128">
        <f t="shared" si="364"/>
        <v>127329.65199999999</v>
      </c>
      <c r="BT123" s="128">
        <f t="shared" si="356"/>
        <v>0</v>
      </c>
      <c r="BU123" s="130">
        <f t="shared" si="270"/>
        <v>4.2500000000000003E-2</v>
      </c>
      <c r="BV123" s="128">
        <f t="shared" si="271"/>
        <v>118.95762149609068</v>
      </c>
      <c r="BW123" s="128">
        <f t="shared" si="365"/>
        <v>127448.60962149607</v>
      </c>
      <c r="BY123" s="130">
        <f t="shared" si="360"/>
        <v>2.8000000000000001E-2</v>
      </c>
      <c r="BZ123" s="127">
        <f t="shared" si="337"/>
        <v>1154</v>
      </c>
      <c r="CA123" s="128">
        <f t="shared" si="338"/>
        <v>115296.5</v>
      </c>
      <c r="CB123" s="128">
        <f t="shared" si="366"/>
        <v>115400</v>
      </c>
      <c r="CC123" s="128">
        <f t="shared" si="359"/>
        <v>115400</v>
      </c>
      <c r="CD123" s="130">
        <f t="shared" si="272"/>
        <v>4.2999999999999997E-2</v>
      </c>
      <c r="CE123" s="128">
        <f t="shared" si="273"/>
        <v>118708.13333333333</v>
      </c>
      <c r="CF123" s="128" t="str">
        <f t="shared" si="274"/>
        <v>nie</v>
      </c>
      <c r="CG123" s="128">
        <f t="shared" si="275"/>
        <v>2308</v>
      </c>
      <c r="CH123" s="128">
        <f t="shared" si="160"/>
        <v>116210.10799999999</v>
      </c>
      <c r="CI123" s="128">
        <f t="shared" si="276"/>
        <v>0</v>
      </c>
      <c r="CJ123" s="130">
        <f t="shared" si="277"/>
        <v>4.2500000000000003E-2</v>
      </c>
      <c r="CK123" s="128">
        <f t="shared" si="278"/>
        <v>9075.1726435566889</v>
      </c>
      <c r="CL123" s="128">
        <f t="shared" si="279"/>
        <v>125285.28064355667</v>
      </c>
      <c r="CN123" s="127">
        <f t="shared" si="340"/>
        <v>1000</v>
      </c>
      <c r="CO123" s="128">
        <f t="shared" si="341"/>
        <v>100000</v>
      </c>
      <c r="CP123" s="128">
        <f t="shared" si="342"/>
        <v>100000</v>
      </c>
      <c r="CQ123" s="128">
        <f t="shared" si="343"/>
        <v>133496.63890294704</v>
      </c>
      <c r="CR123" s="130">
        <f t="shared" si="280"/>
        <v>4.8000000000000001E-2</v>
      </c>
      <c r="CS123" s="128">
        <f t="shared" si="281"/>
        <v>137768.53134784134</v>
      </c>
      <c r="CT123" s="128" t="str">
        <f t="shared" si="282"/>
        <v>nie</v>
      </c>
      <c r="CU123" s="128">
        <f t="shared" si="283"/>
        <v>3000</v>
      </c>
      <c r="CV123" s="128">
        <f t="shared" si="284"/>
        <v>128162.51039175149</v>
      </c>
      <c r="CW123" s="128">
        <f t="shared" si="285"/>
        <v>0</v>
      </c>
      <c r="CX123" s="130">
        <f t="shared" si="286"/>
        <v>4.2500000000000003E-2</v>
      </c>
      <c r="CY123" s="128">
        <f t="shared" si="287"/>
        <v>0</v>
      </c>
      <c r="CZ123" s="128">
        <f t="shared" si="288"/>
        <v>128162.51039175149</v>
      </c>
      <c r="DA123" s="20"/>
      <c r="DB123" s="127">
        <f t="shared" si="350"/>
        <v>1267</v>
      </c>
      <c r="DC123" s="128">
        <f t="shared" si="351"/>
        <v>126700</v>
      </c>
      <c r="DD123" s="128">
        <f t="shared" si="344"/>
        <v>126700</v>
      </c>
      <c r="DE123" s="128">
        <f t="shared" si="345"/>
        <v>126700</v>
      </c>
      <c r="DF123" s="130">
        <f t="shared" si="289"/>
        <v>5.1999999999999998E-2</v>
      </c>
      <c r="DG123" s="128">
        <f t="shared" si="290"/>
        <v>131092.26666666666</v>
      </c>
      <c r="DH123" s="128" t="str">
        <f t="shared" si="291"/>
        <v>nie</v>
      </c>
      <c r="DI123" s="128">
        <f t="shared" si="292"/>
        <v>2534</v>
      </c>
      <c r="DJ123" s="128">
        <f t="shared" si="355"/>
        <v>128205.196</v>
      </c>
      <c r="DK123" s="128">
        <f t="shared" si="294"/>
        <v>0</v>
      </c>
      <c r="DL123" s="130">
        <f t="shared" si="295"/>
        <v>4.2500000000000003E-2</v>
      </c>
      <c r="DM123" s="128">
        <f t="shared" si="296"/>
        <v>23.211442100027973</v>
      </c>
      <c r="DN123" s="128">
        <f t="shared" si="297"/>
        <v>128228.40744210003</v>
      </c>
      <c r="DP123" s="127">
        <f t="shared" si="352"/>
        <v>1000</v>
      </c>
      <c r="DQ123" s="128">
        <f t="shared" si="353"/>
        <v>100000</v>
      </c>
      <c r="DR123" s="128">
        <f t="shared" si="346"/>
        <v>100000</v>
      </c>
      <c r="DS123" s="128">
        <f t="shared" si="347"/>
        <v>137035.38310756214</v>
      </c>
      <c r="DT123" s="130">
        <f t="shared" si="298"/>
        <v>5.3000000000000005E-2</v>
      </c>
      <c r="DU123" s="128">
        <f t="shared" si="299"/>
        <v>141877.29997736268</v>
      </c>
      <c r="DV123" s="128" t="str">
        <f t="shared" si="300"/>
        <v>nie</v>
      </c>
      <c r="DW123" s="128">
        <f t="shared" si="301"/>
        <v>3000</v>
      </c>
      <c r="DX123" s="128">
        <f t="shared" si="302"/>
        <v>131490.61298166378</v>
      </c>
      <c r="DY123" s="128">
        <f t="shared" si="303"/>
        <v>0</v>
      </c>
      <c r="DZ123" s="130">
        <f t="shared" si="304"/>
        <v>4.2500000000000003E-2</v>
      </c>
      <c r="EA123" s="128">
        <f t="shared" si="305"/>
        <v>0</v>
      </c>
      <c r="EB123" s="128">
        <f t="shared" si="306"/>
        <v>131490.61298166378</v>
      </c>
    </row>
    <row r="124" spans="1:132">
      <c r="A124" s="224"/>
      <c r="B124" s="188">
        <f t="shared" si="307"/>
        <v>80</v>
      </c>
      <c r="C124" s="128">
        <f t="shared" si="308"/>
        <v>128543.81796436319</v>
      </c>
      <c r="D124" s="128">
        <f t="shared" si="309"/>
        <v>127594.09370536453</v>
      </c>
      <c r="E124" s="128">
        <f t="shared" si="310"/>
        <v>127448.60962149607</v>
      </c>
      <c r="F124" s="128">
        <f t="shared" si="311"/>
        <v>125285.28064355667</v>
      </c>
      <c r="G124" s="128">
        <f t="shared" si="312"/>
        <v>128162.51039175149</v>
      </c>
      <c r="H124" s="128">
        <f t="shared" si="313"/>
        <v>128228.40744210003</v>
      </c>
      <c r="I124" s="128">
        <f t="shared" si="314"/>
        <v>131490.61298166378</v>
      </c>
      <c r="J124" s="128">
        <f t="shared" si="315"/>
        <v>125755.76151515503</v>
      </c>
      <c r="K124" s="128">
        <f t="shared" si="316"/>
        <v>120223.89197043347</v>
      </c>
      <c r="M124" s="36"/>
      <c r="N124" s="32">
        <f t="shared" si="317"/>
        <v>80</v>
      </c>
      <c r="O124" s="25">
        <f t="shared" si="318"/>
        <v>0.28543817964363183</v>
      </c>
      <c r="P124" s="25">
        <f t="shared" si="319"/>
        <v>0.27594093705364542</v>
      </c>
      <c r="Q124" s="25">
        <f t="shared" si="320"/>
        <v>0.27448609621496067</v>
      </c>
      <c r="R124" s="25">
        <f t="shared" si="245"/>
        <v>0.25285280643556685</v>
      </c>
      <c r="S124" s="25">
        <f t="shared" si="246"/>
        <v>0.28162510391751483</v>
      </c>
      <c r="T124" s="25">
        <f t="shared" si="247"/>
        <v>0.28228407442100023</v>
      </c>
      <c r="U124" s="25">
        <f t="shared" si="248"/>
        <v>0.31490612981663779</v>
      </c>
      <c r="V124" s="25">
        <f t="shared" si="249"/>
        <v>0.25755761515155018</v>
      </c>
      <c r="W124" s="25">
        <f t="shared" si="250"/>
        <v>0.20223891970433461</v>
      </c>
      <c r="X124" s="36"/>
      <c r="Y124" s="36"/>
      <c r="AA124" s="124">
        <f t="shared" si="321"/>
        <v>81</v>
      </c>
      <c r="AB124" s="128">
        <f t="shared" si="251"/>
        <v>120499.27392193642</v>
      </c>
      <c r="AC124" s="124">
        <f t="shared" si="322"/>
        <v>81</v>
      </c>
      <c r="AD124" s="130">
        <f t="shared" si="323"/>
        <v>4.2500000000000003E-2</v>
      </c>
      <c r="AE124" s="127">
        <f t="shared" si="324"/>
        <v>1261</v>
      </c>
      <c r="AF124" s="128">
        <f t="shared" si="325"/>
        <v>125978.3</v>
      </c>
      <c r="AG124" s="128">
        <f t="shared" si="348"/>
        <v>126100</v>
      </c>
      <c r="AH124" s="128">
        <f t="shared" si="357"/>
        <v>126100</v>
      </c>
      <c r="AI124" s="130">
        <f t="shared" si="252"/>
        <v>4.2500000000000003E-2</v>
      </c>
      <c r="AJ124" s="128">
        <f t="shared" si="253"/>
        <v>126546.60416666669</v>
      </c>
      <c r="AK124" s="128" t="str">
        <f t="shared" si="254"/>
        <v>nie</v>
      </c>
      <c r="AL124" s="128">
        <f t="shared" si="255"/>
        <v>630.5</v>
      </c>
      <c r="AM124" s="128">
        <f t="shared" si="361"/>
        <v>125951.04437500001</v>
      </c>
      <c r="AN124" s="128">
        <f t="shared" si="256"/>
        <v>361.74937500001573</v>
      </c>
      <c r="AO124" s="130">
        <f t="shared" si="257"/>
        <v>4.2500000000000003E-2</v>
      </c>
      <c r="AP124" s="128">
        <f t="shared" si="258"/>
        <v>3324.7481271172301</v>
      </c>
      <c r="AQ124" s="128">
        <f t="shared" si="362"/>
        <v>128914.04312711723</v>
      </c>
      <c r="AS124" s="124">
        <f t="shared" si="327"/>
        <v>81</v>
      </c>
      <c r="AT124" s="130">
        <f t="shared" si="328"/>
        <v>4.2500000000000003E-2</v>
      </c>
      <c r="AU124" s="127">
        <f t="shared" si="329"/>
        <v>1252</v>
      </c>
      <c r="AV124" s="128">
        <f t="shared" si="330"/>
        <v>125083.40000000001</v>
      </c>
      <c r="AW124" s="128">
        <f t="shared" si="363"/>
        <v>125200</v>
      </c>
      <c r="AX124" s="128">
        <f t="shared" si="358"/>
        <v>125200</v>
      </c>
      <c r="AY124" s="130">
        <f t="shared" si="259"/>
        <v>4.4000000000000004E-2</v>
      </c>
      <c r="AZ124" s="128">
        <f t="shared" si="260"/>
        <v>125659.06666666667</v>
      </c>
      <c r="BA124" s="128" t="str">
        <f t="shared" si="261"/>
        <v>nie</v>
      </c>
      <c r="BB124" s="128">
        <f t="shared" si="262"/>
        <v>876.4</v>
      </c>
      <c r="BC124" s="128">
        <f t="shared" si="158"/>
        <v>124861.96</v>
      </c>
      <c r="BD124" s="128">
        <f t="shared" si="263"/>
        <v>371.84399999999926</v>
      </c>
      <c r="BE124" s="130">
        <f t="shared" si="264"/>
        <v>4.2500000000000003E-2</v>
      </c>
      <c r="BF124" s="128">
        <f t="shared" si="265"/>
        <v>3484.726241406785</v>
      </c>
      <c r="BG124" s="128">
        <f t="shared" si="159"/>
        <v>127974.84224140679</v>
      </c>
      <c r="BI124" s="124">
        <f t="shared" si="332"/>
        <v>81</v>
      </c>
      <c r="BJ124" s="130">
        <f t="shared" si="354"/>
        <v>4.1300000000000003E-2</v>
      </c>
      <c r="BK124" s="127">
        <f t="shared" si="333"/>
        <v>1252</v>
      </c>
      <c r="BL124" s="128">
        <f t="shared" si="334"/>
        <v>125074.8</v>
      </c>
      <c r="BM124" s="128">
        <f t="shared" si="349"/>
        <v>125200</v>
      </c>
      <c r="BN124" s="128">
        <f t="shared" si="335"/>
        <v>125200</v>
      </c>
      <c r="BO124" s="130">
        <f t="shared" si="266"/>
        <v>4.65E-2</v>
      </c>
      <c r="BP124" s="128">
        <f t="shared" si="267"/>
        <v>129566.35</v>
      </c>
      <c r="BQ124" s="128" t="str">
        <f t="shared" si="268"/>
        <v>nie</v>
      </c>
      <c r="BR124" s="128">
        <f t="shared" si="269"/>
        <v>1252</v>
      </c>
      <c r="BS124" s="128">
        <f t="shared" si="364"/>
        <v>127722.6235</v>
      </c>
      <c r="BT124" s="128">
        <f t="shared" si="356"/>
        <v>0</v>
      </c>
      <c r="BU124" s="130">
        <f t="shared" si="270"/>
        <v>4.2500000000000003E-2</v>
      </c>
      <c r="BV124" s="128">
        <f t="shared" si="271"/>
        <v>119.29888117275759</v>
      </c>
      <c r="BW124" s="128">
        <f t="shared" si="365"/>
        <v>127841.92238117276</v>
      </c>
      <c r="BY124" s="130">
        <f t="shared" si="360"/>
        <v>2.8000000000000001E-2</v>
      </c>
      <c r="BZ124" s="127">
        <f t="shared" si="337"/>
        <v>1154</v>
      </c>
      <c r="CA124" s="128">
        <f t="shared" si="338"/>
        <v>115296.5</v>
      </c>
      <c r="CB124" s="128">
        <f t="shared" si="366"/>
        <v>115400</v>
      </c>
      <c r="CC124" s="128">
        <f t="shared" si="359"/>
        <v>115400</v>
      </c>
      <c r="CD124" s="130">
        <f t="shared" si="272"/>
        <v>4.2999999999999997E-2</v>
      </c>
      <c r="CE124" s="128">
        <f t="shared" si="273"/>
        <v>119121.65</v>
      </c>
      <c r="CF124" s="128" t="str">
        <f t="shared" si="274"/>
        <v>nie</v>
      </c>
      <c r="CG124" s="128">
        <f t="shared" si="275"/>
        <v>2308</v>
      </c>
      <c r="CH124" s="128">
        <f t="shared" si="160"/>
        <v>116545.05649999999</v>
      </c>
      <c r="CI124" s="128">
        <f t="shared" si="276"/>
        <v>0</v>
      </c>
      <c r="CJ124" s="130">
        <f t="shared" si="277"/>
        <v>4.2500000000000003E-2</v>
      </c>
      <c r="CK124" s="128">
        <f t="shared" si="278"/>
        <v>9101.207045077892</v>
      </c>
      <c r="CL124" s="128">
        <f t="shared" si="279"/>
        <v>125646.26354507788</v>
      </c>
      <c r="CN124" s="127">
        <f t="shared" si="340"/>
        <v>1000</v>
      </c>
      <c r="CO124" s="128">
        <f t="shared" si="341"/>
        <v>100000</v>
      </c>
      <c r="CP124" s="128">
        <f t="shared" si="342"/>
        <v>100000</v>
      </c>
      <c r="CQ124" s="128">
        <f t="shared" si="343"/>
        <v>133496.63890294704</v>
      </c>
      <c r="CR124" s="130">
        <f t="shared" si="280"/>
        <v>4.8000000000000001E-2</v>
      </c>
      <c r="CS124" s="128">
        <f t="shared" si="281"/>
        <v>138302.51790345315</v>
      </c>
      <c r="CT124" s="128" t="str">
        <f t="shared" si="282"/>
        <v>nie</v>
      </c>
      <c r="CU124" s="128">
        <f t="shared" si="283"/>
        <v>3000</v>
      </c>
      <c r="CV124" s="128">
        <f t="shared" si="284"/>
        <v>128595.03950179704</v>
      </c>
      <c r="CW124" s="128">
        <f t="shared" si="285"/>
        <v>0</v>
      </c>
      <c r="CX124" s="130">
        <f t="shared" si="286"/>
        <v>4.2500000000000003E-2</v>
      </c>
      <c r="CY124" s="128">
        <f t="shared" si="287"/>
        <v>0</v>
      </c>
      <c r="CZ124" s="128">
        <f t="shared" si="288"/>
        <v>128595.03950179704</v>
      </c>
      <c r="DA124" s="20"/>
      <c r="DB124" s="127">
        <f t="shared" si="350"/>
        <v>1267</v>
      </c>
      <c r="DC124" s="128">
        <f t="shared" si="351"/>
        <v>126700</v>
      </c>
      <c r="DD124" s="128">
        <f t="shared" si="344"/>
        <v>126700</v>
      </c>
      <c r="DE124" s="128">
        <f t="shared" si="345"/>
        <v>126700</v>
      </c>
      <c r="DF124" s="130">
        <f t="shared" si="289"/>
        <v>5.1999999999999998E-2</v>
      </c>
      <c r="DG124" s="128">
        <f t="shared" si="290"/>
        <v>131641.29999999999</v>
      </c>
      <c r="DH124" s="128" t="str">
        <f t="shared" si="291"/>
        <v>nie</v>
      </c>
      <c r="DI124" s="128">
        <f t="shared" si="292"/>
        <v>2534</v>
      </c>
      <c r="DJ124" s="128">
        <f t="shared" si="355"/>
        <v>128649.91299999999</v>
      </c>
      <c r="DK124" s="128">
        <f t="shared" si="294"/>
        <v>0</v>
      </c>
      <c r="DL124" s="130">
        <f t="shared" si="295"/>
        <v>4.2500000000000003E-2</v>
      </c>
      <c r="DM124" s="128">
        <f t="shared" si="296"/>
        <v>23.278029924552428</v>
      </c>
      <c r="DN124" s="128">
        <f t="shared" si="297"/>
        <v>128673.19102992454</v>
      </c>
      <c r="DP124" s="127">
        <f t="shared" si="352"/>
        <v>1000</v>
      </c>
      <c r="DQ124" s="128">
        <f t="shared" si="353"/>
        <v>100000</v>
      </c>
      <c r="DR124" s="128">
        <f t="shared" si="346"/>
        <v>100000</v>
      </c>
      <c r="DS124" s="128">
        <f t="shared" si="347"/>
        <v>137035.38310756214</v>
      </c>
      <c r="DT124" s="130">
        <f t="shared" si="298"/>
        <v>5.3000000000000005E-2</v>
      </c>
      <c r="DU124" s="128">
        <f t="shared" si="299"/>
        <v>142482.53958608772</v>
      </c>
      <c r="DV124" s="128" t="str">
        <f t="shared" si="300"/>
        <v>nie</v>
      </c>
      <c r="DW124" s="128">
        <f t="shared" si="301"/>
        <v>3000</v>
      </c>
      <c r="DX124" s="128">
        <f t="shared" si="302"/>
        <v>131980.85706473104</v>
      </c>
      <c r="DY124" s="128">
        <f t="shared" si="303"/>
        <v>0</v>
      </c>
      <c r="DZ124" s="130">
        <f t="shared" si="304"/>
        <v>4.2500000000000003E-2</v>
      </c>
      <c r="EA124" s="128">
        <f t="shared" si="305"/>
        <v>0</v>
      </c>
      <c r="EB124" s="128">
        <f t="shared" si="306"/>
        <v>131980.85706473104</v>
      </c>
    </row>
    <row r="125" spans="1:132">
      <c r="A125" s="224"/>
      <c r="B125" s="188">
        <f t="shared" si="307"/>
        <v>81</v>
      </c>
      <c r="C125" s="128">
        <f t="shared" si="308"/>
        <v>128914.04312711723</v>
      </c>
      <c r="D125" s="128">
        <f t="shared" si="309"/>
        <v>127974.84224140679</v>
      </c>
      <c r="E125" s="128">
        <f t="shared" si="310"/>
        <v>127841.92238117276</v>
      </c>
      <c r="F125" s="128">
        <f t="shared" si="311"/>
        <v>125646.26354507788</v>
      </c>
      <c r="G125" s="128">
        <f t="shared" si="312"/>
        <v>128595.03950179704</v>
      </c>
      <c r="H125" s="128">
        <f t="shared" si="313"/>
        <v>128673.19102992454</v>
      </c>
      <c r="I125" s="128">
        <f t="shared" si="314"/>
        <v>131980.85706473104</v>
      </c>
      <c r="J125" s="128">
        <f t="shared" si="315"/>
        <v>126116.52335600162</v>
      </c>
      <c r="K125" s="128">
        <f t="shared" si="316"/>
        <v>120499.27392193642</v>
      </c>
      <c r="M125" s="36"/>
      <c r="N125" s="32">
        <f t="shared" si="317"/>
        <v>81</v>
      </c>
      <c r="O125" s="25">
        <f t="shared" si="318"/>
        <v>0.28914043127117228</v>
      </c>
      <c r="P125" s="25">
        <f t="shared" si="319"/>
        <v>0.27974842241406783</v>
      </c>
      <c r="Q125" s="25">
        <f t="shared" si="320"/>
        <v>0.27841922381172757</v>
      </c>
      <c r="R125" s="25">
        <f t="shared" si="245"/>
        <v>0.25646263545077885</v>
      </c>
      <c r="S125" s="25">
        <f t="shared" si="246"/>
        <v>0.28595039501797048</v>
      </c>
      <c r="T125" s="25">
        <f t="shared" si="247"/>
        <v>0.28673191029924538</v>
      </c>
      <c r="U125" s="25">
        <f t="shared" si="248"/>
        <v>0.31980857064731039</v>
      </c>
      <c r="V125" s="25">
        <f t="shared" si="249"/>
        <v>0.26116523356001631</v>
      </c>
      <c r="W125" s="25">
        <f t="shared" si="250"/>
        <v>0.20499273921936423</v>
      </c>
      <c r="X125" s="36"/>
      <c r="Y125" s="36"/>
      <c r="AA125" s="124">
        <f t="shared" si="321"/>
        <v>82</v>
      </c>
      <c r="AB125" s="128">
        <f t="shared" si="251"/>
        <v>120774.65587343941</v>
      </c>
      <c r="AC125" s="124">
        <f t="shared" si="322"/>
        <v>82</v>
      </c>
      <c r="AD125" s="130">
        <f t="shared" si="323"/>
        <v>4.2500000000000003E-2</v>
      </c>
      <c r="AE125" s="127">
        <f t="shared" si="324"/>
        <v>1261</v>
      </c>
      <c r="AF125" s="128">
        <f t="shared" si="325"/>
        <v>125978.3</v>
      </c>
      <c r="AG125" s="128">
        <f t="shared" si="348"/>
        <v>126100</v>
      </c>
      <c r="AH125" s="128">
        <f t="shared" si="357"/>
        <v>126100</v>
      </c>
      <c r="AI125" s="130">
        <f t="shared" si="252"/>
        <v>4.2500000000000003E-2</v>
      </c>
      <c r="AJ125" s="128">
        <f t="shared" si="253"/>
        <v>126546.60416666669</v>
      </c>
      <c r="AK125" s="128" t="str">
        <f t="shared" si="254"/>
        <v>nie</v>
      </c>
      <c r="AL125" s="128">
        <f t="shared" si="255"/>
        <v>630.5</v>
      </c>
      <c r="AM125" s="128">
        <f t="shared" si="361"/>
        <v>125951.04437500001</v>
      </c>
      <c r="AN125" s="128">
        <f t="shared" si="256"/>
        <v>361.74937500001573</v>
      </c>
      <c r="AO125" s="130">
        <f t="shared" si="257"/>
        <v>4.2500000000000003E-2</v>
      </c>
      <c r="AP125" s="128">
        <f t="shared" si="258"/>
        <v>3696.0353733069132</v>
      </c>
      <c r="AQ125" s="128">
        <f t="shared" si="362"/>
        <v>129285.3303733069</v>
      </c>
      <c r="AS125" s="124">
        <f t="shared" si="327"/>
        <v>82</v>
      </c>
      <c r="AT125" s="130">
        <f t="shared" si="328"/>
        <v>4.2500000000000003E-2</v>
      </c>
      <c r="AU125" s="127">
        <f t="shared" si="329"/>
        <v>1252</v>
      </c>
      <c r="AV125" s="128">
        <f t="shared" si="330"/>
        <v>125083.40000000001</v>
      </c>
      <c r="AW125" s="128">
        <f t="shared" si="363"/>
        <v>125200</v>
      </c>
      <c r="AX125" s="128">
        <f t="shared" si="358"/>
        <v>125200</v>
      </c>
      <c r="AY125" s="130">
        <f t="shared" si="259"/>
        <v>4.4000000000000004E-2</v>
      </c>
      <c r="AZ125" s="128">
        <f t="shared" si="260"/>
        <v>125659.06666666667</v>
      </c>
      <c r="BA125" s="128" t="str">
        <f t="shared" si="261"/>
        <v>nie</v>
      </c>
      <c r="BB125" s="128">
        <f t="shared" si="262"/>
        <v>876.4</v>
      </c>
      <c r="BC125" s="128">
        <f t="shared" si="158"/>
        <v>124861.96</v>
      </c>
      <c r="BD125" s="128">
        <f t="shared" si="263"/>
        <v>371.84399999999926</v>
      </c>
      <c r="BE125" s="130">
        <f t="shared" si="264"/>
        <v>4.2500000000000003E-2</v>
      </c>
      <c r="BF125" s="128">
        <f t="shared" si="265"/>
        <v>3866.5670498118197</v>
      </c>
      <c r="BG125" s="128">
        <f t="shared" si="159"/>
        <v>128356.68304981182</v>
      </c>
      <c r="BI125" s="124">
        <f t="shared" si="332"/>
        <v>82</v>
      </c>
      <c r="BJ125" s="130">
        <f t="shared" si="354"/>
        <v>4.1300000000000003E-2</v>
      </c>
      <c r="BK125" s="127">
        <f t="shared" si="333"/>
        <v>1252</v>
      </c>
      <c r="BL125" s="128">
        <f t="shared" si="334"/>
        <v>125074.8</v>
      </c>
      <c r="BM125" s="128">
        <f t="shared" si="349"/>
        <v>125200</v>
      </c>
      <c r="BN125" s="128">
        <f t="shared" si="335"/>
        <v>125200</v>
      </c>
      <c r="BO125" s="130">
        <f t="shared" si="266"/>
        <v>4.65E-2</v>
      </c>
      <c r="BP125" s="128">
        <f t="shared" si="267"/>
        <v>130051.50000000001</v>
      </c>
      <c r="BQ125" s="128" t="str">
        <f t="shared" si="268"/>
        <v>nie</v>
      </c>
      <c r="BR125" s="128">
        <f t="shared" si="269"/>
        <v>1252</v>
      </c>
      <c r="BS125" s="128">
        <f t="shared" si="364"/>
        <v>128115.59500000002</v>
      </c>
      <c r="BT125" s="128">
        <f t="shared" si="356"/>
        <v>0</v>
      </c>
      <c r="BU125" s="130">
        <f t="shared" si="270"/>
        <v>4.2500000000000003E-2</v>
      </c>
      <c r="BV125" s="128">
        <f t="shared" si="271"/>
        <v>119.64111983812194</v>
      </c>
      <c r="BW125" s="128">
        <f t="shared" si="365"/>
        <v>128235.23611983814</v>
      </c>
      <c r="BY125" s="130">
        <f t="shared" si="360"/>
        <v>2.8000000000000001E-2</v>
      </c>
      <c r="BZ125" s="127">
        <f t="shared" si="337"/>
        <v>1154</v>
      </c>
      <c r="CA125" s="128">
        <f t="shared" si="338"/>
        <v>115296.5</v>
      </c>
      <c r="CB125" s="128">
        <f t="shared" si="366"/>
        <v>115400</v>
      </c>
      <c r="CC125" s="128">
        <f t="shared" si="359"/>
        <v>115400</v>
      </c>
      <c r="CD125" s="130">
        <f t="shared" si="272"/>
        <v>4.2999999999999997E-2</v>
      </c>
      <c r="CE125" s="128">
        <f t="shared" si="273"/>
        <v>119535.16666666667</v>
      </c>
      <c r="CF125" s="128" t="str">
        <f t="shared" si="274"/>
        <v>nie</v>
      </c>
      <c r="CG125" s="128">
        <f t="shared" si="275"/>
        <v>2308</v>
      </c>
      <c r="CH125" s="128">
        <f t="shared" si="160"/>
        <v>116880.005</v>
      </c>
      <c r="CI125" s="128">
        <f t="shared" si="276"/>
        <v>0</v>
      </c>
      <c r="CJ125" s="130">
        <f t="shared" si="277"/>
        <v>4.2500000000000003E-2</v>
      </c>
      <c r="CK125" s="128">
        <f t="shared" si="278"/>
        <v>9127.3161327884591</v>
      </c>
      <c r="CL125" s="128">
        <f t="shared" si="279"/>
        <v>126007.32113278846</v>
      </c>
      <c r="CN125" s="127">
        <f t="shared" si="340"/>
        <v>1000</v>
      </c>
      <c r="CO125" s="128">
        <f t="shared" si="341"/>
        <v>100000</v>
      </c>
      <c r="CP125" s="128">
        <f t="shared" si="342"/>
        <v>100000</v>
      </c>
      <c r="CQ125" s="128">
        <f t="shared" si="343"/>
        <v>133496.63890294704</v>
      </c>
      <c r="CR125" s="130">
        <f t="shared" si="280"/>
        <v>4.8000000000000001E-2</v>
      </c>
      <c r="CS125" s="128">
        <f t="shared" si="281"/>
        <v>138836.50445906492</v>
      </c>
      <c r="CT125" s="128" t="str">
        <f t="shared" si="282"/>
        <v>nie</v>
      </c>
      <c r="CU125" s="128">
        <f t="shared" si="283"/>
        <v>3000</v>
      </c>
      <c r="CV125" s="128">
        <f t="shared" si="284"/>
        <v>129027.56861184258</v>
      </c>
      <c r="CW125" s="128">
        <f t="shared" si="285"/>
        <v>0</v>
      </c>
      <c r="CX125" s="130">
        <f t="shared" si="286"/>
        <v>4.2500000000000003E-2</v>
      </c>
      <c r="CY125" s="128">
        <f t="shared" si="287"/>
        <v>0</v>
      </c>
      <c r="CZ125" s="128">
        <f t="shared" si="288"/>
        <v>129027.56861184258</v>
      </c>
      <c r="DA125" s="20"/>
      <c r="DB125" s="127">
        <f t="shared" si="350"/>
        <v>1267</v>
      </c>
      <c r="DC125" s="128">
        <f t="shared" si="351"/>
        <v>126700</v>
      </c>
      <c r="DD125" s="128">
        <f t="shared" si="344"/>
        <v>126700</v>
      </c>
      <c r="DE125" s="128">
        <f t="shared" si="345"/>
        <v>126700</v>
      </c>
      <c r="DF125" s="130">
        <f t="shared" si="289"/>
        <v>5.1999999999999998E-2</v>
      </c>
      <c r="DG125" s="128">
        <f t="shared" si="290"/>
        <v>132190.33333333334</v>
      </c>
      <c r="DH125" s="128" t="str">
        <f t="shared" si="291"/>
        <v>nie</v>
      </c>
      <c r="DI125" s="128">
        <f t="shared" si="292"/>
        <v>2534</v>
      </c>
      <c r="DJ125" s="128">
        <f t="shared" si="355"/>
        <v>129094.63</v>
      </c>
      <c r="DK125" s="128">
        <f t="shared" si="294"/>
        <v>0</v>
      </c>
      <c r="DL125" s="130">
        <f t="shared" si="295"/>
        <v>4.2500000000000003E-2</v>
      </c>
      <c r="DM125" s="128">
        <f t="shared" si="296"/>
        <v>23.344808772898485</v>
      </c>
      <c r="DN125" s="128">
        <f t="shared" si="297"/>
        <v>129117.97480877291</v>
      </c>
      <c r="DP125" s="127">
        <f t="shared" si="352"/>
        <v>1000</v>
      </c>
      <c r="DQ125" s="128">
        <f t="shared" si="353"/>
        <v>100000</v>
      </c>
      <c r="DR125" s="128">
        <f t="shared" si="346"/>
        <v>100000</v>
      </c>
      <c r="DS125" s="128">
        <f t="shared" si="347"/>
        <v>137035.38310756214</v>
      </c>
      <c r="DT125" s="130">
        <f t="shared" si="298"/>
        <v>5.3000000000000005E-2</v>
      </c>
      <c r="DU125" s="128">
        <f t="shared" si="299"/>
        <v>143087.77919481281</v>
      </c>
      <c r="DV125" s="128" t="str">
        <f t="shared" si="300"/>
        <v>nie</v>
      </c>
      <c r="DW125" s="128">
        <f t="shared" si="301"/>
        <v>3000</v>
      </c>
      <c r="DX125" s="128">
        <f t="shared" si="302"/>
        <v>132471.10114779838</v>
      </c>
      <c r="DY125" s="128">
        <f t="shared" si="303"/>
        <v>0</v>
      </c>
      <c r="DZ125" s="130">
        <f t="shared" si="304"/>
        <v>4.2500000000000003E-2</v>
      </c>
      <c r="EA125" s="128">
        <f t="shared" si="305"/>
        <v>0</v>
      </c>
      <c r="EB125" s="128">
        <f t="shared" si="306"/>
        <v>132471.10114779838</v>
      </c>
    </row>
    <row r="126" spans="1:132">
      <c r="A126" s="224"/>
      <c r="B126" s="188">
        <f t="shared" si="307"/>
        <v>82</v>
      </c>
      <c r="C126" s="128">
        <f t="shared" si="308"/>
        <v>129285.3303733069</v>
      </c>
      <c r="D126" s="128">
        <f t="shared" si="309"/>
        <v>128356.68304981182</v>
      </c>
      <c r="E126" s="128">
        <f t="shared" si="310"/>
        <v>128235.23611983814</v>
      </c>
      <c r="F126" s="128">
        <f t="shared" si="311"/>
        <v>126007.32113278846</v>
      </c>
      <c r="G126" s="128">
        <f t="shared" si="312"/>
        <v>129027.56861184258</v>
      </c>
      <c r="H126" s="128">
        <f t="shared" si="313"/>
        <v>129117.97480877291</v>
      </c>
      <c r="I126" s="128">
        <f t="shared" si="314"/>
        <v>132471.10114779838</v>
      </c>
      <c r="J126" s="128">
        <f t="shared" si="315"/>
        <v>126478.32013237914</v>
      </c>
      <c r="K126" s="128">
        <f t="shared" si="316"/>
        <v>120774.65587343941</v>
      </c>
      <c r="M126" s="36"/>
      <c r="N126" s="32">
        <f t="shared" si="317"/>
        <v>82</v>
      </c>
      <c r="O126" s="25">
        <f t="shared" si="318"/>
        <v>0.29285330373306895</v>
      </c>
      <c r="P126" s="25">
        <f t="shared" si="319"/>
        <v>0.28356683049811826</v>
      </c>
      <c r="Q126" s="25">
        <f t="shared" si="320"/>
        <v>0.28235236119838136</v>
      </c>
      <c r="R126" s="25">
        <f t="shared" si="245"/>
        <v>0.26007321132788475</v>
      </c>
      <c r="S126" s="25">
        <f t="shared" si="246"/>
        <v>0.29027568611842569</v>
      </c>
      <c r="T126" s="25">
        <f t="shared" si="247"/>
        <v>0.29117974808772917</v>
      </c>
      <c r="U126" s="25">
        <f t="shared" si="248"/>
        <v>0.32471101147798387</v>
      </c>
      <c r="V126" s="25">
        <f t="shared" si="249"/>
        <v>0.26478320132379141</v>
      </c>
      <c r="W126" s="25">
        <f t="shared" si="250"/>
        <v>0.20774655873439407</v>
      </c>
      <c r="X126" s="36"/>
      <c r="Y126" s="36"/>
      <c r="AA126" s="124">
        <f t="shared" si="321"/>
        <v>83</v>
      </c>
      <c r="AB126" s="128">
        <f t="shared" si="251"/>
        <v>121050.03782494235</v>
      </c>
      <c r="AC126" s="124">
        <f t="shared" si="322"/>
        <v>83</v>
      </c>
      <c r="AD126" s="130">
        <f t="shared" si="323"/>
        <v>4.2500000000000003E-2</v>
      </c>
      <c r="AE126" s="127">
        <f t="shared" si="324"/>
        <v>1261</v>
      </c>
      <c r="AF126" s="128">
        <f t="shared" si="325"/>
        <v>125978.3</v>
      </c>
      <c r="AG126" s="128">
        <f t="shared" si="348"/>
        <v>126100</v>
      </c>
      <c r="AH126" s="128">
        <f t="shared" si="357"/>
        <v>126100</v>
      </c>
      <c r="AI126" s="130">
        <f t="shared" si="252"/>
        <v>4.2500000000000003E-2</v>
      </c>
      <c r="AJ126" s="128">
        <f t="shared" si="253"/>
        <v>126546.60416666669</v>
      </c>
      <c r="AK126" s="128" t="str">
        <f t="shared" si="254"/>
        <v>nie</v>
      </c>
      <c r="AL126" s="128">
        <f t="shared" si="255"/>
        <v>630.5</v>
      </c>
      <c r="AM126" s="128">
        <f t="shared" si="361"/>
        <v>125951.04437500001</v>
      </c>
      <c r="AN126" s="128">
        <f t="shared" si="256"/>
        <v>361.74937500001573</v>
      </c>
      <c r="AO126" s="130">
        <f t="shared" si="257"/>
        <v>4.2500000000000003E-2</v>
      </c>
      <c r="AP126" s="128">
        <f t="shared" si="258"/>
        <v>4068.3877497841031</v>
      </c>
      <c r="AQ126" s="128">
        <f t="shared" si="362"/>
        <v>129657.6827497841</v>
      </c>
      <c r="AS126" s="124">
        <f t="shared" si="327"/>
        <v>83</v>
      </c>
      <c r="AT126" s="130">
        <f t="shared" si="328"/>
        <v>4.2500000000000003E-2</v>
      </c>
      <c r="AU126" s="127">
        <f t="shared" si="329"/>
        <v>1252</v>
      </c>
      <c r="AV126" s="128">
        <f t="shared" si="330"/>
        <v>125083.40000000001</v>
      </c>
      <c r="AW126" s="128">
        <f t="shared" si="363"/>
        <v>125200</v>
      </c>
      <c r="AX126" s="128">
        <f t="shared" si="358"/>
        <v>125200</v>
      </c>
      <c r="AY126" s="130">
        <f t="shared" si="259"/>
        <v>4.4000000000000004E-2</v>
      </c>
      <c r="AZ126" s="128">
        <f t="shared" si="260"/>
        <v>125659.06666666667</v>
      </c>
      <c r="BA126" s="128" t="str">
        <f t="shared" si="261"/>
        <v>nie</v>
      </c>
      <c r="BB126" s="128">
        <f t="shared" si="262"/>
        <v>876.4</v>
      </c>
      <c r="BC126" s="128">
        <f t="shared" si="158"/>
        <v>124861.96</v>
      </c>
      <c r="BD126" s="128">
        <f t="shared" si="263"/>
        <v>371.84399999999926</v>
      </c>
      <c r="BE126" s="130">
        <f t="shared" si="264"/>
        <v>4.2500000000000003E-2</v>
      </c>
      <c r="BF126" s="128">
        <f t="shared" si="265"/>
        <v>4249.5032640359668</v>
      </c>
      <c r="BG126" s="128">
        <f t="shared" si="159"/>
        <v>128739.61926403598</v>
      </c>
      <c r="BI126" s="124">
        <f t="shared" si="332"/>
        <v>83</v>
      </c>
      <c r="BJ126" s="130">
        <f t="shared" si="354"/>
        <v>4.1300000000000003E-2</v>
      </c>
      <c r="BK126" s="127">
        <f t="shared" si="333"/>
        <v>1252</v>
      </c>
      <c r="BL126" s="128">
        <f t="shared" si="334"/>
        <v>125074.8</v>
      </c>
      <c r="BM126" s="128">
        <f t="shared" si="349"/>
        <v>125200</v>
      </c>
      <c r="BN126" s="128">
        <f t="shared" si="335"/>
        <v>125200</v>
      </c>
      <c r="BO126" s="130">
        <f t="shared" si="266"/>
        <v>4.65E-2</v>
      </c>
      <c r="BP126" s="128">
        <f t="shared" si="267"/>
        <v>130536.65</v>
      </c>
      <c r="BQ126" s="128" t="str">
        <f t="shared" si="268"/>
        <v>nie</v>
      </c>
      <c r="BR126" s="128">
        <f t="shared" si="269"/>
        <v>1252</v>
      </c>
      <c r="BS126" s="128">
        <f t="shared" si="364"/>
        <v>128508.5665</v>
      </c>
      <c r="BT126" s="128">
        <f t="shared" si="356"/>
        <v>0</v>
      </c>
      <c r="BU126" s="130">
        <f t="shared" si="270"/>
        <v>4.2500000000000003E-2</v>
      </c>
      <c r="BV126" s="128">
        <f t="shared" si="271"/>
        <v>119.98434030065755</v>
      </c>
      <c r="BW126" s="128">
        <f t="shared" si="365"/>
        <v>128628.55084030065</v>
      </c>
      <c r="BY126" s="130">
        <f t="shared" si="360"/>
        <v>2.8000000000000001E-2</v>
      </c>
      <c r="BZ126" s="127">
        <f t="shared" si="337"/>
        <v>1154</v>
      </c>
      <c r="CA126" s="128">
        <f t="shared" si="338"/>
        <v>115296.5</v>
      </c>
      <c r="CB126" s="128">
        <f t="shared" si="366"/>
        <v>115400</v>
      </c>
      <c r="CC126" s="128">
        <f t="shared" si="359"/>
        <v>115400</v>
      </c>
      <c r="CD126" s="130">
        <f t="shared" si="272"/>
        <v>4.2999999999999997E-2</v>
      </c>
      <c r="CE126" s="128">
        <f t="shared" si="273"/>
        <v>119948.68333333333</v>
      </c>
      <c r="CF126" s="128" t="str">
        <f t="shared" si="274"/>
        <v>nie</v>
      </c>
      <c r="CG126" s="128">
        <f t="shared" si="275"/>
        <v>2308</v>
      </c>
      <c r="CH126" s="128">
        <f t="shared" si="160"/>
        <v>117214.9535</v>
      </c>
      <c r="CI126" s="128">
        <f t="shared" si="276"/>
        <v>0</v>
      </c>
      <c r="CJ126" s="130">
        <f t="shared" si="277"/>
        <v>4.2500000000000003E-2</v>
      </c>
      <c r="CK126" s="128">
        <f t="shared" si="278"/>
        <v>9153.5001209443963</v>
      </c>
      <c r="CL126" s="128">
        <f t="shared" si="279"/>
        <v>126368.4536209444</v>
      </c>
      <c r="CN126" s="127">
        <f t="shared" si="340"/>
        <v>1000</v>
      </c>
      <c r="CO126" s="128">
        <f t="shared" si="341"/>
        <v>100000</v>
      </c>
      <c r="CP126" s="128">
        <f t="shared" si="342"/>
        <v>100000</v>
      </c>
      <c r="CQ126" s="128">
        <f t="shared" si="343"/>
        <v>133496.63890294704</v>
      </c>
      <c r="CR126" s="130">
        <f t="shared" si="280"/>
        <v>4.8000000000000001E-2</v>
      </c>
      <c r="CS126" s="128">
        <f t="shared" si="281"/>
        <v>139370.49101467672</v>
      </c>
      <c r="CT126" s="128" t="str">
        <f t="shared" si="282"/>
        <v>nie</v>
      </c>
      <c r="CU126" s="128">
        <f t="shared" si="283"/>
        <v>3000</v>
      </c>
      <c r="CV126" s="128">
        <f t="shared" si="284"/>
        <v>129460.09772188815</v>
      </c>
      <c r="CW126" s="128">
        <f t="shared" si="285"/>
        <v>0</v>
      </c>
      <c r="CX126" s="130">
        <f t="shared" si="286"/>
        <v>4.2500000000000003E-2</v>
      </c>
      <c r="CY126" s="128">
        <f t="shared" si="287"/>
        <v>0</v>
      </c>
      <c r="CZ126" s="128">
        <f t="shared" si="288"/>
        <v>129460.09772188815</v>
      </c>
      <c r="DA126" s="20"/>
      <c r="DB126" s="127">
        <f t="shared" si="350"/>
        <v>1267</v>
      </c>
      <c r="DC126" s="128">
        <f t="shared" si="351"/>
        <v>126700</v>
      </c>
      <c r="DD126" s="128">
        <f t="shared" si="344"/>
        <v>126700</v>
      </c>
      <c r="DE126" s="128">
        <f t="shared" si="345"/>
        <v>126700</v>
      </c>
      <c r="DF126" s="130">
        <f t="shared" si="289"/>
        <v>5.1999999999999998E-2</v>
      </c>
      <c r="DG126" s="128">
        <f t="shared" si="290"/>
        <v>132739.36666666667</v>
      </c>
      <c r="DH126" s="128" t="str">
        <f t="shared" si="291"/>
        <v>nie</v>
      </c>
      <c r="DI126" s="128">
        <f t="shared" si="292"/>
        <v>2534</v>
      </c>
      <c r="DJ126" s="128">
        <f t="shared" si="355"/>
        <v>129539.34700000001</v>
      </c>
      <c r="DK126" s="128">
        <f t="shared" si="294"/>
        <v>0</v>
      </c>
      <c r="DL126" s="130">
        <f t="shared" si="295"/>
        <v>4.2500000000000003E-2</v>
      </c>
      <c r="DM126" s="128">
        <f t="shared" si="296"/>
        <v>23.411779193065737</v>
      </c>
      <c r="DN126" s="128">
        <f t="shared" si="297"/>
        <v>129562.75877919307</v>
      </c>
      <c r="DP126" s="127">
        <f t="shared" si="352"/>
        <v>1000</v>
      </c>
      <c r="DQ126" s="128">
        <f t="shared" si="353"/>
        <v>100000</v>
      </c>
      <c r="DR126" s="128">
        <f t="shared" si="346"/>
        <v>100000</v>
      </c>
      <c r="DS126" s="128">
        <f t="shared" si="347"/>
        <v>137035.38310756214</v>
      </c>
      <c r="DT126" s="130">
        <f t="shared" si="298"/>
        <v>5.3000000000000005E-2</v>
      </c>
      <c r="DU126" s="128">
        <f t="shared" si="299"/>
        <v>143693.01880353788</v>
      </c>
      <c r="DV126" s="128" t="str">
        <f t="shared" si="300"/>
        <v>nie</v>
      </c>
      <c r="DW126" s="128">
        <f t="shared" si="301"/>
        <v>3000</v>
      </c>
      <c r="DX126" s="128">
        <f t="shared" si="302"/>
        <v>132961.34523086567</v>
      </c>
      <c r="DY126" s="128">
        <f t="shared" si="303"/>
        <v>0</v>
      </c>
      <c r="DZ126" s="130">
        <f t="shared" si="304"/>
        <v>4.2500000000000003E-2</v>
      </c>
      <c r="EA126" s="128">
        <f t="shared" si="305"/>
        <v>0</v>
      </c>
      <c r="EB126" s="128">
        <f t="shared" si="306"/>
        <v>132961.34523086567</v>
      </c>
    </row>
    <row r="127" spans="1:132" ht="14.25" customHeight="1">
      <c r="A127" s="224"/>
      <c r="B127" s="188">
        <f t="shared" si="307"/>
        <v>83</v>
      </c>
      <c r="C127" s="128">
        <f t="shared" si="308"/>
        <v>129657.6827497841</v>
      </c>
      <c r="D127" s="128">
        <f t="shared" si="309"/>
        <v>128739.61926403598</v>
      </c>
      <c r="E127" s="128">
        <f t="shared" si="310"/>
        <v>128628.55084030065</v>
      </c>
      <c r="F127" s="128">
        <f t="shared" si="311"/>
        <v>126368.4536209444</v>
      </c>
      <c r="G127" s="128">
        <f t="shared" si="312"/>
        <v>129460.09772188815</v>
      </c>
      <c r="H127" s="128">
        <f t="shared" si="313"/>
        <v>129562.75877919307</v>
      </c>
      <c r="I127" s="128">
        <f t="shared" si="314"/>
        <v>132961.34523086567</v>
      </c>
      <c r="J127" s="128">
        <f t="shared" si="315"/>
        <v>126841.15481325891</v>
      </c>
      <c r="K127" s="128">
        <f t="shared" si="316"/>
        <v>121050.03782494235</v>
      </c>
      <c r="M127" s="36"/>
      <c r="N127" s="32">
        <f t="shared" si="317"/>
        <v>83</v>
      </c>
      <c r="O127" s="25">
        <f t="shared" si="318"/>
        <v>0.29657682749784109</v>
      </c>
      <c r="P127" s="25">
        <f t="shared" si="319"/>
        <v>0.28739619264035987</v>
      </c>
      <c r="Q127" s="25">
        <f t="shared" si="320"/>
        <v>0.28628550840300648</v>
      </c>
      <c r="R127" s="25">
        <f t="shared" si="245"/>
        <v>0.26368453620944399</v>
      </c>
      <c r="S127" s="25">
        <f t="shared" si="246"/>
        <v>0.29460097721888134</v>
      </c>
      <c r="T127" s="25">
        <f t="shared" si="247"/>
        <v>0.29562758779193077</v>
      </c>
      <c r="U127" s="25">
        <f t="shared" si="248"/>
        <v>0.32961345230865668</v>
      </c>
      <c r="V127" s="25">
        <f t="shared" si="249"/>
        <v>0.26841154813258905</v>
      </c>
      <c r="W127" s="25">
        <f t="shared" si="250"/>
        <v>0.21050037824942347</v>
      </c>
      <c r="X127" s="36"/>
      <c r="Y127" s="36"/>
      <c r="AA127" s="124">
        <f t="shared" si="321"/>
        <v>84</v>
      </c>
      <c r="AB127" s="128">
        <f t="shared" si="251"/>
        <v>121325.41977644531</v>
      </c>
      <c r="AC127" s="124">
        <f t="shared" si="322"/>
        <v>84</v>
      </c>
      <c r="AD127" s="130">
        <f t="shared" si="323"/>
        <v>4.2500000000000003E-2</v>
      </c>
      <c r="AE127" s="127">
        <f t="shared" si="324"/>
        <v>1261</v>
      </c>
      <c r="AF127" s="128">
        <f t="shared" si="325"/>
        <v>125978.3</v>
      </c>
      <c r="AG127" s="128">
        <f t="shared" si="348"/>
        <v>126100</v>
      </c>
      <c r="AH127" s="128">
        <f t="shared" si="357"/>
        <v>126100</v>
      </c>
      <c r="AI127" s="130">
        <f t="shared" si="252"/>
        <v>4.2500000000000003E-2</v>
      </c>
      <c r="AJ127" s="128">
        <f t="shared" si="253"/>
        <v>126546.60416666669</v>
      </c>
      <c r="AK127" s="128" t="str">
        <f t="shared" si="254"/>
        <v>tak</v>
      </c>
      <c r="AL127" s="128">
        <f t="shared" si="255"/>
        <v>0</v>
      </c>
      <c r="AM127" s="128">
        <f t="shared" si="361"/>
        <v>126461.74937500001</v>
      </c>
      <c r="AN127" s="128">
        <f t="shared" si="256"/>
        <v>488.34937500000854</v>
      </c>
      <c r="AO127" s="130">
        <f t="shared" si="257"/>
        <v>4.2500000000000003E-2</v>
      </c>
      <c r="AP127" s="128">
        <f t="shared" si="258"/>
        <v>4568.408312141305</v>
      </c>
      <c r="AQ127" s="128">
        <f t="shared" si="362"/>
        <v>130541.80831214131</v>
      </c>
      <c r="AS127" s="124">
        <f t="shared" si="327"/>
        <v>84</v>
      </c>
      <c r="AT127" s="130">
        <f t="shared" si="328"/>
        <v>4.2500000000000003E-2</v>
      </c>
      <c r="AU127" s="127">
        <f t="shared" si="329"/>
        <v>1252</v>
      </c>
      <c r="AV127" s="128">
        <f t="shared" si="330"/>
        <v>125083.40000000001</v>
      </c>
      <c r="AW127" s="128">
        <f t="shared" si="363"/>
        <v>125200</v>
      </c>
      <c r="AX127" s="128">
        <f t="shared" si="358"/>
        <v>125200</v>
      </c>
      <c r="AY127" s="130">
        <f t="shared" si="259"/>
        <v>4.4000000000000004E-2</v>
      </c>
      <c r="AZ127" s="128">
        <f t="shared" si="260"/>
        <v>125659.06666666667</v>
      </c>
      <c r="BA127" s="128" t="str">
        <f t="shared" si="261"/>
        <v>nie</v>
      </c>
      <c r="BB127" s="128">
        <f t="shared" si="262"/>
        <v>876.4</v>
      </c>
      <c r="BC127" s="128">
        <f t="shared" si="158"/>
        <v>124861.96</v>
      </c>
      <c r="BD127" s="128">
        <f t="shared" si="263"/>
        <v>371.84399999999926</v>
      </c>
      <c r="BE127" s="130">
        <f t="shared" si="264"/>
        <v>4.2500000000000003E-2</v>
      </c>
      <c r="BF127" s="128">
        <f t="shared" si="265"/>
        <v>4633.5380265246695</v>
      </c>
      <c r="BG127" s="128">
        <f t="shared" si="159"/>
        <v>129123.65402652467</v>
      </c>
      <c r="BI127" s="124">
        <f t="shared" si="332"/>
        <v>84</v>
      </c>
      <c r="BJ127" s="130">
        <f t="shared" si="354"/>
        <v>4.1300000000000003E-2</v>
      </c>
      <c r="BK127" s="127">
        <f t="shared" si="333"/>
        <v>1252</v>
      </c>
      <c r="BL127" s="128">
        <f t="shared" si="334"/>
        <v>125074.8</v>
      </c>
      <c r="BM127" s="128">
        <f t="shared" si="349"/>
        <v>125200</v>
      </c>
      <c r="BN127" s="128">
        <f t="shared" si="335"/>
        <v>125200</v>
      </c>
      <c r="BO127" s="130">
        <f t="shared" si="266"/>
        <v>4.65E-2</v>
      </c>
      <c r="BP127" s="128">
        <f t="shared" si="267"/>
        <v>131021.8</v>
      </c>
      <c r="BQ127" s="128" t="str">
        <f t="shared" si="268"/>
        <v>nie</v>
      </c>
      <c r="BR127" s="128">
        <f t="shared" si="269"/>
        <v>1252</v>
      </c>
      <c r="BS127" s="128">
        <f t="shared" si="364"/>
        <v>128901.538</v>
      </c>
      <c r="BT127" s="128">
        <f t="shared" si="356"/>
        <v>0</v>
      </c>
      <c r="BU127" s="130">
        <f t="shared" si="270"/>
        <v>4.2500000000000003E-2</v>
      </c>
      <c r="BV127" s="128">
        <f t="shared" si="271"/>
        <v>120.32854537689506</v>
      </c>
      <c r="BW127" s="128">
        <f t="shared" si="365"/>
        <v>129021.86654537689</v>
      </c>
      <c r="BY127" s="130">
        <f t="shared" si="360"/>
        <v>2.8000000000000001E-2</v>
      </c>
      <c r="BZ127" s="127">
        <f t="shared" si="337"/>
        <v>1154</v>
      </c>
      <c r="CA127" s="128">
        <f t="shared" si="338"/>
        <v>115296.5</v>
      </c>
      <c r="CB127" s="128">
        <f t="shared" si="366"/>
        <v>115400</v>
      </c>
      <c r="CC127" s="128">
        <f t="shared" si="359"/>
        <v>115400</v>
      </c>
      <c r="CD127" s="130">
        <f t="shared" si="272"/>
        <v>4.2999999999999997E-2</v>
      </c>
      <c r="CE127" s="128">
        <f t="shared" si="273"/>
        <v>120362.2</v>
      </c>
      <c r="CF127" s="128" t="str">
        <f t="shared" si="274"/>
        <v>nie</v>
      </c>
      <c r="CG127" s="128">
        <f t="shared" si="275"/>
        <v>2308</v>
      </c>
      <c r="CH127" s="128">
        <f t="shared" si="160"/>
        <v>117549.902</v>
      </c>
      <c r="CI127" s="128">
        <f t="shared" si="276"/>
        <v>4019.3819999999978</v>
      </c>
      <c r="CJ127" s="130">
        <f t="shared" si="277"/>
        <v>4.2500000000000003E-2</v>
      </c>
      <c r="CK127" s="128">
        <f t="shared" si="278"/>
        <v>13199.141224416353</v>
      </c>
      <c r="CL127" s="128">
        <f t="shared" si="279"/>
        <v>126729.66122441636</v>
      </c>
      <c r="CN127" s="127">
        <f t="shared" si="340"/>
        <v>1000</v>
      </c>
      <c r="CO127" s="128">
        <f t="shared" si="341"/>
        <v>100000</v>
      </c>
      <c r="CP127" s="128">
        <f t="shared" si="342"/>
        <v>100000</v>
      </c>
      <c r="CQ127" s="128">
        <f t="shared" si="343"/>
        <v>133496.63890294704</v>
      </c>
      <c r="CR127" s="130">
        <f t="shared" si="280"/>
        <v>4.8000000000000001E-2</v>
      </c>
      <c r="CS127" s="128">
        <f t="shared" si="281"/>
        <v>139904.47757028849</v>
      </c>
      <c r="CT127" s="128" t="str">
        <f t="shared" si="282"/>
        <v>nie</v>
      </c>
      <c r="CU127" s="128">
        <f t="shared" si="283"/>
        <v>3000</v>
      </c>
      <c r="CV127" s="128">
        <f t="shared" si="284"/>
        <v>129892.62683193368</v>
      </c>
      <c r="CW127" s="128">
        <f t="shared" si="285"/>
        <v>0</v>
      </c>
      <c r="CX127" s="130">
        <f t="shared" si="286"/>
        <v>4.2500000000000003E-2</v>
      </c>
      <c r="CY127" s="128">
        <f t="shared" si="287"/>
        <v>0</v>
      </c>
      <c r="CZ127" s="128">
        <f t="shared" si="288"/>
        <v>129892.62683193368</v>
      </c>
      <c r="DA127" s="20"/>
      <c r="DB127" s="127">
        <f t="shared" si="350"/>
        <v>1267</v>
      </c>
      <c r="DC127" s="128">
        <f t="shared" si="351"/>
        <v>126700</v>
      </c>
      <c r="DD127" s="128">
        <f t="shared" si="344"/>
        <v>126700</v>
      </c>
      <c r="DE127" s="128">
        <f t="shared" si="345"/>
        <v>126700</v>
      </c>
      <c r="DF127" s="130">
        <f t="shared" si="289"/>
        <v>5.1999999999999998E-2</v>
      </c>
      <c r="DG127" s="128">
        <f t="shared" si="290"/>
        <v>133288.4</v>
      </c>
      <c r="DH127" s="128" t="str">
        <f t="shared" si="291"/>
        <v>nie</v>
      </c>
      <c r="DI127" s="128">
        <f t="shared" si="292"/>
        <v>2534</v>
      </c>
      <c r="DJ127" s="128">
        <f t="shared" si="355"/>
        <v>129984.064</v>
      </c>
      <c r="DK127" s="128">
        <f t="shared" si="294"/>
        <v>0</v>
      </c>
      <c r="DL127" s="130">
        <f t="shared" si="295"/>
        <v>4.2500000000000003E-2</v>
      </c>
      <c r="DM127" s="128">
        <f t="shared" si="296"/>
        <v>23.478941734625845</v>
      </c>
      <c r="DN127" s="128">
        <f t="shared" si="297"/>
        <v>130007.54294173463</v>
      </c>
      <c r="DP127" s="127">
        <f t="shared" si="352"/>
        <v>1000</v>
      </c>
      <c r="DQ127" s="128">
        <f t="shared" si="353"/>
        <v>100000</v>
      </c>
      <c r="DR127" s="128">
        <f t="shared" si="346"/>
        <v>100000</v>
      </c>
      <c r="DS127" s="128">
        <f t="shared" si="347"/>
        <v>137035.38310756214</v>
      </c>
      <c r="DT127" s="130">
        <f t="shared" si="298"/>
        <v>5.3000000000000005E-2</v>
      </c>
      <c r="DU127" s="128">
        <f t="shared" si="299"/>
        <v>144298.25841226292</v>
      </c>
      <c r="DV127" s="128" t="str">
        <f t="shared" si="300"/>
        <v>nie</v>
      </c>
      <c r="DW127" s="128">
        <f t="shared" si="301"/>
        <v>3000</v>
      </c>
      <c r="DX127" s="128">
        <f t="shared" si="302"/>
        <v>133451.58931393296</v>
      </c>
      <c r="DY127" s="128">
        <f t="shared" si="303"/>
        <v>0</v>
      </c>
      <c r="DZ127" s="130">
        <f t="shared" si="304"/>
        <v>4.2500000000000003E-2</v>
      </c>
      <c r="EA127" s="128">
        <f t="shared" si="305"/>
        <v>0</v>
      </c>
      <c r="EB127" s="128">
        <f t="shared" si="306"/>
        <v>133451.58931393296</v>
      </c>
    </row>
    <row r="128" spans="1:132">
      <c r="A128" s="224"/>
      <c r="B128" s="188">
        <f t="shared" si="307"/>
        <v>84</v>
      </c>
      <c r="C128" s="128">
        <f t="shared" si="308"/>
        <v>130541.80831214131</v>
      </c>
      <c r="D128" s="128">
        <f t="shared" si="309"/>
        <v>129123.65402652467</v>
      </c>
      <c r="E128" s="128">
        <f t="shared" si="310"/>
        <v>129021.86654537689</v>
      </c>
      <c r="F128" s="128">
        <f t="shared" si="311"/>
        <v>126729.66122441636</v>
      </c>
      <c r="G128" s="128">
        <f t="shared" si="312"/>
        <v>129892.62683193368</v>
      </c>
      <c r="H128" s="128">
        <f t="shared" si="313"/>
        <v>130007.54294173463</v>
      </c>
      <c r="I128" s="128">
        <f t="shared" si="314"/>
        <v>133451.58931393296</v>
      </c>
      <c r="J128" s="128">
        <f t="shared" si="315"/>
        <v>127205.03037612945</v>
      </c>
      <c r="K128" s="128">
        <f t="shared" si="316"/>
        <v>121325.41977644531</v>
      </c>
      <c r="M128" s="36"/>
      <c r="N128" s="32">
        <f t="shared" si="317"/>
        <v>84</v>
      </c>
      <c r="O128" s="25">
        <f t="shared" si="318"/>
        <v>0.30541808312141305</v>
      </c>
      <c r="P128" s="25">
        <f t="shared" si="319"/>
        <v>0.29123654026524681</v>
      </c>
      <c r="Q128" s="25">
        <f t="shared" si="320"/>
        <v>0.29021866545376884</v>
      </c>
      <c r="R128" s="25">
        <f t="shared" si="245"/>
        <v>0.26729661224416357</v>
      </c>
      <c r="S128" s="25">
        <f t="shared" si="246"/>
        <v>0.29892626831933677</v>
      </c>
      <c r="T128" s="25">
        <f t="shared" si="247"/>
        <v>0.30007542941734622</v>
      </c>
      <c r="U128" s="25">
        <f t="shared" si="248"/>
        <v>0.3345158931393295</v>
      </c>
      <c r="V128" s="25">
        <f t="shared" si="249"/>
        <v>0.27205030376129447</v>
      </c>
      <c r="W128" s="25">
        <f t="shared" si="250"/>
        <v>0.21325419776445309</v>
      </c>
      <c r="X128" s="36"/>
      <c r="Y128" s="36"/>
      <c r="AA128" s="124">
        <f t="shared" si="321"/>
        <v>85</v>
      </c>
      <c r="AB128" s="128">
        <f t="shared" si="251"/>
        <v>121608.51242259034</v>
      </c>
      <c r="AC128" s="124">
        <f t="shared" si="322"/>
        <v>85</v>
      </c>
      <c r="AD128" s="130">
        <f t="shared" si="323"/>
        <v>4.2500000000000003E-2</v>
      </c>
      <c r="AE128" s="127">
        <f t="shared" si="324"/>
        <v>1310</v>
      </c>
      <c r="AF128" s="128">
        <f t="shared" si="325"/>
        <v>130873.5</v>
      </c>
      <c r="AG128" s="128">
        <f t="shared" si="348"/>
        <v>131000</v>
      </c>
      <c r="AH128" s="128">
        <f t="shared" si="357"/>
        <v>131000</v>
      </c>
      <c r="AI128" s="130">
        <f t="shared" si="252"/>
        <v>4.2500000000000003E-2</v>
      </c>
      <c r="AJ128" s="128">
        <f t="shared" si="253"/>
        <v>131463.95833333334</v>
      </c>
      <c r="AK128" s="128" t="str">
        <f t="shared" si="254"/>
        <v>nie</v>
      </c>
      <c r="AL128" s="128">
        <f t="shared" si="255"/>
        <v>463.95833333334303</v>
      </c>
      <c r="AM128" s="128">
        <f t="shared" si="361"/>
        <v>131000</v>
      </c>
      <c r="AN128" s="128">
        <f t="shared" si="256"/>
        <v>375.80625000000788</v>
      </c>
      <c r="AO128" s="130">
        <f t="shared" si="257"/>
        <v>4.2500000000000003E-2</v>
      </c>
      <c r="AP128" s="128">
        <f t="shared" si="258"/>
        <v>444.41080848676825</v>
      </c>
      <c r="AQ128" s="128">
        <f t="shared" si="362"/>
        <v>135581.51393348677</v>
      </c>
      <c r="AS128" s="124">
        <f t="shared" si="327"/>
        <v>85</v>
      </c>
      <c r="AT128" s="130">
        <f t="shared" si="328"/>
        <v>4.2500000000000003E-2</v>
      </c>
      <c r="AU128" s="127">
        <f t="shared" si="329"/>
        <v>1252</v>
      </c>
      <c r="AV128" s="128">
        <f t="shared" si="330"/>
        <v>125083.40000000001</v>
      </c>
      <c r="AW128" s="128">
        <f t="shared" si="363"/>
        <v>125200</v>
      </c>
      <c r="AX128" s="128">
        <f t="shared" si="358"/>
        <v>125200</v>
      </c>
      <c r="AY128" s="130">
        <f t="shared" si="259"/>
        <v>4.4000000000000004E-2</v>
      </c>
      <c r="AZ128" s="128">
        <f t="shared" si="260"/>
        <v>125659.06666666667</v>
      </c>
      <c r="BA128" s="128" t="str">
        <f t="shared" si="261"/>
        <v>nie</v>
      </c>
      <c r="BB128" s="128">
        <f t="shared" si="262"/>
        <v>876.4</v>
      </c>
      <c r="BC128" s="128">
        <f t="shared" si="158"/>
        <v>124861.96</v>
      </c>
      <c r="BD128" s="128">
        <f t="shared" si="263"/>
        <v>371.84399999999926</v>
      </c>
      <c r="BE128" s="130">
        <f t="shared" si="264"/>
        <v>4.2500000000000003E-2</v>
      </c>
      <c r="BF128" s="128">
        <f t="shared" si="265"/>
        <v>5018.6744887382611</v>
      </c>
      <c r="BG128" s="128">
        <f t="shared" si="159"/>
        <v>129508.79048873828</v>
      </c>
      <c r="BI128" s="124">
        <f t="shared" si="332"/>
        <v>85</v>
      </c>
      <c r="BJ128" s="130">
        <f t="shared" si="354"/>
        <v>4.1300000000000003E-2</v>
      </c>
      <c r="BK128" s="127">
        <f t="shared" si="333"/>
        <v>1252</v>
      </c>
      <c r="BL128" s="128">
        <f t="shared" si="334"/>
        <v>125074.8</v>
      </c>
      <c r="BM128" s="128">
        <f t="shared" si="349"/>
        <v>125200</v>
      </c>
      <c r="BN128" s="128">
        <f t="shared" si="335"/>
        <v>131021.8</v>
      </c>
      <c r="BO128" s="130">
        <f t="shared" si="266"/>
        <v>4.65E-2</v>
      </c>
      <c r="BP128" s="128">
        <f t="shared" si="267"/>
        <v>131529.509475</v>
      </c>
      <c r="BQ128" s="128" t="str">
        <f t="shared" si="268"/>
        <v>nie</v>
      </c>
      <c r="BR128" s="128">
        <f t="shared" si="269"/>
        <v>1252</v>
      </c>
      <c r="BS128" s="128">
        <f t="shared" si="364"/>
        <v>129312.78267474999</v>
      </c>
      <c r="BT128" s="128">
        <f t="shared" si="356"/>
        <v>0</v>
      </c>
      <c r="BU128" s="130">
        <f t="shared" si="270"/>
        <v>4.2500000000000003E-2</v>
      </c>
      <c r="BV128" s="128">
        <f t="shared" si="271"/>
        <v>120.67373789144503</v>
      </c>
      <c r="BW128" s="128">
        <f t="shared" si="365"/>
        <v>129433.45641264143</v>
      </c>
      <c r="BY128" s="130">
        <f t="shared" si="360"/>
        <v>2.8000000000000001E-2</v>
      </c>
      <c r="BZ128" s="127">
        <f t="shared" si="337"/>
        <v>1154</v>
      </c>
      <c r="CA128" s="128">
        <f t="shared" si="338"/>
        <v>115296.5</v>
      </c>
      <c r="CB128" s="128">
        <f t="shared" si="366"/>
        <v>115400</v>
      </c>
      <c r="CC128" s="128">
        <f t="shared" si="359"/>
        <v>115400</v>
      </c>
      <c r="CD128" s="130">
        <f t="shared" si="272"/>
        <v>4.2999999999999997E-2</v>
      </c>
      <c r="CE128" s="128">
        <f t="shared" si="273"/>
        <v>115813.51666666666</v>
      </c>
      <c r="CF128" s="128" t="str">
        <f t="shared" si="274"/>
        <v>nie</v>
      </c>
      <c r="CG128" s="128">
        <f t="shared" si="275"/>
        <v>2308</v>
      </c>
      <c r="CH128" s="128">
        <f t="shared" si="160"/>
        <v>113865.4685</v>
      </c>
      <c r="CI128" s="128">
        <f t="shared" si="276"/>
        <v>0</v>
      </c>
      <c r="CJ128" s="130">
        <f t="shared" si="277"/>
        <v>4.2500000000000003E-2</v>
      </c>
      <c r="CK128" s="128">
        <f t="shared" si="278"/>
        <v>13237.006260803897</v>
      </c>
      <c r="CL128" s="128">
        <f t="shared" si="279"/>
        <v>127102.4747608039</v>
      </c>
      <c r="CN128" s="127">
        <f t="shared" si="340"/>
        <v>1000</v>
      </c>
      <c r="CO128" s="128">
        <f t="shared" si="341"/>
        <v>100000</v>
      </c>
      <c r="CP128" s="128">
        <f t="shared" si="342"/>
        <v>100000</v>
      </c>
      <c r="CQ128" s="128">
        <f t="shared" si="343"/>
        <v>139904.47757028849</v>
      </c>
      <c r="CR128" s="130">
        <f t="shared" si="280"/>
        <v>4.8000000000000001E-2</v>
      </c>
      <c r="CS128" s="128">
        <f t="shared" si="281"/>
        <v>140464.09548056964</v>
      </c>
      <c r="CT128" s="128" t="str">
        <f t="shared" si="282"/>
        <v>nie</v>
      </c>
      <c r="CU128" s="128">
        <f t="shared" si="283"/>
        <v>3000</v>
      </c>
      <c r="CV128" s="128">
        <f t="shared" si="284"/>
        <v>130345.9173392614</v>
      </c>
      <c r="CW128" s="128">
        <f t="shared" si="285"/>
        <v>0</v>
      </c>
      <c r="CX128" s="130">
        <f t="shared" si="286"/>
        <v>4.2500000000000003E-2</v>
      </c>
      <c r="CY128" s="128">
        <f t="shared" si="287"/>
        <v>0</v>
      </c>
      <c r="CZ128" s="128">
        <f t="shared" si="288"/>
        <v>130345.9173392614</v>
      </c>
      <c r="DA128" s="20"/>
      <c r="DB128" s="127">
        <f t="shared" si="350"/>
        <v>1267</v>
      </c>
      <c r="DC128" s="128">
        <f t="shared" si="351"/>
        <v>126700</v>
      </c>
      <c r="DD128" s="128">
        <f t="shared" si="344"/>
        <v>126700</v>
      </c>
      <c r="DE128" s="128">
        <f t="shared" si="345"/>
        <v>133288.4</v>
      </c>
      <c r="DF128" s="130">
        <f t="shared" si="289"/>
        <v>4.8000000000000001E-2</v>
      </c>
      <c r="DG128" s="128">
        <f t="shared" si="290"/>
        <v>133821.55359999998</v>
      </c>
      <c r="DH128" s="128" t="str">
        <f t="shared" si="291"/>
        <v>nie</v>
      </c>
      <c r="DI128" s="128">
        <f t="shared" si="292"/>
        <v>2534</v>
      </c>
      <c r="DJ128" s="128">
        <f t="shared" si="355"/>
        <v>130415.91841599999</v>
      </c>
      <c r="DK128" s="128">
        <f t="shared" si="294"/>
        <v>0</v>
      </c>
      <c r="DL128" s="130">
        <f t="shared" si="295"/>
        <v>4.2500000000000003E-2</v>
      </c>
      <c r="DM128" s="128">
        <f t="shared" si="296"/>
        <v>23.546296948727054</v>
      </c>
      <c r="DN128" s="128">
        <f t="shared" si="297"/>
        <v>130439.46471294871</v>
      </c>
      <c r="DP128" s="127">
        <f t="shared" si="352"/>
        <v>1000</v>
      </c>
      <c r="DQ128" s="128">
        <f t="shared" si="353"/>
        <v>100000</v>
      </c>
      <c r="DR128" s="128">
        <f t="shared" si="346"/>
        <v>100000</v>
      </c>
      <c r="DS128" s="128">
        <f t="shared" si="347"/>
        <v>144298.25841226292</v>
      </c>
      <c r="DT128" s="130">
        <f t="shared" si="298"/>
        <v>5.3000000000000005E-2</v>
      </c>
      <c r="DU128" s="128">
        <f t="shared" si="299"/>
        <v>144935.57572025043</v>
      </c>
      <c r="DV128" s="128" t="str">
        <f t="shared" si="300"/>
        <v>nie</v>
      </c>
      <c r="DW128" s="128">
        <f t="shared" si="301"/>
        <v>3000</v>
      </c>
      <c r="DX128" s="128">
        <f t="shared" si="302"/>
        <v>133967.81633340285</v>
      </c>
      <c r="DY128" s="128">
        <f t="shared" si="303"/>
        <v>0</v>
      </c>
      <c r="DZ128" s="130">
        <f t="shared" si="304"/>
        <v>4.2500000000000003E-2</v>
      </c>
      <c r="EA128" s="128">
        <f t="shared" si="305"/>
        <v>0</v>
      </c>
      <c r="EB128" s="128">
        <f t="shared" si="306"/>
        <v>133967.81633340285</v>
      </c>
    </row>
    <row r="129" spans="1:132">
      <c r="A129" s="224">
        <f>ROUNDUP(B140/12,0)</f>
        <v>8</v>
      </c>
      <c r="B129" s="188">
        <f t="shared" si="307"/>
        <v>85</v>
      </c>
      <c r="C129" s="128">
        <f t="shared" si="308"/>
        <v>135581.51393348677</v>
      </c>
      <c r="D129" s="128">
        <f t="shared" si="309"/>
        <v>129508.79048873828</v>
      </c>
      <c r="E129" s="128">
        <f t="shared" si="310"/>
        <v>129433.45641264143</v>
      </c>
      <c r="F129" s="128">
        <f t="shared" si="311"/>
        <v>127102.4747608039</v>
      </c>
      <c r="G129" s="128">
        <f t="shared" si="312"/>
        <v>130345.9173392614</v>
      </c>
      <c r="H129" s="128">
        <f t="shared" si="313"/>
        <v>130439.46471294871</v>
      </c>
      <c r="I129" s="128">
        <f t="shared" si="314"/>
        <v>133967.81633340285</v>
      </c>
      <c r="J129" s="128">
        <f t="shared" si="315"/>
        <v>127569.94980702097</v>
      </c>
      <c r="K129" s="128">
        <f t="shared" si="316"/>
        <v>121608.51242259034</v>
      </c>
      <c r="M129" s="36"/>
      <c r="N129" s="32">
        <f t="shared" si="317"/>
        <v>85</v>
      </c>
      <c r="O129" s="25">
        <f t="shared" si="318"/>
        <v>0.35581513933486764</v>
      </c>
      <c r="P129" s="25">
        <f t="shared" si="319"/>
        <v>0.29508790488738268</v>
      </c>
      <c r="Q129" s="25">
        <f t="shared" si="320"/>
        <v>0.29433456412641434</v>
      </c>
      <c r="R129" s="25">
        <f t="shared" si="245"/>
        <v>0.27102474760803896</v>
      </c>
      <c r="S129" s="25">
        <f t="shared" si="246"/>
        <v>0.30345917339261397</v>
      </c>
      <c r="T129" s="25">
        <f t="shared" si="247"/>
        <v>0.30439464712948716</v>
      </c>
      <c r="U129" s="25">
        <f t="shared" si="248"/>
        <v>0.33967816333402845</v>
      </c>
      <c r="V129" s="25">
        <f t="shared" si="249"/>
        <v>0.27569949807020966</v>
      </c>
      <c r="W129" s="25">
        <f t="shared" si="250"/>
        <v>0.21608512422590342</v>
      </c>
      <c r="X129" s="36"/>
      <c r="Y129" s="36"/>
      <c r="AA129" s="124">
        <f t="shared" si="321"/>
        <v>86</v>
      </c>
      <c r="AB129" s="128">
        <f t="shared" si="251"/>
        <v>121891.60506873539</v>
      </c>
      <c r="AC129" s="124">
        <f t="shared" si="322"/>
        <v>86</v>
      </c>
      <c r="AD129" s="130">
        <f t="shared" si="323"/>
        <v>4.2500000000000003E-2</v>
      </c>
      <c r="AE129" s="127">
        <f t="shared" si="324"/>
        <v>1310</v>
      </c>
      <c r="AF129" s="128">
        <f t="shared" si="325"/>
        <v>130873.5</v>
      </c>
      <c r="AG129" s="128">
        <f t="shared" si="348"/>
        <v>131000</v>
      </c>
      <c r="AH129" s="128">
        <f t="shared" si="357"/>
        <v>131000</v>
      </c>
      <c r="AI129" s="130">
        <f t="shared" si="252"/>
        <v>4.2500000000000003E-2</v>
      </c>
      <c r="AJ129" s="128">
        <f t="shared" si="253"/>
        <v>131463.95833333334</v>
      </c>
      <c r="AK129" s="128" t="str">
        <f t="shared" si="254"/>
        <v>nie</v>
      </c>
      <c r="AL129" s="128">
        <f t="shared" si="255"/>
        <v>655</v>
      </c>
      <c r="AM129" s="128">
        <f t="shared" si="361"/>
        <v>130845.25625000001</v>
      </c>
      <c r="AN129" s="128">
        <f t="shared" si="256"/>
        <v>375.80625000000788</v>
      </c>
      <c r="AO129" s="130">
        <f t="shared" si="257"/>
        <v>4.2500000000000003E-2</v>
      </c>
      <c r="AP129" s="128">
        <f t="shared" si="258"/>
        <v>821.49196199362245</v>
      </c>
      <c r="AQ129" s="128">
        <f t="shared" si="362"/>
        <v>131290.94196199361</v>
      </c>
      <c r="AS129" s="124">
        <f t="shared" si="327"/>
        <v>86</v>
      </c>
      <c r="AT129" s="130">
        <f t="shared" si="328"/>
        <v>4.2500000000000003E-2</v>
      </c>
      <c r="AU129" s="127">
        <f t="shared" si="329"/>
        <v>1252</v>
      </c>
      <c r="AV129" s="128">
        <f t="shared" si="330"/>
        <v>125083.40000000001</v>
      </c>
      <c r="AW129" s="128">
        <f t="shared" si="363"/>
        <v>125200</v>
      </c>
      <c r="AX129" s="128">
        <f t="shared" si="358"/>
        <v>125200</v>
      </c>
      <c r="AY129" s="130">
        <f t="shared" si="259"/>
        <v>4.4000000000000004E-2</v>
      </c>
      <c r="AZ129" s="128">
        <f t="shared" si="260"/>
        <v>125659.06666666667</v>
      </c>
      <c r="BA129" s="128" t="str">
        <f t="shared" si="261"/>
        <v>nie</v>
      </c>
      <c r="BB129" s="128">
        <f t="shared" si="262"/>
        <v>876.4</v>
      </c>
      <c r="BC129" s="128">
        <f t="shared" si="158"/>
        <v>124861.96</v>
      </c>
      <c r="BD129" s="128">
        <f t="shared" si="263"/>
        <v>371.84399999999926</v>
      </c>
      <c r="BE129" s="130">
        <f t="shared" si="264"/>
        <v>4.2500000000000003E-2</v>
      </c>
      <c r="BF129" s="128">
        <f t="shared" si="265"/>
        <v>5404.9158111778279</v>
      </c>
      <c r="BG129" s="128">
        <f t="shared" si="159"/>
        <v>129895.03181117783</v>
      </c>
      <c r="BI129" s="124">
        <f t="shared" si="332"/>
        <v>86</v>
      </c>
      <c r="BJ129" s="130">
        <f t="shared" si="354"/>
        <v>4.1300000000000003E-2</v>
      </c>
      <c r="BK129" s="127">
        <f t="shared" si="333"/>
        <v>1252</v>
      </c>
      <c r="BL129" s="128">
        <f t="shared" si="334"/>
        <v>125074.8</v>
      </c>
      <c r="BM129" s="128">
        <f t="shared" si="349"/>
        <v>125200</v>
      </c>
      <c r="BN129" s="128">
        <f t="shared" si="335"/>
        <v>131021.8</v>
      </c>
      <c r="BO129" s="130">
        <f t="shared" si="266"/>
        <v>4.65E-2</v>
      </c>
      <c r="BP129" s="128">
        <f t="shared" si="267"/>
        <v>132037.21894999998</v>
      </c>
      <c r="BQ129" s="128" t="str">
        <f t="shared" si="268"/>
        <v>nie</v>
      </c>
      <c r="BR129" s="128">
        <f t="shared" si="269"/>
        <v>1252</v>
      </c>
      <c r="BS129" s="128">
        <f t="shared" si="364"/>
        <v>129724.02734949999</v>
      </c>
      <c r="BT129" s="128">
        <f t="shared" si="356"/>
        <v>0</v>
      </c>
      <c r="BU129" s="130">
        <f t="shared" si="270"/>
        <v>4.2500000000000003E-2</v>
      </c>
      <c r="BV129" s="128">
        <f t="shared" si="271"/>
        <v>121.0199206770211</v>
      </c>
      <c r="BW129" s="128">
        <f t="shared" si="365"/>
        <v>129845.047270177</v>
      </c>
      <c r="BY129" s="130">
        <f t="shared" si="360"/>
        <v>2.8000000000000001E-2</v>
      </c>
      <c r="BZ129" s="127">
        <f t="shared" si="337"/>
        <v>1154</v>
      </c>
      <c r="CA129" s="128">
        <f t="shared" si="338"/>
        <v>115296.5</v>
      </c>
      <c r="CB129" s="128">
        <f t="shared" si="366"/>
        <v>115400</v>
      </c>
      <c r="CC129" s="128">
        <f t="shared" si="359"/>
        <v>115400</v>
      </c>
      <c r="CD129" s="130">
        <f t="shared" si="272"/>
        <v>4.2999999999999997E-2</v>
      </c>
      <c r="CE129" s="128">
        <f t="shared" si="273"/>
        <v>116227.03333333334</v>
      </c>
      <c r="CF129" s="128" t="str">
        <f t="shared" si="274"/>
        <v>nie</v>
      </c>
      <c r="CG129" s="128">
        <f t="shared" si="275"/>
        <v>2308</v>
      </c>
      <c r="CH129" s="128">
        <f t="shared" si="160"/>
        <v>114200.417</v>
      </c>
      <c r="CI129" s="128">
        <f t="shared" si="276"/>
        <v>0</v>
      </c>
      <c r="CJ129" s="130">
        <f t="shared" si="277"/>
        <v>4.2500000000000003E-2</v>
      </c>
      <c r="CK129" s="128">
        <f t="shared" si="278"/>
        <v>13274.979922514578</v>
      </c>
      <c r="CL129" s="128">
        <f t="shared" si="279"/>
        <v>127475.39692251458</v>
      </c>
      <c r="CN129" s="127">
        <f t="shared" si="340"/>
        <v>1000</v>
      </c>
      <c r="CO129" s="128">
        <f t="shared" si="341"/>
        <v>100000</v>
      </c>
      <c r="CP129" s="128">
        <f t="shared" si="342"/>
        <v>100000</v>
      </c>
      <c r="CQ129" s="128">
        <f t="shared" si="343"/>
        <v>139904.47757028849</v>
      </c>
      <c r="CR129" s="130">
        <f t="shared" si="280"/>
        <v>4.8000000000000001E-2</v>
      </c>
      <c r="CS129" s="128">
        <f t="shared" si="281"/>
        <v>141023.71339085081</v>
      </c>
      <c r="CT129" s="128" t="str">
        <f t="shared" si="282"/>
        <v>nie</v>
      </c>
      <c r="CU129" s="128">
        <f t="shared" si="283"/>
        <v>3000</v>
      </c>
      <c r="CV129" s="128">
        <f t="shared" si="284"/>
        <v>130799.20784658915</v>
      </c>
      <c r="CW129" s="128">
        <f t="shared" si="285"/>
        <v>0</v>
      </c>
      <c r="CX129" s="130">
        <f t="shared" si="286"/>
        <v>4.2500000000000003E-2</v>
      </c>
      <c r="CY129" s="128">
        <f t="shared" si="287"/>
        <v>0</v>
      </c>
      <c r="CZ129" s="128">
        <f t="shared" si="288"/>
        <v>130799.20784658915</v>
      </c>
      <c r="DA129" s="20"/>
      <c r="DB129" s="127">
        <f t="shared" si="350"/>
        <v>1267</v>
      </c>
      <c r="DC129" s="128">
        <f t="shared" si="351"/>
        <v>126700</v>
      </c>
      <c r="DD129" s="128">
        <f t="shared" si="344"/>
        <v>126700</v>
      </c>
      <c r="DE129" s="128">
        <f t="shared" si="345"/>
        <v>133288.4</v>
      </c>
      <c r="DF129" s="130">
        <f t="shared" si="289"/>
        <v>4.8000000000000001E-2</v>
      </c>
      <c r="DG129" s="128">
        <f t="shared" si="290"/>
        <v>134354.7072</v>
      </c>
      <c r="DH129" s="128" t="str">
        <f t="shared" si="291"/>
        <v>nie</v>
      </c>
      <c r="DI129" s="128">
        <f t="shared" si="292"/>
        <v>2534</v>
      </c>
      <c r="DJ129" s="128">
        <f t="shared" si="355"/>
        <v>130847.772832</v>
      </c>
      <c r="DK129" s="128">
        <f t="shared" si="294"/>
        <v>0</v>
      </c>
      <c r="DL129" s="130">
        <f t="shared" si="295"/>
        <v>4.2500000000000003E-2</v>
      </c>
      <c r="DM129" s="128">
        <f t="shared" si="296"/>
        <v>23.613845388098714</v>
      </c>
      <c r="DN129" s="128">
        <f t="shared" si="297"/>
        <v>130871.3866773881</v>
      </c>
      <c r="DP129" s="127">
        <f t="shared" si="352"/>
        <v>1000</v>
      </c>
      <c r="DQ129" s="128">
        <f t="shared" si="353"/>
        <v>100000</v>
      </c>
      <c r="DR129" s="128">
        <f t="shared" si="346"/>
        <v>100000</v>
      </c>
      <c r="DS129" s="128">
        <f t="shared" si="347"/>
        <v>144298.25841226292</v>
      </c>
      <c r="DT129" s="130">
        <f t="shared" si="298"/>
        <v>5.3000000000000005E-2</v>
      </c>
      <c r="DU129" s="128">
        <f t="shared" si="299"/>
        <v>145572.89302823789</v>
      </c>
      <c r="DV129" s="128" t="str">
        <f t="shared" si="300"/>
        <v>nie</v>
      </c>
      <c r="DW129" s="128">
        <f t="shared" si="301"/>
        <v>3000</v>
      </c>
      <c r="DX129" s="128">
        <f t="shared" si="302"/>
        <v>134484.04335287269</v>
      </c>
      <c r="DY129" s="128">
        <f t="shared" si="303"/>
        <v>0</v>
      </c>
      <c r="DZ129" s="130">
        <f t="shared" si="304"/>
        <v>4.2500000000000003E-2</v>
      </c>
      <c r="EA129" s="128">
        <f t="shared" si="305"/>
        <v>0</v>
      </c>
      <c r="EB129" s="128">
        <f t="shared" si="306"/>
        <v>134484.04335287269</v>
      </c>
    </row>
    <row r="130" spans="1:132">
      <c r="A130" s="224"/>
      <c r="B130" s="188">
        <f t="shared" si="307"/>
        <v>86</v>
      </c>
      <c r="C130" s="128">
        <f t="shared" si="308"/>
        <v>131290.94196199361</v>
      </c>
      <c r="D130" s="128">
        <f t="shared" si="309"/>
        <v>129895.03181117783</v>
      </c>
      <c r="E130" s="128">
        <f t="shared" si="310"/>
        <v>129845.047270177</v>
      </c>
      <c r="F130" s="128">
        <f t="shared" si="311"/>
        <v>127475.39692251458</v>
      </c>
      <c r="G130" s="128">
        <f t="shared" si="312"/>
        <v>130799.20784658915</v>
      </c>
      <c r="H130" s="128">
        <f t="shared" si="313"/>
        <v>130871.3866773881</v>
      </c>
      <c r="I130" s="128">
        <f t="shared" si="314"/>
        <v>134484.04335287269</v>
      </c>
      <c r="J130" s="128">
        <f t="shared" si="315"/>
        <v>127935.91610052985</v>
      </c>
      <c r="K130" s="128">
        <f t="shared" si="316"/>
        <v>121891.60506873539</v>
      </c>
      <c r="M130" s="36"/>
      <c r="N130" s="32">
        <f t="shared" si="317"/>
        <v>86</v>
      </c>
      <c r="O130" s="25">
        <f t="shared" si="318"/>
        <v>0.31290941961993601</v>
      </c>
      <c r="P130" s="25">
        <f t="shared" si="319"/>
        <v>0.2989503181117783</v>
      </c>
      <c r="Q130" s="25">
        <f t="shared" si="320"/>
        <v>0.29845047270177005</v>
      </c>
      <c r="R130" s="25">
        <f t="shared" si="245"/>
        <v>0.27475396922514594</v>
      </c>
      <c r="S130" s="25">
        <f t="shared" si="246"/>
        <v>0.30799207846589161</v>
      </c>
      <c r="T130" s="25">
        <f t="shared" si="247"/>
        <v>0.30871386677388091</v>
      </c>
      <c r="U130" s="25">
        <f t="shared" si="248"/>
        <v>0.34484043352872695</v>
      </c>
      <c r="V130" s="25">
        <f t="shared" si="249"/>
        <v>0.27935916100529856</v>
      </c>
      <c r="W130" s="25">
        <f t="shared" si="250"/>
        <v>0.21891605068735376</v>
      </c>
      <c r="X130" s="36"/>
      <c r="Y130" s="36"/>
      <c r="AA130" s="124">
        <f t="shared" si="321"/>
        <v>87</v>
      </c>
      <c r="AB130" s="128">
        <f t="shared" si="251"/>
        <v>122174.69771488041</v>
      </c>
      <c r="AC130" s="124">
        <f t="shared" si="322"/>
        <v>87</v>
      </c>
      <c r="AD130" s="130">
        <f t="shared" si="323"/>
        <v>4.2500000000000003E-2</v>
      </c>
      <c r="AE130" s="127">
        <f t="shared" si="324"/>
        <v>1310</v>
      </c>
      <c r="AF130" s="128">
        <f t="shared" si="325"/>
        <v>130873.5</v>
      </c>
      <c r="AG130" s="128">
        <f t="shared" si="348"/>
        <v>131000</v>
      </c>
      <c r="AH130" s="128">
        <f t="shared" si="357"/>
        <v>131000</v>
      </c>
      <c r="AI130" s="130">
        <f t="shared" si="252"/>
        <v>4.2500000000000003E-2</v>
      </c>
      <c r="AJ130" s="128">
        <f t="shared" si="253"/>
        <v>131463.95833333334</v>
      </c>
      <c r="AK130" s="128" t="str">
        <f t="shared" si="254"/>
        <v>nie</v>
      </c>
      <c r="AL130" s="128">
        <f t="shared" si="255"/>
        <v>655</v>
      </c>
      <c r="AM130" s="128">
        <f t="shared" si="361"/>
        <v>130845.25625000001</v>
      </c>
      <c r="AN130" s="128">
        <f t="shared" si="256"/>
        <v>375.80625000000788</v>
      </c>
      <c r="AO130" s="130">
        <f t="shared" si="257"/>
        <v>4.2500000000000003E-2</v>
      </c>
      <c r="AP130" s="128">
        <f t="shared" si="258"/>
        <v>1199.6548670595996</v>
      </c>
      <c r="AQ130" s="128">
        <f t="shared" si="362"/>
        <v>131669.10486705959</v>
      </c>
      <c r="AS130" s="124">
        <f t="shared" si="327"/>
        <v>87</v>
      </c>
      <c r="AT130" s="130">
        <f t="shared" si="328"/>
        <v>4.2500000000000003E-2</v>
      </c>
      <c r="AU130" s="127">
        <f t="shared" si="329"/>
        <v>1252</v>
      </c>
      <c r="AV130" s="128">
        <f t="shared" si="330"/>
        <v>125083.40000000001</v>
      </c>
      <c r="AW130" s="128">
        <f t="shared" si="363"/>
        <v>125200</v>
      </c>
      <c r="AX130" s="128">
        <f t="shared" si="358"/>
        <v>125200</v>
      </c>
      <c r="AY130" s="130">
        <f t="shared" si="259"/>
        <v>4.4000000000000004E-2</v>
      </c>
      <c r="AZ130" s="128">
        <f t="shared" si="260"/>
        <v>125659.06666666667</v>
      </c>
      <c r="BA130" s="128" t="str">
        <f t="shared" si="261"/>
        <v>nie</v>
      </c>
      <c r="BB130" s="128">
        <f t="shared" si="262"/>
        <v>876.4</v>
      </c>
      <c r="BC130" s="128">
        <f t="shared" si="158"/>
        <v>124861.96</v>
      </c>
      <c r="BD130" s="128">
        <f t="shared" si="263"/>
        <v>371.84399999999926</v>
      </c>
      <c r="BE130" s="130">
        <f t="shared" si="264"/>
        <v>4.2500000000000003E-2</v>
      </c>
      <c r="BF130" s="128">
        <f t="shared" si="265"/>
        <v>5792.2651634111435</v>
      </c>
      <c r="BG130" s="128">
        <f t="shared" si="159"/>
        <v>130282.38116341115</v>
      </c>
      <c r="BI130" s="124">
        <f t="shared" si="332"/>
        <v>87</v>
      </c>
      <c r="BJ130" s="130">
        <f t="shared" si="354"/>
        <v>4.1300000000000003E-2</v>
      </c>
      <c r="BK130" s="127">
        <f t="shared" si="333"/>
        <v>1252</v>
      </c>
      <c r="BL130" s="128">
        <f t="shared" si="334"/>
        <v>125074.8</v>
      </c>
      <c r="BM130" s="128">
        <f t="shared" si="349"/>
        <v>125200</v>
      </c>
      <c r="BN130" s="128">
        <f t="shared" si="335"/>
        <v>131021.8</v>
      </c>
      <c r="BO130" s="130">
        <f t="shared" si="266"/>
        <v>4.65E-2</v>
      </c>
      <c r="BP130" s="128">
        <f t="shared" si="267"/>
        <v>132544.92842499999</v>
      </c>
      <c r="BQ130" s="128" t="str">
        <f t="shared" si="268"/>
        <v>nie</v>
      </c>
      <c r="BR130" s="128">
        <f t="shared" si="269"/>
        <v>1252</v>
      </c>
      <c r="BS130" s="128">
        <f t="shared" si="364"/>
        <v>130135.27202424999</v>
      </c>
      <c r="BT130" s="128">
        <f t="shared" si="356"/>
        <v>0</v>
      </c>
      <c r="BU130" s="130">
        <f t="shared" si="270"/>
        <v>4.2500000000000003E-2</v>
      </c>
      <c r="BV130" s="128">
        <f t="shared" si="271"/>
        <v>121.3670965744633</v>
      </c>
      <c r="BW130" s="128">
        <f t="shared" si="365"/>
        <v>130256.63912082446</v>
      </c>
      <c r="BY130" s="130">
        <f t="shared" si="360"/>
        <v>2.8000000000000001E-2</v>
      </c>
      <c r="BZ130" s="127">
        <f t="shared" si="337"/>
        <v>1154</v>
      </c>
      <c r="CA130" s="128">
        <f t="shared" si="338"/>
        <v>115296.5</v>
      </c>
      <c r="CB130" s="128">
        <f t="shared" si="366"/>
        <v>115400</v>
      </c>
      <c r="CC130" s="128">
        <f t="shared" si="359"/>
        <v>115400</v>
      </c>
      <c r="CD130" s="130">
        <f t="shared" si="272"/>
        <v>4.2999999999999997E-2</v>
      </c>
      <c r="CE130" s="128">
        <f t="shared" si="273"/>
        <v>116640.55</v>
      </c>
      <c r="CF130" s="128" t="str">
        <f t="shared" si="274"/>
        <v>nie</v>
      </c>
      <c r="CG130" s="128">
        <f t="shared" si="275"/>
        <v>2308</v>
      </c>
      <c r="CH130" s="128">
        <f t="shared" si="160"/>
        <v>114535.3655</v>
      </c>
      <c r="CI130" s="128">
        <f t="shared" si="276"/>
        <v>0</v>
      </c>
      <c r="CJ130" s="130">
        <f t="shared" si="277"/>
        <v>4.2500000000000003E-2</v>
      </c>
      <c r="CK130" s="128">
        <f t="shared" si="278"/>
        <v>13313.06252116729</v>
      </c>
      <c r="CL130" s="128">
        <f t="shared" si="279"/>
        <v>127848.42802116729</v>
      </c>
      <c r="CN130" s="127">
        <f t="shared" si="340"/>
        <v>1000</v>
      </c>
      <c r="CO130" s="128">
        <f t="shared" si="341"/>
        <v>100000</v>
      </c>
      <c r="CP130" s="128">
        <f t="shared" si="342"/>
        <v>100000</v>
      </c>
      <c r="CQ130" s="128">
        <f t="shared" si="343"/>
        <v>139904.47757028849</v>
      </c>
      <c r="CR130" s="130">
        <f t="shared" si="280"/>
        <v>4.8000000000000001E-2</v>
      </c>
      <c r="CS130" s="128">
        <f t="shared" si="281"/>
        <v>141583.33130113196</v>
      </c>
      <c r="CT130" s="128" t="str">
        <f t="shared" si="282"/>
        <v>nie</v>
      </c>
      <c r="CU130" s="128">
        <f t="shared" si="283"/>
        <v>3000</v>
      </c>
      <c r="CV130" s="128">
        <f t="shared" si="284"/>
        <v>131252.49835391689</v>
      </c>
      <c r="CW130" s="128">
        <f t="shared" si="285"/>
        <v>0</v>
      </c>
      <c r="CX130" s="130">
        <f t="shared" si="286"/>
        <v>4.2500000000000003E-2</v>
      </c>
      <c r="CY130" s="128">
        <f t="shared" si="287"/>
        <v>0</v>
      </c>
      <c r="CZ130" s="128">
        <f t="shared" si="288"/>
        <v>131252.49835391689</v>
      </c>
      <c r="DA130" s="20"/>
      <c r="DB130" s="127">
        <f t="shared" si="350"/>
        <v>1267</v>
      </c>
      <c r="DC130" s="128">
        <f t="shared" si="351"/>
        <v>126700</v>
      </c>
      <c r="DD130" s="128">
        <f t="shared" si="344"/>
        <v>126700</v>
      </c>
      <c r="DE130" s="128">
        <f t="shared" si="345"/>
        <v>133288.4</v>
      </c>
      <c r="DF130" s="130">
        <f t="shared" si="289"/>
        <v>4.8000000000000001E-2</v>
      </c>
      <c r="DG130" s="128">
        <f t="shared" si="290"/>
        <v>134887.86079999999</v>
      </c>
      <c r="DH130" s="128" t="str">
        <f t="shared" si="291"/>
        <v>nie</v>
      </c>
      <c r="DI130" s="128">
        <f t="shared" si="292"/>
        <v>2534</v>
      </c>
      <c r="DJ130" s="128">
        <f t="shared" si="355"/>
        <v>131279.627248</v>
      </c>
      <c r="DK130" s="128">
        <f t="shared" si="294"/>
        <v>0</v>
      </c>
      <c r="DL130" s="130">
        <f t="shared" si="295"/>
        <v>4.2500000000000003E-2</v>
      </c>
      <c r="DM130" s="128">
        <f t="shared" si="296"/>
        <v>23.681587607055821</v>
      </c>
      <c r="DN130" s="128">
        <f t="shared" si="297"/>
        <v>131303.30883560705</v>
      </c>
      <c r="DP130" s="127">
        <f t="shared" si="352"/>
        <v>1000</v>
      </c>
      <c r="DQ130" s="128">
        <f t="shared" si="353"/>
        <v>100000</v>
      </c>
      <c r="DR130" s="128">
        <f t="shared" si="346"/>
        <v>100000</v>
      </c>
      <c r="DS130" s="128">
        <f t="shared" si="347"/>
        <v>144298.25841226292</v>
      </c>
      <c r="DT130" s="130">
        <f t="shared" si="298"/>
        <v>5.3000000000000005E-2</v>
      </c>
      <c r="DU130" s="128">
        <f t="shared" si="299"/>
        <v>146210.2103362254</v>
      </c>
      <c r="DV130" s="128" t="str">
        <f t="shared" si="300"/>
        <v>nie</v>
      </c>
      <c r="DW130" s="128">
        <f t="shared" si="301"/>
        <v>3000</v>
      </c>
      <c r="DX130" s="128">
        <f t="shared" si="302"/>
        <v>135000.27037234258</v>
      </c>
      <c r="DY130" s="128">
        <f t="shared" si="303"/>
        <v>0</v>
      </c>
      <c r="DZ130" s="130">
        <f t="shared" si="304"/>
        <v>4.2500000000000003E-2</v>
      </c>
      <c r="EA130" s="128">
        <f t="shared" si="305"/>
        <v>0</v>
      </c>
      <c r="EB130" s="128">
        <f t="shared" si="306"/>
        <v>135000.27037234258</v>
      </c>
    </row>
    <row r="131" spans="1:132">
      <c r="A131" s="224"/>
      <c r="B131" s="188">
        <f t="shared" si="307"/>
        <v>87</v>
      </c>
      <c r="C131" s="128">
        <f t="shared" si="308"/>
        <v>131669.10486705959</v>
      </c>
      <c r="D131" s="128">
        <f t="shared" si="309"/>
        <v>130282.38116341115</v>
      </c>
      <c r="E131" s="128">
        <f t="shared" si="310"/>
        <v>130256.63912082446</v>
      </c>
      <c r="F131" s="128">
        <f t="shared" si="311"/>
        <v>127848.42802116729</v>
      </c>
      <c r="G131" s="128">
        <f t="shared" si="312"/>
        <v>131252.49835391689</v>
      </c>
      <c r="H131" s="128">
        <f t="shared" si="313"/>
        <v>131303.30883560705</v>
      </c>
      <c r="I131" s="128">
        <f t="shared" si="314"/>
        <v>135000.27037234258</v>
      </c>
      <c r="J131" s="128">
        <f t="shared" si="315"/>
        <v>128302.93225984325</v>
      </c>
      <c r="K131" s="128">
        <f t="shared" si="316"/>
        <v>122174.69771488041</v>
      </c>
      <c r="M131" s="36"/>
      <c r="N131" s="32">
        <f t="shared" si="317"/>
        <v>87</v>
      </c>
      <c r="O131" s="25">
        <f t="shared" si="318"/>
        <v>0.31669104867059583</v>
      </c>
      <c r="P131" s="25">
        <f t="shared" si="319"/>
        <v>0.30282381163411154</v>
      </c>
      <c r="Q131" s="25">
        <f t="shared" si="320"/>
        <v>0.30256639120824458</v>
      </c>
      <c r="R131" s="25">
        <f t="shared" si="245"/>
        <v>0.27848428021167293</v>
      </c>
      <c r="S131" s="25">
        <f t="shared" si="246"/>
        <v>0.3125249835391688</v>
      </c>
      <c r="T131" s="25">
        <f t="shared" si="247"/>
        <v>0.31303308835607058</v>
      </c>
      <c r="U131" s="25">
        <f t="shared" si="248"/>
        <v>0.3500027037234259</v>
      </c>
      <c r="V131" s="25">
        <f t="shared" si="249"/>
        <v>0.28302932259843239</v>
      </c>
      <c r="W131" s="25">
        <f t="shared" si="250"/>
        <v>0.22174697714880409</v>
      </c>
      <c r="X131" s="36"/>
      <c r="Y131" s="36"/>
      <c r="AA131" s="124">
        <f t="shared" si="321"/>
        <v>88</v>
      </c>
      <c r="AB131" s="128">
        <f t="shared" si="251"/>
        <v>122457.79036102547</v>
      </c>
      <c r="AC131" s="124">
        <f t="shared" si="322"/>
        <v>88</v>
      </c>
      <c r="AD131" s="130">
        <f t="shared" si="323"/>
        <v>4.2500000000000003E-2</v>
      </c>
      <c r="AE131" s="127">
        <f t="shared" si="324"/>
        <v>1310</v>
      </c>
      <c r="AF131" s="128">
        <f t="shared" si="325"/>
        <v>130873.5</v>
      </c>
      <c r="AG131" s="128">
        <f t="shared" si="348"/>
        <v>131000</v>
      </c>
      <c r="AH131" s="128">
        <f t="shared" si="357"/>
        <v>131000</v>
      </c>
      <c r="AI131" s="130">
        <f t="shared" si="252"/>
        <v>4.2500000000000003E-2</v>
      </c>
      <c r="AJ131" s="128">
        <f t="shared" si="253"/>
        <v>131463.95833333334</v>
      </c>
      <c r="AK131" s="128" t="str">
        <f t="shared" si="254"/>
        <v>nie</v>
      </c>
      <c r="AL131" s="128">
        <f t="shared" si="255"/>
        <v>655</v>
      </c>
      <c r="AM131" s="128">
        <f t="shared" si="361"/>
        <v>130845.25625000001</v>
      </c>
      <c r="AN131" s="128">
        <f t="shared" si="256"/>
        <v>375.80625000000788</v>
      </c>
      <c r="AO131" s="130">
        <f t="shared" si="257"/>
        <v>4.2500000000000003E-2</v>
      </c>
      <c r="AP131" s="128">
        <f t="shared" si="258"/>
        <v>1578.9026269594847</v>
      </c>
      <c r="AQ131" s="128">
        <f t="shared" si="362"/>
        <v>132048.35262695947</v>
      </c>
      <c r="AS131" s="124">
        <f t="shared" si="327"/>
        <v>88</v>
      </c>
      <c r="AT131" s="130">
        <f t="shared" si="328"/>
        <v>4.2500000000000003E-2</v>
      </c>
      <c r="AU131" s="127">
        <f t="shared" si="329"/>
        <v>1252</v>
      </c>
      <c r="AV131" s="128">
        <f t="shared" si="330"/>
        <v>125083.40000000001</v>
      </c>
      <c r="AW131" s="128">
        <f t="shared" si="363"/>
        <v>125200</v>
      </c>
      <c r="AX131" s="128">
        <f t="shared" si="358"/>
        <v>125200</v>
      </c>
      <c r="AY131" s="130">
        <f t="shared" si="259"/>
        <v>4.4000000000000004E-2</v>
      </c>
      <c r="AZ131" s="128">
        <f t="shared" si="260"/>
        <v>125659.06666666667</v>
      </c>
      <c r="BA131" s="128" t="str">
        <f t="shared" si="261"/>
        <v>nie</v>
      </c>
      <c r="BB131" s="128">
        <f t="shared" si="262"/>
        <v>876.4</v>
      </c>
      <c r="BC131" s="128">
        <f t="shared" si="158"/>
        <v>124861.96</v>
      </c>
      <c r="BD131" s="128">
        <f t="shared" si="263"/>
        <v>371.84399999999926</v>
      </c>
      <c r="BE131" s="130">
        <f t="shared" si="264"/>
        <v>4.2500000000000003E-2</v>
      </c>
      <c r="BF131" s="128">
        <f t="shared" si="265"/>
        <v>6180.7257240986783</v>
      </c>
      <c r="BG131" s="128">
        <f t="shared" si="159"/>
        <v>130670.84172409869</v>
      </c>
      <c r="BI131" s="124">
        <f t="shared" si="332"/>
        <v>88</v>
      </c>
      <c r="BJ131" s="130">
        <f t="shared" si="354"/>
        <v>4.1300000000000003E-2</v>
      </c>
      <c r="BK131" s="127">
        <f t="shared" si="333"/>
        <v>1252</v>
      </c>
      <c r="BL131" s="128">
        <f t="shared" si="334"/>
        <v>125074.8</v>
      </c>
      <c r="BM131" s="128">
        <f t="shared" si="349"/>
        <v>125200</v>
      </c>
      <c r="BN131" s="128">
        <f t="shared" si="335"/>
        <v>131021.8</v>
      </c>
      <c r="BO131" s="130">
        <f t="shared" si="266"/>
        <v>4.65E-2</v>
      </c>
      <c r="BP131" s="128">
        <f t="shared" si="267"/>
        <v>133052.6379</v>
      </c>
      <c r="BQ131" s="128" t="str">
        <f t="shared" si="268"/>
        <v>nie</v>
      </c>
      <c r="BR131" s="128">
        <f t="shared" si="269"/>
        <v>1252</v>
      </c>
      <c r="BS131" s="128">
        <f t="shared" si="364"/>
        <v>130546.516699</v>
      </c>
      <c r="BT131" s="128">
        <f t="shared" si="356"/>
        <v>0</v>
      </c>
      <c r="BU131" s="130">
        <f t="shared" si="270"/>
        <v>4.2500000000000003E-2</v>
      </c>
      <c r="BV131" s="128">
        <f t="shared" si="271"/>
        <v>121.71526843276129</v>
      </c>
      <c r="BW131" s="128">
        <f t="shared" si="365"/>
        <v>130668.23196743276</v>
      </c>
      <c r="BY131" s="130">
        <f t="shared" si="360"/>
        <v>2.8000000000000001E-2</v>
      </c>
      <c r="BZ131" s="127">
        <f t="shared" si="337"/>
        <v>1154</v>
      </c>
      <c r="CA131" s="128">
        <f t="shared" si="338"/>
        <v>115296.5</v>
      </c>
      <c r="CB131" s="128">
        <f t="shared" si="366"/>
        <v>115400</v>
      </c>
      <c r="CC131" s="128">
        <f t="shared" si="359"/>
        <v>115400</v>
      </c>
      <c r="CD131" s="130">
        <f t="shared" si="272"/>
        <v>4.2999999999999997E-2</v>
      </c>
      <c r="CE131" s="128">
        <f t="shared" si="273"/>
        <v>117054.06666666667</v>
      </c>
      <c r="CF131" s="128" t="str">
        <f t="shared" si="274"/>
        <v>nie</v>
      </c>
      <c r="CG131" s="128">
        <f t="shared" si="275"/>
        <v>2308</v>
      </c>
      <c r="CH131" s="128">
        <f t="shared" si="160"/>
        <v>114870.314</v>
      </c>
      <c r="CI131" s="128">
        <f t="shared" si="276"/>
        <v>0</v>
      </c>
      <c r="CJ131" s="130">
        <f t="shared" si="277"/>
        <v>4.2500000000000003E-2</v>
      </c>
      <c r="CK131" s="128">
        <f t="shared" si="278"/>
        <v>13351.25436927489</v>
      </c>
      <c r="CL131" s="128">
        <f t="shared" si="279"/>
        <v>128221.56836927489</v>
      </c>
      <c r="CN131" s="127">
        <f t="shared" si="340"/>
        <v>1000</v>
      </c>
      <c r="CO131" s="128">
        <f t="shared" si="341"/>
        <v>100000</v>
      </c>
      <c r="CP131" s="128">
        <f t="shared" si="342"/>
        <v>100000</v>
      </c>
      <c r="CQ131" s="128">
        <f t="shared" si="343"/>
        <v>139904.47757028849</v>
      </c>
      <c r="CR131" s="130">
        <f t="shared" si="280"/>
        <v>4.8000000000000001E-2</v>
      </c>
      <c r="CS131" s="128">
        <f t="shared" si="281"/>
        <v>142142.9492114131</v>
      </c>
      <c r="CT131" s="128" t="str">
        <f t="shared" si="282"/>
        <v>nie</v>
      </c>
      <c r="CU131" s="128">
        <f t="shared" si="283"/>
        <v>3000</v>
      </c>
      <c r="CV131" s="128">
        <f t="shared" si="284"/>
        <v>131705.7888612446</v>
      </c>
      <c r="CW131" s="128">
        <f t="shared" si="285"/>
        <v>0</v>
      </c>
      <c r="CX131" s="130">
        <f t="shared" si="286"/>
        <v>4.2500000000000003E-2</v>
      </c>
      <c r="CY131" s="128">
        <f t="shared" si="287"/>
        <v>0</v>
      </c>
      <c r="CZ131" s="128">
        <f t="shared" si="288"/>
        <v>131705.7888612446</v>
      </c>
      <c r="DA131" s="20"/>
      <c r="DB131" s="127">
        <f t="shared" si="350"/>
        <v>1267</v>
      </c>
      <c r="DC131" s="128">
        <f t="shared" si="351"/>
        <v>126700</v>
      </c>
      <c r="DD131" s="128">
        <f t="shared" si="344"/>
        <v>126700</v>
      </c>
      <c r="DE131" s="128">
        <f t="shared" si="345"/>
        <v>133288.4</v>
      </c>
      <c r="DF131" s="130">
        <f t="shared" si="289"/>
        <v>4.8000000000000001E-2</v>
      </c>
      <c r="DG131" s="128">
        <f t="shared" si="290"/>
        <v>135421.01439999999</v>
      </c>
      <c r="DH131" s="128" t="str">
        <f t="shared" si="291"/>
        <v>nie</v>
      </c>
      <c r="DI131" s="128">
        <f t="shared" si="292"/>
        <v>2534</v>
      </c>
      <c r="DJ131" s="128">
        <f t="shared" si="355"/>
        <v>131711.48166399999</v>
      </c>
      <c r="DK131" s="128">
        <f t="shared" si="294"/>
        <v>0</v>
      </c>
      <c r="DL131" s="130">
        <f t="shared" si="295"/>
        <v>4.2500000000000003E-2</v>
      </c>
      <c r="DM131" s="128">
        <f t="shared" si="296"/>
        <v>23.749524161503562</v>
      </c>
      <c r="DN131" s="128">
        <f t="shared" si="297"/>
        <v>131735.2311881615</v>
      </c>
      <c r="DP131" s="127">
        <f t="shared" si="352"/>
        <v>1000</v>
      </c>
      <c r="DQ131" s="128">
        <f t="shared" si="353"/>
        <v>100000</v>
      </c>
      <c r="DR131" s="128">
        <f t="shared" si="346"/>
        <v>100000</v>
      </c>
      <c r="DS131" s="128">
        <f t="shared" si="347"/>
        <v>144298.25841226292</v>
      </c>
      <c r="DT131" s="130">
        <f t="shared" si="298"/>
        <v>5.3000000000000005E-2</v>
      </c>
      <c r="DU131" s="128">
        <f t="shared" si="299"/>
        <v>146847.52764421291</v>
      </c>
      <c r="DV131" s="128" t="str">
        <f t="shared" si="300"/>
        <v>nie</v>
      </c>
      <c r="DW131" s="128">
        <f t="shared" si="301"/>
        <v>3000</v>
      </c>
      <c r="DX131" s="128">
        <f t="shared" si="302"/>
        <v>135516.49739181245</v>
      </c>
      <c r="DY131" s="128">
        <f t="shared" si="303"/>
        <v>0</v>
      </c>
      <c r="DZ131" s="130">
        <f t="shared" si="304"/>
        <v>4.2500000000000003E-2</v>
      </c>
      <c r="EA131" s="128">
        <f t="shared" si="305"/>
        <v>0</v>
      </c>
      <c r="EB131" s="128">
        <f t="shared" si="306"/>
        <v>135516.49739181245</v>
      </c>
    </row>
    <row r="132" spans="1:132">
      <c r="A132" s="224"/>
      <c r="B132" s="188">
        <f t="shared" si="307"/>
        <v>88</v>
      </c>
      <c r="C132" s="128">
        <f t="shared" si="308"/>
        <v>132048.35262695947</v>
      </c>
      <c r="D132" s="128">
        <f t="shared" si="309"/>
        <v>130670.84172409869</v>
      </c>
      <c r="E132" s="128">
        <f t="shared" si="310"/>
        <v>130668.23196743276</v>
      </c>
      <c r="F132" s="128">
        <f t="shared" si="311"/>
        <v>128221.56836927489</v>
      </c>
      <c r="G132" s="128">
        <f t="shared" si="312"/>
        <v>131705.7888612446</v>
      </c>
      <c r="H132" s="128">
        <f t="shared" si="313"/>
        <v>131735.2311881615</v>
      </c>
      <c r="I132" s="128">
        <f t="shared" si="314"/>
        <v>135516.49739181245</v>
      </c>
      <c r="J132" s="128">
        <f t="shared" si="315"/>
        <v>128671.00129676367</v>
      </c>
      <c r="K132" s="128">
        <f t="shared" si="316"/>
        <v>122457.79036102547</v>
      </c>
      <c r="M132" s="36"/>
      <c r="N132" s="32">
        <f t="shared" si="317"/>
        <v>88</v>
      </c>
      <c r="O132" s="25">
        <f t="shared" si="318"/>
        <v>0.32048352626959464</v>
      </c>
      <c r="P132" s="25">
        <f t="shared" si="319"/>
        <v>0.30670841724098685</v>
      </c>
      <c r="Q132" s="25">
        <f t="shared" si="320"/>
        <v>0.30668231967432757</v>
      </c>
      <c r="R132" s="25">
        <f t="shared" si="245"/>
        <v>0.28221568369274896</v>
      </c>
      <c r="S132" s="25">
        <f t="shared" si="246"/>
        <v>0.31705788861244599</v>
      </c>
      <c r="T132" s="25">
        <f t="shared" si="247"/>
        <v>0.31735231188161506</v>
      </c>
      <c r="U132" s="25">
        <f t="shared" si="248"/>
        <v>0.3551649739181244</v>
      </c>
      <c r="V132" s="25">
        <f t="shared" si="249"/>
        <v>0.28671001296763676</v>
      </c>
      <c r="W132" s="25">
        <f t="shared" si="250"/>
        <v>0.22457790361025465</v>
      </c>
      <c r="X132" s="36"/>
      <c r="Y132" s="36"/>
      <c r="AA132" s="124">
        <f t="shared" si="321"/>
        <v>89</v>
      </c>
      <c r="AB132" s="128">
        <f t="shared" si="251"/>
        <v>122740.88300717052</v>
      </c>
      <c r="AC132" s="124">
        <f t="shared" si="322"/>
        <v>89</v>
      </c>
      <c r="AD132" s="130">
        <f t="shared" si="323"/>
        <v>4.2500000000000003E-2</v>
      </c>
      <c r="AE132" s="127">
        <f t="shared" si="324"/>
        <v>1310</v>
      </c>
      <c r="AF132" s="128">
        <f t="shared" si="325"/>
        <v>130873.5</v>
      </c>
      <c r="AG132" s="128">
        <f t="shared" si="348"/>
        <v>131000</v>
      </c>
      <c r="AH132" s="128">
        <f t="shared" si="357"/>
        <v>131000</v>
      </c>
      <c r="AI132" s="130">
        <f t="shared" si="252"/>
        <v>4.2500000000000003E-2</v>
      </c>
      <c r="AJ132" s="128">
        <f t="shared" si="253"/>
        <v>131463.95833333334</v>
      </c>
      <c r="AK132" s="128" t="str">
        <f t="shared" si="254"/>
        <v>nie</v>
      </c>
      <c r="AL132" s="128">
        <f t="shared" si="255"/>
        <v>655</v>
      </c>
      <c r="AM132" s="128">
        <f t="shared" si="361"/>
        <v>130845.25625000001</v>
      </c>
      <c r="AN132" s="128">
        <f t="shared" si="256"/>
        <v>375.80625000000788</v>
      </c>
      <c r="AO132" s="130">
        <f t="shared" si="257"/>
        <v>4.2500000000000003E-2</v>
      </c>
      <c r="AP132" s="128">
        <f t="shared" si="258"/>
        <v>1959.2383538705824</v>
      </c>
      <c r="AQ132" s="128">
        <f t="shared" si="362"/>
        <v>132428.68835387059</v>
      </c>
      <c r="AS132" s="124">
        <f t="shared" si="327"/>
        <v>89</v>
      </c>
      <c r="AT132" s="130">
        <f t="shared" si="328"/>
        <v>4.2500000000000003E-2</v>
      </c>
      <c r="AU132" s="127">
        <f t="shared" si="329"/>
        <v>1252</v>
      </c>
      <c r="AV132" s="128">
        <f t="shared" si="330"/>
        <v>125083.40000000001</v>
      </c>
      <c r="AW132" s="128">
        <f t="shared" si="363"/>
        <v>125200</v>
      </c>
      <c r="AX132" s="128">
        <f t="shared" si="358"/>
        <v>125200</v>
      </c>
      <c r="AY132" s="130">
        <f t="shared" si="259"/>
        <v>4.4000000000000004E-2</v>
      </c>
      <c r="AZ132" s="128">
        <f t="shared" si="260"/>
        <v>125659.06666666667</v>
      </c>
      <c r="BA132" s="128" t="str">
        <f t="shared" si="261"/>
        <v>nie</v>
      </c>
      <c r="BB132" s="128">
        <f t="shared" si="262"/>
        <v>876.4</v>
      </c>
      <c r="BC132" s="128">
        <f t="shared" ref="BC132:BC187" si="367">AZ132-BB132
-(AZ132-AW132-BB132)*podatek_Belki</f>
        <v>124861.96</v>
      </c>
      <c r="BD132" s="128">
        <f t="shared" si="263"/>
        <v>371.84399999999926</v>
      </c>
      <c r="BE132" s="130">
        <f t="shared" si="264"/>
        <v>4.2500000000000003E-2</v>
      </c>
      <c r="BF132" s="128">
        <f t="shared" si="265"/>
        <v>6570.3006810196857</v>
      </c>
      <c r="BG132" s="128">
        <f t="shared" ref="BG132:BG187" si="368">BF131*(1+BE132/12*(1-podatek_Belki))+BC132</f>
        <v>131060.41668101969</v>
      </c>
      <c r="BI132" s="124">
        <f t="shared" si="332"/>
        <v>89</v>
      </c>
      <c r="BJ132" s="130">
        <f t="shared" si="354"/>
        <v>4.1300000000000003E-2</v>
      </c>
      <c r="BK132" s="127">
        <f t="shared" si="333"/>
        <v>1252</v>
      </c>
      <c r="BL132" s="128">
        <f t="shared" si="334"/>
        <v>125074.8</v>
      </c>
      <c r="BM132" s="128">
        <f t="shared" si="349"/>
        <v>125200</v>
      </c>
      <c r="BN132" s="128">
        <f t="shared" si="335"/>
        <v>131021.8</v>
      </c>
      <c r="BO132" s="130">
        <f t="shared" si="266"/>
        <v>4.65E-2</v>
      </c>
      <c r="BP132" s="128">
        <f t="shared" si="267"/>
        <v>133560.34737499998</v>
      </c>
      <c r="BQ132" s="128" t="str">
        <f t="shared" si="268"/>
        <v>nie</v>
      </c>
      <c r="BR132" s="128">
        <f t="shared" si="269"/>
        <v>1252</v>
      </c>
      <c r="BS132" s="128">
        <f t="shared" si="364"/>
        <v>130957.76137374999</v>
      </c>
      <c r="BT132" s="128">
        <f t="shared" si="356"/>
        <v>0</v>
      </c>
      <c r="BU132" s="130">
        <f t="shared" si="270"/>
        <v>4.2500000000000003E-2</v>
      </c>
      <c r="BV132" s="128">
        <f t="shared" si="271"/>
        <v>122.06443910907777</v>
      </c>
      <c r="BW132" s="128">
        <f t="shared" si="365"/>
        <v>131079.82581285908</v>
      </c>
      <c r="BY132" s="130">
        <f t="shared" si="360"/>
        <v>2.8000000000000001E-2</v>
      </c>
      <c r="BZ132" s="127">
        <f t="shared" si="337"/>
        <v>1154</v>
      </c>
      <c r="CA132" s="128">
        <f t="shared" si="338"/>
        <v>115296.5</v>
      </c>
      <c r="CB132" s="128">
        <f t="shared" si="366"/>
        <v>115400</v>
      </c>
      <c r="CC132" s="128">
        <f t="shared" si="359"/>
        <v>115400</v>
      </c>
      <c r="CD132" s="130">
        <f t="shared" si="272"/>
        <v>4.2999999999999997E-2</v>
      </c>
      <c r="CE132" s="128">
        <f t="shared" si="273"/>
        <v>117467.58333333333</v>
      </c>
      <c r="CF132" s="128" t="str">
        <f t="shared" si="274"/>
        <v>nie</v>
      </c>
      <c r="CG132" s="128">
        <f t="shared" si="275"/>
        <v>2308</v>
      </c>
      <c r="CH132" s="128">
        <f t="shared" ref="CH132:CH187" si="369">CE132-CG132
-(CE132-CB132-CG132)*podatek_Belki</f>
        <v>115205.2625</v>
      </c>
      <c r="CI132" s="128">
        <f t="shared" si="276"/>
        <v>0</v>
      </c>
      <c r="CJ132" s="130">
        <f t="shared" si="277"/>
        <v>4.2500000000000003E-2</v>
      </c>
      <c r="CK132" s="128">
        <f t="shared" si="278"/>
        <v>13389.555780246747</v>
      </c>
      <c r="CL132" s="128">
        <f t="shared" si="279"/>
        <v>128594.81828024675</v>
      </c>
      <c r="CN132" s="127">
        <f t="shared" si="340"/>
        <v>1000</v>
      </c>
      <c r="CO132" s="128">
        <f t="shared" si="341"/>
        <v>100000</v>
      </c>
      <c r="CP132" s="128">
        <f t="shared" si="342"/>
        <v>100000</v>
      </c>
      <c r="CQ132" s="128">
        <f t="shared" si="343"/>
        <v>139904.47757028849</v>
      </c>
      <c r="CR132" s="130">
        <f t="shared" si="280"/>
        <v>4.8000000000000001E-2</v>
      </c>
      <c r="CS132" s="128">
        <f t="shared" si="281"/>
        <v>142702.56712169427</v>
      </c>
      <c r="CT132" s="128" t="str">
        <f t="shared" si="282"/>
        <v>nie</v>
      </c>
      <c r="CU132" s="128">
        <f t="shared" si="283"/>
        <v>3000</v>
      </c>
      <c r="CV132" s="128">
        <f t="shared" si="284"/>
        <v>132159.07936857236</v>
      </c>
      <c r="CW132" s="128">
        <f t="shared" si="285"/>
        <v>0</v>
      </c>
      <c r="CX132" s="130">
        <f t="shared" si="286"/>
        <v>4.2500000000000003E-2</v>
      </c>
      <c r="CY132" s="128">
        <f t="shared" si="287"/>
        <v>0</v>
      </c>
      <c r="CZ132" s="128">
        <f t="shared" si="288"/>
        <v>132159.07936857236</v>
      </c>
      <c r="DA132" s="20"/>
      <c r="DB132" s="127">
        <f t="shared" si="350"/>
        <v>1267</v>
      </c>
      <c r="DC132" s="128">
        <f t="shared" si="351"/>
        <v>126700</v>
      </c>
      <c r="DD132" s="128">
        <f t="shared" si="344"/>
        <v>126700</v>
      </c>
      <c r="DE132" s="128">
        <f t="shared" si="345"/>
        <v>133288.4</v>
      </c>
      <c r="DF132" s="130">
        <f t="shared" si="289"/>
        <v>4.8000000000000001E-2</v>
      </c>
      <c r="DG132" s="128">
        <f t="shared" si="290"/>
        <v>135954.16800000001</v>
      </c>
      <c r="DH132" s="128" t="str">
        <f t="shared" si="291"/>
        <v>nie</v>
      </c>
      <c r="DI132" s="128">
        <f t="shared" si="292"/>
        <v>2534</v>
      </c>
      <c r="DJ132" s="128">
        <f t="shared" si="355"/>
        <v>132143.33608000001</v>
      </c>
      <c r="DK132" s="128">
        <f t="shared" si="294"/>
        <v>0</v>
      </c>
      <c r="DL132" s="130">
        <f t="shared" si="295"/>
        <v>4.2500000000000003E-2</v>
      </c>
      <c r="DM132" s="128">
        <f t="shared" si="296"/>
        <v>23.817655608941873</v>
      </c>
      <c r="DN132" s="128">
        <f t="shared" si="297"/>
        <v>132167.15373560894</v>
      </c>
      <c r="DP132" s="127">
        <f t="shared" si="352"/>
        <v>1000</v>
      </c>
      <c r="DQ132" s="128">
        <f t="shared" si="353"/>
        <v>100000</v>
      </c>
      <c r="DR132" s="128">
        <f t="shared" si="346"/>
        <v>100000</v>
      </c>
      <c r="DS132" s="128">
        <f t="shared" si="347"/>
        <v>144298.25841226292</v>
      </c>
      <c r="DT132" s="130">
        <f t="shared" si="298"/>
        <v>5.3000000000000005E-2</v>
      </c>
      <c r="DU132" s="128">
        <f t="shared" si="299"/>
        <v>147484.84495220036</v>
      </c>
      <c r="DV132" s="128" t="str">
        <f t="shared" si="300"/>
        <v>nie</v>
      </c>
      <c r="DW132" s="128">
        <f t="shared" si="301"/>
        <v>3000</v>
      </c>
      <c r="DX132" s="128">
        <f t="shared" si="302"/>
        <v>136032.72441128228</v>
      </c>
      <c r="DY132" s="128">
        <f t="shared" si="303"/>
        <v>0</v>
      </c>
      <c r="DZ132" s="130">
        <f t="shared" si="304"/>
        <v>4.2500000000000003E-2</v>
      </c>
      <c r="EA132" s="128">
        <f t="shared" si="305"/>
        <v>0</v>
      </c>
      <c r="EB132" s="128">
        <f t="shared" si="306"/>
        <v>136032.72441128228</v>
      </c>
    </row>
    <row r="133" spans="1:132">
      <c r="A133" s="224"/>
      <c r="B133" s="188">
        <f t="shared" si="307"/>
        <v>89</v>
      </c>
      <c r="C133" s="128">
        <f t="shared" si="308"/>
        <v>132428.68835387059</v>
      </c>
      <c r="D133" s="128">
        <f t="shared" si="309"/>
        <v>131060.41668101969</v>
      </c>
      <c r="E133" s="128">
        <f t="shared" si="310"/>
        <v>131079.82581285908</v>
      </c>
      <c r="F133" s="128">
        <f t="shared" si="311"/>
        <v>128594.81828024675</v>
      </c>
      <c r="G133" s="128">
        <f t="shared" si="312"/>
        <v>132159.07936857236</v>
      </c>
      <c r="H133" s="128">
        <f t="shared" si="313"/>
        <v>132167.15373560894</v>
      </c>
      <c r="I133" s="128">
        <f t="shared" si="314"/>
        <v>136032.72441128228</v>
      </c>
      <c r="J133" s="128">
        <f t="shared" si="315"/>
        <v>129040.12623173375</v>
      </c>
      <c r="K133" s="128">
        <f t="shared" si="316"/>
        <v>122740.88300717052</v>
      </c>
      <c r="M133" s="36"/>
      <c r="N133" s="32">
        <f t="shared" si="317"/>
        <v>89</v>
      </c>
      <c r="O133" s="25">
        <f t="shared" si="318"/>
        <v>0.32428688353870583</v>
      </c>
      <c r="P133" s="25">
        <f t="shared" si="319"/>
        <v>0.31060416681019687</v>
      </c>
      <c r="Q133" s="25">
        <f t="shared" si="320"/>
        <v>0.31079825812859085</v>
      </c>
      <c r="R133" s="25">
        <f t="shared" si="245"/>
        <v>0.28594818280246748</v>
      </c>
      <c r="S133" s="25">
        <f t="shared" si="246"/>
        <v>0.32159079368572363</v>
      </c>
      <c r="T133" s="25">
        <f t="shared" si="247"/>
        <v>0.32167153735608944</v>
      </c>
      <c r="U133" s="25">
        <f t="shared" si="248"/>
        <v>0.36032724411282291</v>
      </c>
      <c r="V133" s="25">
        <f t="shared" si="249"/>
        <v>0.29040126231733754</v>
      </c>
      <c r="W133" s="25">
        <f t="shared" si="250"/>
        <v>0.2274088300717052</v>
      </c>
      <c r="X133" s="36"/>
      <c r="Y133" s="36"/>
      <c r="AA133" s="124">
        <f t="shared" si="321"/>
        <v>90</v>
      </c>
      <c r="AB133" s="128">
        <f t="shared" si="251"/>
        <v>123023.97565331555</v>
      </c>
      <c r="AC133" s="124">
        <f t="shared" si="322"/>
        <v>90</v>
      </c>
      <c r="AD133" s="130">
        <f t="shared" si="323"/>
        <v>4.2500000000000003E-2</v>
      </c>
      <c r="AE133" s="127">
        <f t="shared" si="324"/>
        <v>1310</v>
      </c>
      <c r="AF133" s="128">
        <f t="shared" si="325"/>
        <v>130873.5</v>
      </c>
      <c r="AG133" s="128">
        <f t="shared" si="348"/>
        <v>131000</v>
      </c>
      <c r="AH133" s="128">
        <f t="shared" si="357"/>
        <v>131000</v>
      </c>
      <c r="AI133" s="130">
        <f t="shared" si="252"/>
        <v>4.2500000000000003E-2</v>
      </c>
      <c r="AJ133" s="128">
        <f t="shared" si="253"/>
        <v>131463.95833333334</v>
      </c>
      <c r="AK133" s="128" t="str">
        <f t="shared" si="254"/>
        <v>nie</v>
      </c>
      <c r="AL133" s="128">
        <f t="shared" si="255"/>
        <v>655</v>
      </c>
      <c r="AM133" s="128">
        <f t="shared" si="361"/>
        <v>130845.25625000001</v>
      </c>
      <c r="AN133" s="128">
        <f t="shared" si="256"/>
        <v>375.80625000000788</v>
      </c>
      <c r="AO133" s="130">
        <f t="shared" si="257"/>
        <v>4.2500000000000003E-2</v>
      </c>
      <c r="AP133" s="128">
        <f t="shared" si="258"/>
        <v>2340.6651688982565</v>
      </c>
      <c r="AQ133" s="128">
        <f t="shared" si="362"/>
        <v>132810.11516889825</v>
      </c>
      <c r="AS133" s="124">
        <f t="shared" si="327"/>
        <v>90</v>
      </c>
      <c r="AT133" s="130">
        <f t="shared" si="328"/>
        <v>4.2500000000000003E-2</v>
      </c>
      <c r="AU133" s="127">
        <f t="shared" si="329"/>
        <v>1252</v>
      </c>
      <c r="AV133" s="128">
        <f t="shared" si="330"/>
        <v>125083.40000000001</v>
      </c>
      <c r="AW133" s="128">
        <f t="shared" si="363"/>
        <v>125200</v>
      </c>
      <c r="AX133" s="128">
        <f t="shared" si="358"/>
        <v>125200</v>
      </c>
      <c r="AY133" s="130">
        <f t="shared" si="259"/>
        <v>4.4000000000000004E-2</v>
      </c>
      <c r="AZ133" s="128">
        <f t="shared" si="260"/>
        <v>125659.06666666667</v>
      </c>
      <c r="BA133" s="128" t="str">
        <f t="shared" si="261"/>
        <v>nie</v>
      </c>
      <c r="BB133" s="128">
        <f t="shared" si="262"/>
        <v>876.4</v>
      </c>
      <c r="BC133" s="128">
        <f t="shared" si="367"/>
        <v>124861.96</v>
      </c>
      <c r="BD133" s="128">
        <f t="shared" si="263"/>
        <v>371.84399999999926</v>
      </c>
      <c r="BE133" s="130">
        <f t="shared" si="264"/>
        <v>4.2500000000000003E-2</v>
      </c>
      <c r="BF133" s="128">
        <f t="shared" si="265"/>
        <v>6960.9932310983595</v>
      </c>
      <c r="BG133" s="128">
        <f t="shared" si="368"/>
        <v>131451.10923109838</v>
      </c>
      <c r="BI133" s="124">
        <f t="shared" si="332"/>
        <v>90</v>
      </c>
      <c r="BJ133" s="130">
        <f t="shared" si="354"/>
        <v>4.1300000000000003E-2</v>
      </c>
      <c r="BK133" s="127">
        <f t="shared" si="333"/>
        <v>1252</v>
      </c>
      <c r="BL133" s="128">
        <f t="shared" si="334"/>
        <v>125074.8</v>
      </c>
      <c r="BM133" s="128">
        <f t="shared" si="349"/>
        <v>125200</v>
      </c>
      <c r="BN133" s="128">
        <f t="shared" si="335"/>
        <v>131021.8</v>
      </c>
      <c r="BO133" s="130">
        <f t="shared" si="266"/>
        <v>4.65E-2</v>
      </c>
      <c r="BP133" s="128">
        <f t="shared" si="267"/>
        <v>134068.05684999999</v>
      </c>
      <c r="BQ133" s="128" t="str">
        <f t="shared" si="268"/>
        <v>nie</v>
      </c>
      <c r="BR133" s="128">
        <f t="shared" si="269"/>
        <v>1252</v>
      </c>
      <c r="BS133" s="128">
        <f t="shared" si="364"/>
        <v>131369.00604849998</v>
      </c>
      <c r="BT133" s="128">
        <f t="shared" si="356"/>
        <v>0</v>
      </c>
      <c r="BU133" s="130">
        <f t="shared" si="270"/>
        <v>4.2500000000000003E-2</v>
      </c>
      <c r="BV133" s="128">
        <f t="shared" si="271"/>
        <v>122.41461146877194</v>
      </c>
      <c r="BW133" s="128">
        <f t="shared" si="365"/>
        <v>131491.42065996875</v>
      </c>
      <c r="BY133" s="130">
        <f t="shared" si="360"/>
        <v>2.8000000000000001E-2</v>
      </c>
      <c r="BZ133" s="127">
        <f t="shared" si="337"/>
        <v>1154</v>
      </c>
      <c r="CA133" s="128">
        <f t="shared" si="338"/>
        <v>115296.5</v>
      </c>
      <c r="CB133" s="128">
        <f t="shared" si="366"/>
        <v>115400</v>
      </c>
      <c r="CC133" s="128">
        <f t="shared" si="359"/>
        <v>115400</v>
      </c>
      <c r="CD133" s="130">
        <f t="shared" si="272"/>
        <v>4.2999999999999997E-2</v>
      </c>
      <c r="CE133" s="128">
        <f t="shared" si="273"/>
        <v>117881.1</v>
      </c>
      <c r="CF133" s="128" t="str">
        <f t="shared" si="274"/>
        <v>nie</v>
      </c>
      <c r="CG133" s="128">
        <f t="shared" si="275"/>
        <v>2308</v>
      </c>
      <c r="CH133" s="128">
        <f t="shared" si="369"/>
        <v>115540.21100000001</v>
      </c>
      <c r="CI133" s="128">
        <f t="shared" si="276"/>
        <v>0</v>
      </c>
      <c r="CJ133" s="130">
        <f t="shared" si="277"/>
        <v>4.2500000000000003E-2</v>
      </c>
      <c r="CK133" s="128">
        <f t="shared" si="278"/>
        <v>13427.967068391328</v>
      </c>
      <c r="CL133" s="128">
        <f t="shared" si="279"/>
        <v>128968.17806839134</v>
      </c>
      <c r="CN133" s="127">
        <f t="shared" si="340"/>
        <v>1000</v>
      </c>
      <c r="CO133" s="128">
        <f t="shared" si="341"/>
        <v>100000</v>
      </c>
      <c r="CP133" s="128">
        <f t="shared" si="342"/>
        <v>100000</v>
      </c>
      <c r="CQ133" s="128">
        <f t="shared" si="343"/>
        <v>139904.47757028849</v>
      </c>
      <c r="CR133" s="130">
        <f t="shared" si="280"/>
        <v>4.8000000000000001E-2</v>
      </c>
      <c r="CS133" s="128">
        <f t="shared" si="281"/>
        <v>143262.18503197542</v>
      </c>
      <c r="CT133" s="128" t="str">
        <f t="shared" si="282"/>
        <v>nie</v>
      </c>
      <c r="CU133" s="128">
        <f t="shared" si="283"/>
        <v>3000</v>
      </c>
      <c r="CV133" s="128">
        <f t="shared" si="284"/>
        <v>132612.3698759001</v>
      </c>
      <c r="CW133" s="128">
        <f t="shared" si="285"/>
        <v>0</v>
      </c>
      <c r="CX133" s="130">
        <f t="shared" si="286"/>
        <v>4.2500000000000003E-2</v>
      </c>
      <c r="CY133" s="128">
        <f t="shared" si="287"/>
        <v>0</v>
      </c>
      <c r="CZ133" s="128">
        <f t="shared" si="288"/>
        <v>132612.3698759001</v>
      </c>
      <c r="DA133" s="20"/>
      <c r="DB133" s="127">
        <f t="shared" si="350"/>
        <v>1267</v>
      </c>
      <c r="DC133" s="128">
        <f t="shared" si="351"/>
        <v>126700</v>
      </c>
      <c r="DD133" s="128">
        <f t="shared" si="344"/>
        <v>126700</v>
      </c>
      <c r="DE133" s="128">
        <f t="shared" si="345"/>
        <v>133288.4</v>
      </c>
      <c r="DF133" s="130">
        <f t="shared" si="289"/>
        <v>4.8000000000000001E-2</v>
      </c>
      <c r="DG133" s="128">
        <f t="shared" si="290"/>
        <v>136487.3216</v>
      </c>
      <c r="DH133" s="128" t="str">
        <f t="shared" si="291"/>
        <v>nie</v>
      </c>
      <c r="DI133" s="128">
        <f t="shared" si="292"/>
        <v>2534</v>
      </c>
      <c r="DJ133" s="128">
        <f t="shared" si="355"/>
        <v>132575.190496</v>
      </c>
      <c r="DK133" s="128">
        <f t="shared" si="294"/>
        <v>0</v>
      </c>
      <c r="DL133" s="130">
        <f t="shared" si="295"/>
        <v>4.2500000000000003E-2</v>
      </c>
      <c r="DM133" s="128">
        <f t="shared" si="296"/>
        <v>23.885982508470025</v>
      </c>
      <c r="DN133" s="128">
        <f t="shared" si="297"/>
        <v>132599.07647850848</v>
      </c>
      <c r="DP133" s="127">
        <f t="shared" si="352"/>
        <v>1000</v>
      </c>
      <c r="DQ133" s="128">
        <f t="shared" si="353"/>
        <v>100000</v>
      </c>
      <c r="DR133" s="128">
        <f t="shared" si="346"/>
        <v>100000</v>
      </c>
      <c r="DS133" s="128">
        <f t="shared" si="347"/>
        <v>144298.25841226292</v>
      </c>
      <c r="DT133" s="130">
        <f t="shared" si="298"/>
        <v>5.3000000000000005E-2</v>
      </c>
      <c r="DU133" s="128">
        <f t="shared" si="299"/>
        <v>148122.16226018788</v>
      </c>
      <c r="DV133" s="128" t="str">
        <f t="shared" si="300"/>
        <v>nie</v>
      </c>
      <c r="DW133" s="128">
        <f t="shared" si="301"/>
        <v>3000</v>
      </c>
      <c r="DX133" s="128">
        <f t="shared" si="302"/>
        <v>136548.95143075217</v>
      </c>
      <c r="DY133" s="128">
        <f t="shared" si="303"/>
        <v>0</v>
      </c>
      <c r="DZ133" s="130">
        <f t="shared" si="304"/>
        <v>4.2500000000000003E-2</v>
      </c>
      <c r="EA133" s="128">
        <f t="shared" si="305"/>
        <v>0</v>
      </c>
      <c r="EB133" s="128">
        <f t="shared" si="306"/>
        <v>136548.95143075217</v>
      </c>
    </row>
    <row r="134" spans="1:132">
      <c r="A134" s="224"/>
      <c r="B134" s="188">
        <f t="shared" si="307"/>
        <v>90</v>
      </c>
      <c r="C134" s="128">
        <f t="shared" si="308"/>
        <v>132810.11516889825</v>
      </c>
      <c r="D134" s="128">
        <f t="shared" si="309"/>
        <v>131451.10923109838</v>
      </c>
      <c r="E134" s="128">
        <f t="shared" si="310"/>
        <v>131491.42065996875</v>
      </c>
      <c r="F134" s="128">
        <f t="shared" si="311"/>
        <v>128968.17806839134</v>
      </c>
      <c r="G134" s="128">
        <f t="shared" si="312"/>
        <v>132612.3698759001</v>
      </c>
      <c r="H134" s="128">
        <f t="shared" si="313"/>
        <v>132599.07647850848</v>
      </c>
      <c r="I134" s="128">
        <f t="shared" si="314"/>
        <v>136548.95143075217</v>
      </c>
      <c r="J134" s="128">
        <f t="shared" si="315"/>
        <v>129410.31009386103</v>
      </c>
      <c r="K134" s="128">
        <f t="shared" si="316"/>
        <v>123023.97565331555</v>
      </c>
      <c r="M134" s="36"/>
      <c r="N134" s="32">
        <f t="shared" si="317"/>
        <v>90</v>
      </c>
      <c r="O134" s="25">
        <f t="shared" si="318"/>
        <v>0.32810115168898246</v>
      </c>
      <c r="P134" s="25">
        <f t="shared" si="319"/>
        <v>0.31451109231098373</v>
      </c>
      <c r="Q134" s="25">
        <f t="shared" si="320"/>
        <v>0.3149142065996875</v>
      </c>
      <c r="R134" s="25">
        <f t="shared" si="245"/>
        <v>0.28968178068391337</v>
      </c>
      <c r="S134" s="25">
        <f t="shared" si="246"/>
        <v>0.32612369875900105</v>
      </c>
      <c r="T134" s="25">
        <f t="shared" si="247"/>
        <v>0.32599076478508482</v>
      </c>
      <c r="U134" s="25">
        <f t="shared" si="248"/>
        <v>0.36548951430752186</v>
      </c>
      <c r="V134" s="25">
        <f t="shared" si="249"/>
        <v>0.29410310093861036</v>
      </c>
      <c r="W134" s="25">
        <f t="shared" si="250"/>
        <v>0.23023975653315554</v>
      </c>
      <c r="X134" s="36"/>
      <c r="Y134" s="36"/>
      <c r="AA134" s="124">
        <f t="shared" si="321"/>
        <v>91</v>
      </c>
      <c r="AB134" s="128">
        <f t="shared" si="251"/>
        <v>123307.06829946059</v>
      </c>
      <c r="AC134" s="124">
        <f t="shared" si="322"/>
        <v>91</v>
      </c>
      <c r="AD134" s="130">
        <f t="shared" si="323"/>
        <v>4.2500000000000003E-2</v>
      </c>
      <c r="AE134" s="127">
        <f t="shared" si="324"/>
        <v>1310</v>
      </c>
      <c r="AF134" s="128">
        <f t="shared" si="325"/>
        <v>130873.5</v>
      </c>
      <c r="AG134" s="128">
        <f t="shared" si="348"/>
        <v>131000</v>
      </c>
      <c r="AH134" s="128">
        <f t="shared" si="357"/>
        <v>131000</v>
      </c>
      <c r="AI134" s="130">
        <f t="shared" si="252"/>
        <v>4.2500000000000003E-2</v>
      </c>
      <c r="AJ134" s="128">
        <f t="shared" si="253"/>
        <v>131463.95833333334</v>
      </c>
      <c r="AK134" s="128" t="str">
        <f t="shared" si="254"/>
        <v>nie</v>
      </c>
      <c r="AL134" s="128">
        <f t="shared" si="255"/>
        <v>655</v>
      </c>
      <c r="AM134" s="128">
        <f t="shared" si="361"/>
        <v>130845.25625000001</v>
      </c>
      <c r="AN134" s="128">
        <f t="shared" si="256"/>
        <v>375.80625000000788</v>
      </c>
      <c r="AO134" s="130">
        <f t="shared" si="257"/>
        <v>4.2500000000000003E-2</v>
      </c>
      <c r="AP134" s="128">
        <f t="shared" si="258"/>
        <v>2723.1862021015413</v>
      </c>
      <c r="AQ134" s="128">
        <f t="shared" si="362"/>
        <v>133192.63620210154</v>
      </c>
      <c r="AS134" s="124">
        <f t="shared" si="327"/>
        <v>91</v>
      </c>
      <c r="AT134" s="130">
        <f t="shared" si="328"/>
        <v>4.2500000000000003E-2</v>
      </c>
      <c r="AU134" s="127">
        <f t="shared" si="329"/>
        <v>1252</v>
      </c>
      <c r="AV134" s="128">
        <f t="shared" si="330"/>
        <v>125083.40000000001</v>
      </c>
      <c r="AW134" s="128">
        <f t="shared" si="363"/>
        <v>125200</v>
      </c>
      <c r="AX134" s="128">
        <f t="shared" si="358"/>
        <v>125200</v>
      </c>
      <c r="AY134" s="130">
        <f t="shared" si="259"/>
        <v>4.4000000000000004E-2</v>
      </c>
      <c r="AZ134" s="128">
        <f t="shared" si="260"/>
        <v>125659.06666666667</v>
      </c>
      <c r="BA134" s="128" t="str">
        <f t="shared" si="261"/>
        <v>nie</v>
      </c>
      <c r="BB134" s="128">
        <f t="shared" si="262"/>
        <v>876.4</v>
      </c>
      <c r="BC134" s="128">
        <f t="shared" si="367"/>
        <v>124861.96</v>
      </c>
      <c r="BD134" s="128">
        <f t="shared" si="263"/>
        <v>371.84399999999926</v>
      </c>
      <c r="BE134" s="130">
        <f t="shared" si="264"/>
        <v>4.2500000000000003E-2</v>
      </c>
      <c r="BF134" s="128">
        <f t="shared" si="265"/>
        <v>7352.8065804300722</v>
      </c>
      <c r="BG134" s="128">
        <f t="shared" si="368"/>
        <v>131842.92258043008</v>
      </c>
      <c r="BI134" s="124">
        <f t="shared" si="332"/>
        <v>91</v>
      </c>
      <c r="BJ134" s="130">
        <f t="shared" si="354"/>
        <v>4.1300000000000003E-2</v>
      </c>
      <c r="BK134" s="127">
        <f t="shared" si="333"/>
        <v>1252</v>
      </c>
      <c r="BL134" s="128">
        <f t="shared" si="334"/>
        <v>125074.8</v>
      </c>
      <c r="BM134" s="128">
        <f t="shared" si="349"/>
        <v>125200</v>
      </c>
      <c r="BN134" s="128">
        <f t="shared" si="335"/>
        <v>131021.8</v>
      </c>
      <c r="BO134" s="130">
        <f t="shared" si="266"/>
        <v>4.65E-2</v>
      </c>
      <c r="BP134" s="128">
        <f t="shared" si="267"/>
        <v>134575.766325</v>
      </c>
      <c r="BQ134" s="128" t="str">
        <f t="shared" si="268"/>
        <v>nie</v>
      </c>
      <c r="BR134" s="128">
        <f t="shared" si="269"/>
        <v>1252</v>
      </c>
      <c r="BS134" s="128">
        <f t="shared" si="364"/>
        <v>131780.25072325001</v>
      </c>
      <c r="BT134" s="128">
        <f t="shared" si="356"/>
        <v>0</v>
      </c>
      <c r="BU134" s="130">
        <f t="shared" si="270"/>
        <v>4.2500000000000003E-2</v>
      </c>
      <c r="BV134" s="128">
        <f t="shared" si="271"/>
        <v>122.76578838542298</v>
      </c>
      <c r="BW134" s="128">
        <f t="shared" si="365"/>
        <v>131903.01651163542</v>
      </c>
      <c r="BY134" s="130">
        <f t="shared" si="360"/>
        <v>2.8000000000000001E-2</v>
      </c>
      <c r="BZ134" s="127">
        <f t="shared" si="337"/>
        <v>1154</v>
      </c>
      <c r="CA134" s="128">
        <f t="shared" si="338"/>
        <v>115296.5</v>
      </c>
      <c r="CB134" s="128">
        <f t="shared" si="366"/>
        <v>115400</v>
      </c>
      <c r="CC134" s="128">
        <f t="shared" si="359"/>
        <v>115400</v>
      </c>
      <c r="CD134" s="130">
        <f t="shared" si="272"/>
        <v>4.2999999999999997E-2</v>
      </c>
      <c r="CE134" s="128">
        <f t="shared" si="273"/>
        <v>118294.61666666667</v>
      </c>
      <c r="CF134" s="128" t="str">
        <f t="shared" si="274"/>
        <v>nie</v>
      </c>
      <c r="CG134" s="128">
        <f t="shared" si="275"/>
        <v>2308</v>
      </c>
      <c r="CH134" s="128">
        <f t="shared" si="369"/>
        <v>115875.15950000001</v>
      </c>
      <c r="CI134" s="128">
        <f t="shared" si="276"/>
        <v>0</v>
      </c>
      <c r="CJ134" s="130">
        <f t="shared" si="277"/>
        <v>4.2500000000000003E-2</v>
      </c>
      <c r="CK134" s="128">
        <f t="shared" si="278"/>
        <v>13466.488548918776</v>
      </c>
      <c r="CL134" s="128">
        <f t="shared" si="279"/>
        <v>129341.64804891878</v>
      </c>
      <c r="CN134" s="127">
        <f t="shared" si="340"/>
        <v>1000</v>
      </c>
      <c r="CO134" s="128">
        <f t="shared" si="341"/>
        <v>100000</v>
      </c>
      <c r="CP134" s="128">
        <f t="shared" si="342"/>
        <v>100000</v>
      </c>
      <c r="CQ134" s="128">
        <f t="shared" si="343"/>
        <v>139904.47757028849</v>
      </c>
      <c r="CR134" s="130">
        <f t="shared" si="280"/>
        <v>4.8000000000000001E-2</v>
      </c>
      <c r="CS134" s="128">
        <f t="shared" si="281"/>
        <v>143821.80294225659</v>
      </c>
      <c r="CT134" s="128" t="str">
        <f t="shared" si="282"/>
        <v>nie</v>
      </c>
      <c r="CU134" s="128">
        <f t="shared" si="283"/>
        <v>3000</v>
      </c>
      <c r="CV134" s="128">
        <f t="shared" si="284"/>
        <v>133065.66038322783</v>
      </c>
      <c r="CW134" s="128">
        <f t="shared" si="285"/>
        <v>0</v>
      </c>
      <c r="CX134" s="130">
        <f t="shared" si="286"/>
        <v>4.2500000000000003E-2</v>
      </c>
      <c r="CY134" s="128">
        <f t="shared" si="287"/>
        <v>0</v>
      </c>
      <c r="CZ134" s="128">
        <f t="shared" si="288"/>
        <v>133065.66038322783</v>
      </c>
      <c r="DA134" s="20"/>
      <c r="DB134" s="127">
        <f t="shared" si="350"/>
        <v>1267</v>
      </c>
      <c r="DC134" s="128">
        <f t="shared" si="351"/>
        <v>126700</v>
      </c>
      <c r="DD134" s="128">
        <f t="shared" si="344"/>
        <v>126700</v>
      </c>
      <c r="DE134" s="128">
        <f t="shared" si="345"/>
        <v>133288.4</v>
      </c>
      <c r="DF134" s="130">
        <f t="shared" si="289"/>
        <v>4.8000000000000001E-2</v>
      </c>
      <c r="DG134" s="128">
        <f t="shared" si="290"/>
        <v>137020.47519999999</v>
      </c>
      <c r="DH134" s="128" t="str">
        <f t="shared" si="291"/>
        <v>nie</v>
      </c>
      <c r="DI134" s="128">
        <f t="shared" si="292"/>
        <v>2534</v>
      </c>
      <c r="DJ134" s="128">
        <f t="shared" si="355"/>
        <v>133007.04491199998</v>
      </c>
      <c r="DK134" s="128">
        <f t="shared" si="294"/>
        <v>0</v>
      </c>
      <c r="DL134" s="130">
        <f t="shared" si="295"/>
        <v>4.2500000000000003E-2</v>
      </c>
      <c r="DM134" s="128">
        <f t="shared" si="296"/>
        <v>23.954505420791197</v>
      </c>
      <c r="DN134" s="128">
        <f t="shared" si="297"/>
        <v>133030.99941742077</v>
      </c>
      <c r="DP134" s="127">
        <f t="shared" si="352"/>
        <v>1000</v>
      </c>
      <c r="DQ134" s="128">
        <f t="shared" si="353"/>
        <v>100000</v>
      </c>
      <c r="DR134" s="128">
        <f t="shared" si="346"/>
        <v>100000</v>
      </c>
      <c r="DS134" s="128">
        <f t="shared" si="347"/>
        <v>144298.25841226292</v>
      </c>
      <c r="DT134" s="130">
        <f t="shared" si="298"/>
        <v>5.3000000000000005E-2</v>
      </c>
      <c r="DU134" s="128">
        <f t="shared" si="299"/>
        <v>148759.47956817539</v>
      </c>
      <c r="DV134" s="128" t="str">
        <f t="shared" si="300"/>
        <v>nie</v>
      </c>
      <c r="DW134" s="128">
        <f t="shared" si="301"/>
        <v>3000</v>
      </c>
      <c r="DX134" s="128">
        <f t="shared" si="302"/>
        <v>137065.17845022207</v>
      </c>
      <c r="DY134" s="128">
        <f t="shared" si="303"/>
        <v>0</v>
      </c>
      <c r="DZ134" s="130">
        <f t="shared" si="304"/>
        <v>4.2500000000000003E-2</v>
      </c>
      <c r="EA134" s="128">
        <f t="shared" si="305"/>
        <v>0</v>
      </c>
      <c r="EB134" s="128">
        <f t="shared" si="306"/>
        <v>137065.17845022207</v>
      </c>
    </row>
    <row r="135" spans="1:132">
      <c r="A135" s="224"/>
      <c r="B135" s="188">
        <f t="shared" si="307"/>
        <v>91</v>
      </c>
      <c r="C135" s="128">
        <f t="shared" si="308"/>
        <v>133192.63620210154</v>
      </c>
      <c r="D135" s="128">
        <f t="shared" si="309"/>
        <v>131842.92258043008</v>
      </c>
      <c r="E135" s="128">
        <f t="shared" si="310"/>
        <v>131903.01651163542</v>
      </c>
      <c r="F135" s="128">
        <f t="shared" si="311"/>
        <v>129341.64804891878</v>
      </c>
      <c r="G135" s="128">
        <f t="shared" si="312"/>
        <v>133065.66038322783</v>
      </c>
      <c r="H135" s="128">
        <f t="shared" si="313"/>
        <v>133030.99941742077</v>
      </c>
      <c r="I135" s="128">
        <f t="shared" si="314"/>
        <v>137065.17845022207</v>
      </c>
      <c r="J135" s="128">
        <f t="shared" si="315"/>
        <v>129781.55592094279</v>
      </c>
      <c r="K135" s="128">
        <f t="shared" si="316"/>
        <v>123307.06829946059</v>
      </c>
      <c r="M135" s="36"/>
      <c r="N135" s="32">
        <f t="shared" si="317"/>
        <v>91</v>
      </c>
      <c r="O135" s="25">
        <f t="shared" si="318"/>
        <v>0.33192636202101533</v>
      </c>
      <c r="P135" s="25">
        <f t="shared" si="319"/>
        <v>0.31842922580430089</v>
      </c>
      <c r="Q135" s="25">
        <f t="shared" si="320"/>
        <v>0.31903016511635429</v>
      </c>
      <c r="R135" s="25">
        <f t="shared" si="245"/>
        <v>0.29341648048918789</v>
      </c>
      <c r="S135" s="25">
        <f t="shared" si="246"/>
        <v>0.33065660383227824</v>
      </c>
      <c r="T135" s="25">
        <f t="shared" si="247"/>
        <v>0.33030999417420759</v>
      </c>
      <c r="U135" s="25">
        <f t="shared" si="248"/>
        <v>0.37065178450222058</v>
      </c>
      <c r="V135" s="25">
        <f t="shared" si="249"/>
        <v>0.29781555920942782</v>
      </c>
      <c r="W135" s="25">
        <f t="shared" si="250"/>
        <v>0.23307068299460587</v>
      </c>
      <c r="X135" s="36"/>
      <c r="Y135" s="36"/>
      <c r="AA135" s="124">
        <f t="shared" si="321"/>
        <v>92</v>
      </c>
      <c r="AB135" s="128">
        <f t="shared" si="251"/>
        <v>123590.16094560562</v>
      </c>
      <c r="AC135" s="124">
        <f t="shared" si="322"/>
        <v>92</v>
      </c>
      <c r="AD135" s="130">
        <f t="shared" si="323"/>
        <v>4.2500000000000003E-2</v>
      </c>
      <c r="AE135" s="127">
        <f t="shared" si="324"/>
        <v>1310</v>
      </c>
      <c r="AF135" s="128">
        <f t="shared" si="325"/>
        <v>130873.5</v>
      </c>
      <c r="AG135" s="128">
        <f t="shared" si="348"/>
        <v>131000</v>
      </c>
      <c r="AH135" s="128">
        <f t="shared" si="357"/>
        <v>131000</v>
      </c>
      <c r="AI135" s="130">
        <f t="shared" si="252"/>
        <v>4.2500000000000003E-2</v>
      </c>
      <c r="AJ135" s="128">
        <f t="shared" si="253"/>
        <v>131463.95833333334</v>
      </c>
      <c r="AK135" s="128" t="str">
        <f t="shared" si="254"/>
        <v>nie</v>
      </c>
      <c r="AL135" s="128">
        <f t="shared" si="255"/>
        <v>655</v>
      </c>
      <c r="AM135" s="128">
        <f t="shared" si="361"/>
        <v>130845.25625000001</v>
      </c>
      <c r="AN135" s="128">
        <f t="shared" si="256"/>
        <v>375.80625000000788</v>
      </c>
      <c r="AO135" s="130">
        <f t="shared" si="257"/>
        <v>4.2500000000000003E-2</v>
      </c>
      <c r="AP135" s="128">
        <f t="shared" si="258"/>
        <v>3106.804592518828</v>
      </c>
      <c r="AQ135" s="128">
        <f t="shared" si="362"/>
        <v>133576.25459251882</v>
      </c>
      <c r="AS135" s="124">
        <f t="shared" si="327"/>
        <v>92</v>
      </c>
      <c r="AT135" s="130">
        <f t="shared" si="328"/>
        <v>4.2500000000000003E-2</v>
      </c>
      <c r="AU135" s="127">
        <f t="shared" si="329"/>
        <v>1252</v>
      </c>
      <c r="AV135" s="128">
        <f t="shared" si="330"/>
        <v>125083.40000000001</v>
      </c>
      <c r="AW135" s="128">
        <f t="shared" si="363"/>
        <v>125200</v>
      </c>
      <c r="AX135" s="128">
        <f t="shared" si="358"/>
        <v>125200</v>
      </c>
      <c r="AY135" s="130">
        <f t="shared" si="259"/>
        <v>4.4000000000000004E-2</v>
      </c>
      <c r="AZ135" s="128">
        <f t="shared" si="260"/>
        <v>125659.06666666667</v>
      </c>
      <c r="BA135" s="128" t="str">
        <f t="shared" si="261"/>
        <v>nie</v>
      </c>
      <c r="BB135" s="128">
        <f t="shared" si="262"/>
        <v>876.4</v>
      </c>
      <c r="BC135" s="128">
        <f t="shared" si="367"/>
        <v>124861.96</v>
      </c>
      <c r="BD135" s="128">
        <f t="shared" si="263"/>
        <v>371.84399999999926</v>
      </c>
      <c r="BE135" s="130">
        <f t="shared" si="264"/>
        <v>4.2500000000000003E-2</v>
      </c>
      <c r="BF135" s="128">
        <f t="shared" si="265"/>
        <v>7745.7439443076801</v>
      </c>
      <c r="BG135" s="128">
        <f t="shared" si="368"/>
        <v>132235.85994430768</v>
      </c>
      <c r="BI135" s="124">
        <f t="shared" si="332"/>
        <v>92</v>
      </c>
      <c r="BJ135" s="130">
        <f t="shared" si="354"/>
        <v>4.1300000000000003E-2</v>
      </c>
      <c r="BK135" s="127">
        <f t="shared" si="333"/>
        <v>1252</v>
      </c>
      <c r="BL135" s="128">
        <f t="shared" si="334"/>
        <v>125074.8</v>
      </c>
      <c r="BM135" s="128">
        <f t="shared" si="349"/>
        <v>125200</v>
      </c>
      <c r="BN135" s="128">
        <f t="shared" si="335"/>
        <v>131021.8</v>
      </c>
      <c r="BO135" s="130">
        <f t="shared" si="266"/>
        <v>4.65E-2</v>
      </c>
      <c r="BP135" s="128">
        <f t="shared" si="267"/>
        <v>135083.47579999999</v>
      </c>
      <c r="BQ135" s="128" t="str">
        <f t="shared" si="268"/>
        <v>nie</v>
      </c>
      <c r="BR135" s="128">
        <f t="shared" si="269"/>
        <v>1252</v>
      </c>
      <c r="BS135" s="128">
        <f t="shared" si="364"/>
        <v>132191.495398</v>
      </c>
      <c r="BT135" s="128">
        <f t="shared" si="356"/>
        <v>0</v>
      </c>
      <c r="BU135" s="130">
        <f t="shared" si="270"/>
        <v>4.2500000000000003E-2</v>
      </c>
      <c r="BV135" s="128">
        <f t="shared" si="271"/>
        <v>123.11797274085366</v>
      </c>
      <c r="BW135" s="128">
        <f t="shared" si="365"/>
        <v>132314.61337074084</v>
      </c>
      <c r="BY135" s="130">
        <f t="shared" si="360"/>
        <v>2.8000000000000001E-2</v>
      </c>
      <c r="BZ135" s="127">
        <f t="shared" si="337"/>
        <v>1154</v>
      </c>
      <c r="CA135" s="128">
        <f t="shared" si="338"/>
        <v>115296.5</v>
      </c>
      <c r="CB135" s="128">
        <f t="shared" si="366"/>
        <v>115400</v>
      </c>
      <c r="CC135" s="128">
        <f t="shared" si="359"/>
        <v>115400</v>
      </c>
      <c r="CD135" s="130">
        <f t="shared" si="272"/>
        <v>4.2999999999999997E-2</v>
      </c>
      <c r="CE135" s="128">
        <f t="shared" si="273"/>
        <v>118708.13333333333</v>
      </c>
      <c r="CF135" s="128" t="str">
        <f t="shared" si="274"/>
        <v>nie</v>
      </c>
      <c r="CG135" s="128">
        <f t="shared" si="275"/>
        <v>2308</v>
      </c>
      <c r="CH135" s="128">
        <f t="shared" si="369"/>
        <v>116210.10799999999</v>
      </c>
      <c r="CI135" s="128">
        <f t="shared" si="276"/>
        <v>0</v>
      </c>
      <c r="CJ135" s="130">
        <f t="shared" si="277"/>
        <v>4.2500000000000003E-2</v>
      </c>
      <c r="CK135" s="128">
        <f t="shared" si="278"/>
        <v>13505.120537943487</v>
      </c>
      <c r="CL135" s="128">
        <f t="shared" si="279"/>
        <v>129715.22853794348</v>
      </c>
      <c r="CN135" s="127">
        <f t="shared" si="340"/>
        <v>1000</v>
      </c>
      <c r="CO135" s="128">
        <f t="shared" si="341"/>
        <v>100000</v>
      </c>
      <c r="CP135" s="128">
        <f t="shared" si="342"/>
        <v>100000</v>
      </c>
      <c r="CQ135" s="128">
        <f t="shared" si="343"/>
        <v>139904.47757028849</v>
      </c>
      <c r="CR135" s="130">
        <f t="shared" si="280"/>
        <v>4.8000000000000001E-2</v>
      </c>
      <c r="CS135" s="128">
        <f t="shared" si="281"/>
        <v>144381.42085253773</v>
      </c>
      <c r="CT135" s="128" t="str">
        <f t="shared" si="282"/>
        <v>nie</v>
      </c>
      <c r="CU135" s="128">
        <f t="shared" si="283"/>
        <v>3000</v>
      </c>
      <c r="CV135" s="128">
        <f t="shared" si="284"/>
        <v>133518.95089055557</v>
      </c>
      <c r="CW135" s="128">
        <f t="shared" si="285"/>
        <v>0</v>
      </c>
      <c r="CX135" s="130">
        <f t="shared" si="286"/>
        <v>4.2500000000000003E-2</v>
      </c>
      <c r="CY135" s="128">
        <f t="shared" si="287"/>
        <v>0</v>
      </c>
      <c r="CZ135" s="128">
        <f t="shared" si="288"/>
        <v>133518.95089055557</v>
      </c>
      <c r="DA135" s="20"/>
      <c r="DB135" s="127">
        <f t="shared" si="350"/>
        <v>1267</v>
      </c>
      <c r="DC135" s="128">
        <f t="shared" si="351"/>
        <v>126700</v>
      </c>
      <c r="DD135" s="128">
        <f t="shared" si="344"/>
        <v>126700</v>
      </c>
      <c r="DE135" s="128">
        <f t="shared" si="345"/>
        <v>133288.4</v>
      </c>
      <c r="DF135" s="130">
        <f t="shared" si="289"/>
        <v>4.8000000000000001E-2</v>
      </c>
      <c r="DG135" s="128">
        <f t="shared" si="290"/>
        <v>137553.62880000001</v>
      </c>
      <c r="DH135" s="128" t="str">
        <f t="shared" si="291"/>
        <v>nie</v>
      </c>
      <c r="DI135" s="128">
        <f t="shared" si="292"/>
        <v>2534</v>
      </c>
      <c r="DJ135" s="128">
        <f t="shared" si="355"/>
        <v>133438.899328</v>
      </c>
      <c r="DK135" s="128">
        <f t="shared" si="294"/>
        <v>0</v>
      </c>
      <c r="DL135" s="130">
        <f t="shared" si="295"/>
        <v>4.2500000000000003E-2</v>
      </c>
      <c r="DM135" s="128">
        <f t="shared" si="296"/>
        <v>24.023224908217092</v>
      </c>
      <c r="DN135" s="128">
        <f t="shared" si="297"/>
        <v>133462.92255290822</v>
      </c>
      <c r="DP135" s="127">
        <f t="shared" si="352"/>
        <v>1000</v>
      </c>
      <c r="DQ135" s="128">
        <f t="shared" si="353"/>
        <v>100000</v>
      </c>
      <c r="DR135" s="128">
        <f t="shared" si="346"/>
        <v>100000</v>
      </c>
      <c r="DS135" s="128">
        <f t="shared" si="347"/>
        <v>144298.25841226292</v>
      </c>
      <c r="DT135" s="130">
        <f t="shared" si="298"/>
        <v>5.3000000000000005E-2</v>
      </c>
      <c r="DU135" s="128">
        <f t="shared" si="299"/>
        <v>149396.7968761629</v>
      </c>
      <c r="DV135" s="128" t="str">
        <f t="shared" si="300"/>
        <v>nie</v>
      </c>
      <c r="DW135" s="128">
        <f t="shared" si="301"/>
        <v>3000</v>
      </c>
      <c r="DX135" s="128">
        <f t="shared" si="302"/>
        <v>137581.40546969196</v>
      </c>
      <c r="DY135" s="128">
        <f t="shared" si="303"/>
        <v>0</v>
      </c>
      <c r="DZ135" s="130">
        <f t="shared" si="304"/>
        <v>4.2500000000000003E-2</v>
      </c>
      <c r="EA135" s="128">
        <f t="shared" si="305"/>
        <v>0</v>
      </c>
      <c r="EB135" s="128">
        <f t="shared" si="306"/>
        <v>137581.40546969196</v>
      </c>
    </row>
    <row r="136" spans="1:132">
      <c r="A136" s="224"/>
      <c r="B136" s="188">
        <f t="shared" si="307"/>
        <v>92</v>
      </c>
      <c r="C136" s="128">
        <f t="shared" si="308"/>
        <v>133576.25459251882</v>
      </c>
      <c r="D136" s="128">
        <f t="shared" si="309"/>
        <v>132235.85994430768</v>
      </c>
      <c r="E136" s="128">
        <f t="shared" si="310"/>
        <v>132314.61337074084</v>
      </c>
      <c r="F136" s="128">
        <f t="shared" si="311"/>
        <v>129715.22853794348</v>
      </c>
      <c r="G136" s="128">
        <f t="shared" si="312"/>
        <v>133518.95089055557</v>
      </c>
      <c r="H136" s="128">
        <f t="shared" si="313"/>
        <v>133462.92255290822</v>
      </c>
      <c r="I136" s="128">
        <f t="shared" si="314"/>
        <v>137581.40546969196</v>
      </c>
      <c r="J136" s="128">
        <f t="shared" si="315"/>
        <v>130153.86675949099</v>
      </c>
      <c r="K136" s="128">
        <f t="shared" si="316"/>
        <v>123590.16094560562</v>
      </c>
      <c r="M136" s="36"/>
      <c r="N136" s="32">
        <f t="shared" si="317"/>
        <v>92</v>
      </c>
      <c r="O136" s="25">
        <f t="shared" si="318"/>
        <v>0.33576254592518806</v>
      </c>
      <c r="P136" s="25">
        <f t="shared" si="319"/>
        <v>0.32235859944307688</v>
      </c>
      <c r="Q136" s="25">
        <f t="shared" si="320"/>
        <v>0.32314613370740841</v>
      </c>
      <c r="R136" s="25">
        <f t="shared" si="245"/>
        <v>0.29715228537943483</v>
      </c>
      <c r="S136" s="25">
        <f t="shared" si="246"/>
        <v>0.33518950890555566</v>
      </c>
      <c r="T136" s="25">
        <f t="shared" si="247"/>
        <v>0.33462922552908214</v>
      </c>
      <c r="U136" s="25">
        <f t="shared" si="248"/>
        <v>0.37581405469691953</v>
      </c>
      <c r="V136" s="25">
        <f t="shared" si="249"/>
        <v>0.30153866759490988</v>
      </c>
      <c r="W136" s="25">
        <f t="shared" si="250"/>
        <v>0.2359016094560562</v>
      </c>
      <c r="X136" s="36"/>
      <c r="Y136" s="36"/>
      <c r="AA136" s="124">
        <f t="shared" si="321"/>
        <v>93</v>
      </c>
      <c r="AB136" s="128">
        <f t="shared" si="251"/>
        <v>123873.25359175065</v>
      </c>
      <c r="AC136" s="124">
        <f t="shared" si="322"/>
        <v>93</v>
      </c>
      <c r="AD136" s="130">
        <f t="shared" si="323"/>
        <v>4.2500000000000003E-2</v>
      </c>
      <c r="AE136" s="127">
        <f t="shared" si="324"/>
        <v>1310</v>
      </c>
      <c r="AF136" s="128">
        <f t="shared" si="325"/>
        <v>130873.5</v>
      </c>
      <c r="AG136" s="128">
        <f t="shared" si="348"/>
        <v>131000</v>
      </c>
      <c r="AH136" s="128">
        <f t="shared" si="357"/>
        <v>131000</v>
      </c>
      <c r="AI136" s="130">
        <f t="shared" si="252"/>
        <v>4.2500000000000003E-2</v>
      </c>
      <c r="AJ136" s="128">
        <f t="shared" si="253"/>
        <v>131463.95833333334</v>
      </c>
      <c r="AK136" s="128" t="str">
        <f t="shared" si="254"/>
        <v>nie</v>
      </c>
      <c r="AL136" s="128">
        <f t="shared" si="255"/>
        <v>655</v>
      </c>
      <c r="AM136" s="128">
        <f t="shared" si="361"/>
        <v>130845.25625000001</v>
      </c>
      <c r="AN136" s="128">
        <f t="shared" si="256"/>
        <v>375.80625000000788</v>
      </c>
      <c r="AO136" s="130">
        <f t="shared" si="257"/>
        <v>4.2500000000000003E-2</v>
      </c>
      <c r="AP136" s="128">
        <f t="shared" si="258"/>
        <v>3491.523488193624</v>
      </c>
      <c r="AQ136" s="128">
        <f t="shared" si="362"/>
        <v>133960.97348819362</v>
      </c>
      <c r="AS136" s="124">
        <f t="shared" si="327"/>
        <v>93</v>
      </c>
      <c r="AT136" s="130">
        <f t="shared" si="328"/>
        <v>4.2500000000000003E-2</v>
      </c>
      <c r="AU136" s="127">
        <f t="shared" si="329"/>
        <v>1252</v>
      </c>
      <c r="AV136" s="128">
        <f t="shared" si="330"/>
        <v>125083.40000000001</v>
      </c>
      <c r="AW136" s="128">
        <f t="shared" si="363"/>
        <v>125200</v>
      </c>
      <c r="AX136" s="128">
        <f t="shared" si="358"/>
        <v>125200</v>
      </c>
      <c r="AY136" s="130">
        <f t="shared" si="259"/>
        <v>4.4000000000000004E-2</v>
      </c>
      <c r="AZ136" s="128">
        <f t="shared" si="260"/>
        <v>125659.06666666667</v>
      </c>
      <c r="BA136" s="128" t="str">
        <f t="shared" si="261"/>
        <v>nie</v>
      </c>
      <c r="BB136" s="128">
        <f t="shared" si="262"/>
        <v>876.4</v>
      </c>
      <c r="BC136" s="128">
        <f t="shared" si="367"/>
        <v>124861.96</v>
      </c>
      <c r="BD136" s="128">
        <f t="shared" si="263"/>
        <v>371.84399999999926</v>
      </c>
      <c r="BE136" s="130">
        <f t="shared" si="264"/>
        <v>4.2500000000000003E-2</v>
      </c>
      <c r="BF136" s="128">
        <f t="shared" si="265"/>
        <v>8139.8085472479115</v>
      </c>
      <c r="BG136" s="128">
        <f t="shared" si="368"/>
        <v>132629.92454724791</v>
      </c>
      <c r="BI136" s="124">
        <f t="shared" si="332"/>
        <v>93</v>
      </c>
      <c r="BJ136" s="130">
        <f t="shared" si="354"/>
        <v>4.1300000000000003E-2</v>
      </c>
      <c r="BK136" s="127">
        <f t="shared" si="333"/>
        <v>1252</v>
      </c>
      <c r="BL136" s="128">
        <f t="shared" si="334"/>
        <v>125074.8</v>
      </c>
      <c r="BM136" s="128">
        <f t="shared" si="349"/>
        <v>125200</v>
      </c>
      <c r="BN136" s="128">
        <f t="shared" si="335"/>
        <v>131021.8</v>
      </c>
      <c r="BO136" s="130">
        <f t="shared" si="266"/>
        <v>4.65E-2</v>
      </c>
      <c r="BP136" s="128">
        <f t="shared" si="267"/>
        <v>135591.185275</v>
      </c>
      <c r="BQ136" s="128" t="str">
        <f t="shared" si="268"/>
        <v>nie</v>
      </c>
      <c r="BR136" s="128">
        <f t="shared" si="269"/>
        <v>1252</v>
      </c>
      <c r="BS136" s="128">
        <f t="shared" si="364"/>
        <v>132602.74007274999</v>
      </c>
      <c r="BT136" s="128">
        <f t="shared" si="356"/>
        <v>0</v>
      </c>
      <c r="BU136" s="130">
        <f t="shared" si="270"/>
        <v>4.2500000000000003E-2</v>
      </c>
      <c r="BV136" s="128">
        <f t="shared" si="271"/>
        <v>123.47116742515398</v>
      </c>
      <c r="BW136" s="128">
        <f t="shared" si="365"/>
        <v>132726.21124017515</v>
      </c>
      <c r="BY136" s="130">
        <f t="shared" si="360"/>
        <v>2.8000000000000001E-2</v>
      </c>
      <c r="BZ136" s="127">
        <f t="shared" si="337"/>
        <v>1154</v>
      </c>
      <c r="CA136" s="128">
        <f t="shared" si="338"/>
        <v>115296.5</v>
      </c>
      <c r="CB136" s="128">
        <f t="shared" si="366"/>
        <v>115400</v>
      </c>
      <c r="CC136" s="128">
        <f t="shared" si="359"/>
        <v>115400</v>
      </c>
      <c r="CD136" s="130">
        <f t="shared" si="272"/>
        <v>4.2999999999999997E-2</v>
      </c>
      <c r="CE136" s="128">
        <f t="shared" si="273"/>
        <v>119121.65</v>
      </c>
      <c r="CF136" s="128" t="str">
        <f t="shared" si="274"/>
        <v>nie</v>
      </c>
      <c r="CG136" s="128">
        <f t="shared" si="275"/>
        <v>2308</v>
      </c>
      <c r="CH136" s="128">
        <f t="shared" si="369"/>
        <v>116545.05649999999</v>
      </c>
      <c r="CI136" s="128">
        <f t="shared" si="276"/>
        <v>0</v>
      </c>
      <c r="CJ136" s="130">
        <f t="shared" si="277"/>
        <v>4.2500000000000003E-2</v>
      </c>
      <c r="CK136" s="128">
        <f t="shared" si="278"/>
        <v>13543.863352486713</v>
      </c>
      <c r="CL136" s="128">
        <f t="shared" si="279"/>
        <v>130088.91985248671</v>
      </c>
      <c r="CN136" s="127">
        <f t="shared" si="340"/>
        <v>1000</v>
      </c>
      <c r="CO136" s="128">
        <f t="shared" si="341"/>
        <v>100000</v>
      </c>
      <c r="CP136" s="128">
        <f t="shared" si="342"/>
        <v>100000</v>
      </c>
      <c r="CQ136" s="128">
        <f t="shared" si="343"/>
        <v>139904.47757028849</v>
      </c>
      <c r="CR136" s="130">
        <f t="shared" si="280"/>
        <v>4.8000000000000001E-2</v>
      </c>
      <c r="CS136" s="128">
        <f t="shared" si="281"/>
        <v>144941.03876281888</v>
      </c>
      <c r="CT136" s="128" t="str">
        <f t="shared" si="282"/>
        <v>nie</v>
      </c>
      <c r="CU136" s="128">
        <f t="shared" si="283"/>
        <v>3000</v>
      </c>
      <c r="CV136" s="128">
        <f t="shared" si="284"/>
        <v>133972.24139788328</v>
      </c>
      <c r="CW136" s="128">
        <f t="shared" si="285"/>
        <v>0</v>
      </c>
      <c r="CX136" s="130">
        <f t="shared" si="286"/>
        <v>4.2500000000000003E-2</v>
      </c>
      <c r="CY136" s="128">
        <f t="shared" si="287"/>
        <v>0</v>
      </c>
      <c r="CZ136" s="128">
        <f t="shared" si="288"/>
        <v>133972.24139788328</v>
      </c>
      <c r="DA136" s="20"/>
      <c r="DB136" s="127">
        <f t="shared" si="350"/>
        <v>1267</v>
      </c>
      <c r="DC136" s="128">
        <f t="shared" si="351"/>
        <v>126700</v>
      </c>
      <c r="DD136" s="128">
        <f t="shared" si="344"/>
        <v>126700</v>
      </c>
      <c r="DE136" s="128">
        <f t="shared" si="345"/>
        <v>133288.4</v>
      </c>
      <c r="DF136" s="130">
        <f t="shared" si="289"/>
        <v>4.8000000000000001E-2</v>
      </c>
      <c r="DG136" s="128">
        <f t="shared" si="290"/>
        <v>138086.7824</v>
      </c>
      <c r="DH136" s="128" t="str">
        <f t="shared" si="291"/>
        <v>nie</v>
      </c>
      <c r="DI136" s="128">
        <f t="shared" si="292"/>
        <v>2534</v>
      </c>
      <c r="DJ136" s="128">
        <f t="shared" si="355"/>
        <v>133870.75374399999</v>
      </c>
      <c r="DK136" s="128">
        <f t="shared" si="294"/>
        <v>0</v>
      </c>
      <c r="DL136" s="130">
        <f t="shared" si="295"/>
        <v>4.2500000000000003E-2</v>
      </c>
      <c r="DM136" s="128">
        <f t="shared" si="296"/>
        <v>24.092141534672539</v>
      </c>
      <c r="DN136" s="128">
        <f t="shared" si="297"/>
        <v>133894.84588553465</v>
      </c>
      <c r="DP136" s="127">
        <f t="shared" si="352"/>
        <v>1000</v>
      </c>
      <c r="DQ136" s="128">
        <f t="shared" si="353"/>
        <v>100000</v>
      </c>
      <c r="DR136" s="128">
        <f t="shared" si="346"/>
        <v>100000</v>
      </c>
      <c r="DS136" s="128">
        <f t="shared" si="347"/>
        <v>144298.25841226292</v>
      </c>
      <c r="DT136" s="130">
        <f t="shared" si="298"/>
        <v>5.3000000000000005E-2</v>
      </c>
      <c r="DU136" s="128">
        <f t="shared" si="299"/>
        <v>150034.11418415036</v>
      </c>
      <c r="DV136" s="128" t="str">
        <f t="shared" si="300"/>
        <v>nie</v>
      </c>
      <c r="DW136" s="128">
        <f t="shared" si="301"/>
        <v>3000</v>
      </c>
      <c r="DX136" s="128">
        <f t="shared" si="302"/>
        <v>138097.6324891618</v>
      </c>
      <c r="DY136" s="128">
        <f t="shared" si="303"/>
        <v>0</v>
      </c>
      <c r="DZ136" s="130">
        <f t="shared" si="304"/>
        <v>4.2500000000000003E-2</v>
      </c>
      <c r="EA136" s="128">
        <f t="shared" si="305"/>
        <v>0</v>
      </c>
      <c r="EB136" s="128">
        <f t="shared" si="306"/>
        <v>138097.6324891618</v>
      </c>
    </row>
    <row r="137" spans="1:132">
      <c r="A137" s="224"/>
      <c r="B137" s="188">
        <f t="shared" si="307"/>
        <v>93</v>
      </c>
      <c r="C137" s="128">
        <f t="shared" si="308"/>
        <v>133960.97348819362</v>
      </c>
      <c r="D137" s="128">
        <f t="shared" si="309"/>
        <v>132629.92454724791</v>
      </c>
      <c r="E137" s="128">
        <f t="shared" si="310"/>
        <v>132726.21124017515</v>
      </c>
      <c r="F137" s="128">
        <f t="shared" si="311"/>
        <v>130088.91985248671</v>
      </c>
      <c r="G137" s="128">
        <f t="shared" si="312"/>
        <v>133972.24139788328</v>
      </c>
      <c r="H137" s="128">
        <f t="shared" si="313"/>
        <v>133894.84588553465</v>
      </c>
      <c r="I137" s="128">
        <f t="shared" si="314"/>
        <v>138097.6324891618</v>
      </c>
      <c r="J137" s="128">
        <f t="shared" si="315"/>
        <v>130527.24566475728</v>
      </c>
      <c r="K137" s="128">
        <f t="shared" si="316"/>
        <v>123873.25359175065</v>
      </c>
      <c r="M137" s="36"/>
      <c r="N137" s="32">
        <f t="shared" si="317"/>
        <v>93</v>
      </c>
      <c r="O137" s="25">
        <f t="shared" si="318"/>
        <v>0.33960973488193624</v>
      </c>
      <c r="P137" s="25">
        <f t="shared" si="319"/>
        <v>0.32629924547247913</v>
      </c>
      <c r="Q137" s="25">
        <f t="shared" si="320"/>
        <v>0.3272621124017514</v>
      </c>
      <c r="R137" s="25">
        <f t="shared" si="245"/>
        <v>0.30088919852486717</v>
      </c>
      <c r="S137" s="25">
        <f t="shared" si="246"/>
        <v>0.33972241397883285</v>
      </c>
      <c r="T137" s="25">
        <f t="shared" si="247"/>
        <v>0.33894845885534663</v>
      </c>
      <c r="U137" s="25">
        <f t="shared" si="248"/>
        <v>0.38097632489161803</v>
      </c>
      <c r="V137" s="25">
        <f t="shared" si="249"/>
        <v>0.30527245664757285</v>
      </c>
      <c r="W137" s="25">
        <f t="shared" si="250"/>
        <v>0.23873253591750654</v>
      </c>
      <c r="X137" s="36"/>
      <c r="Y137" s="36"/>
      <c r="AA137" s="124">
        <f t="shared" si="321"/>
        <v>94</v>
      </c>
      <c r="AB137" s="128">
        <f t="shared" si="251"/>
        <v>124156.34623789572</v>
      </c>
      <c r="AC137" s="124">
        <f t="shared" si="322"/>
        <v>94</v>
      </c>
      <c r="AD137" s="130">
        <f t="shared" si="323"/>
        <v>4.2500000000000003E-2</v>
      </c>
      <c r="AE137" s="127">
        <f t="shared" si="324"/>
        <v>1310</v>
      </c>
      <c r="AF137" s="128">
        <f t="shared" si="325"/>
        <v>130873.5</v>
      </c>
      <c r="AG137" s="128">
        <f t="shared" si="348"/>
        <v>131000</v>
      </c>
      <c r="AH137" s="128">
        <f t="shared" si="357"/>
        <v>131000</v>
      </c>
      <c r="AI137" s="130">
        <f t="shared" si="252"/>
        <v>4.2500000000000003E-2</v>
      </c>
      <c r="AJ137" s="128">
        <f t="shared" si="253"/>
        <v>131463.95833333334</v>
      </c>
      <c r="AK137" s="128" t="str">
        <f t="shared" si="254"/>
        <v>nie</v>
      </c>
      <c r="AL137" s="128">
        <f t="shared" si="255"/>
        <v>655</v>
      </c>
      <c r="AM137" s="128">
        <f t="shared" si="361"/>
        <v>130845.25625000001</v>
      </c>
      <c r="AN137" s="128">
        <f t="shared" si="256"/>
        <v>375.80625000000788</v>
      </c>
      <c r="AO137" s="130">
        <f t="shared" si="257"/>
        <v>4.2500000000000003E-2</v>
      </c>
      <c r="AP137" s="128">
        <f t="shared" si="258"/>
        <v>3877.3460462003873</v>
      </c>
      <c r="AQ137" s="128">
        <f t="shared" si="362"/>
        <v>134346.79604620038</v>
      </c>
      <c r="AS137" s="124">
        <f t="shared" si="327"/>
        <v>94</v>
      </c>
      <c r="AT137" s="130">
        <f t="shared" si="328"/>
        <v>4.2500000000000003E-2</v>
      </c>
      <c r="AU137" s="127">
        <f t="shared" si="329"/>
        <v>1252</v>
      </c>
      <c r="AV137" s="128">
        <f t="shared" si="330"/>
        <v>125083.40000000001</v>
      </c>
      <c r="AW137" s="128">
        <f t="shared" si="363"/>
        <v>125200</v>
      </c>
      <c r="AX137" s="128">
        <f t="shared" si="358"/>
        <v>125200</v>
      </c>
      <c r="AY137" s="130">
        <f t="shared" si="259"/>
        <v>4.4000000000000004E-2</v>
      </c>
      <c r="AZ137" s="128">
        <f t="shared" si="260"/>
        <v>125659.06666666667</v>
      </c>
      <c r="BA137" s="128" t="str">
        <f t="shared" si="261"/>
        <v>nie</v>
      </c>
      <c r="BB137" s="128">
        <f t="shared" si="262"/>
        <v>876.4</v>
      </c>
      <c r="BC137" s="128">
        <f t="shared" si="367"/>
        <v>124861.96</v>
      </c>
      <c r="BD137" s="128">
        <f t="shared" si="263"/>
        <v>371.84399999999926</v>
      </c>
      <c r="BE137" s="130">
        <f t="shared" si="264"/>
        <v>4.2500000000000003E-2</v>
      </c>
      <c r="BF137" s="128">
        <f t="shared" si="265"/>
        <v>8535.0036230178284</v>
      </c>
      <c r="BG137" s="128">
        <f t="shared" si="368"/>
        <v>133025.11962301785</v>
      </c>
      <c r="BI137" s="124">
        <f t="shared" si="332"/>
        <v>94</v>
      </c>
      <c r="BJ137" s="130">
        <f t="shared" si="354"/>
        <v>4.1300000000000003E-2</v>
      </c>
      <c r="BK137" s="127">
        <f t="shared" si="333"/>
        <v>1252</v>
      </c>
      <c r="BL137" s="128">
        <f t="shared" si="334"/>
        <v>125074.8</v>
      </c>
      <c r="BM137" s="128">
        <f t="shared" si="349"/>
        <v>125200</v>
      </c>
      <c r="BN137" s="128">
        <f t="shared" si="335"/>
        <v>131021.8</v>
      </c>
      <c r="BO137" s="130">
        <f t="shared" si="266"/>
        <v>4.65E-2</v>
      </c>
      <c r="BP137" s="128">
        <f t="shared" si="267"/>
        <v>136098.89475000001</v>
      </c>
      <c r="BQ137" s="128" t="str">
        <f t="shared" si="268"/>
        <v>nie</v>
      </c>
      <c r="BR137" s="128">
        <f t="shared" si="269"/>
        <v>1252</v>
      </c>
      <c r="BS137" s="128">
        <f t="shared" si="364"/>
        <v>133013.98474750001</v>
      </c>
      <c r="BT137" s="128">
        <f t="shared" si="356"/>
        <v>0</v>
      </c>
      <c r="BU137" s="130">
        <f t="shared" si="270"/>
        <v>4.2500000000000003E-2</v>
      </c>
      <c r="BV137" s="128">
        <f t="shared" si="271"/>
        <v>123.82537533670488</v>
      </c>
      <c r="BW137" s="128">
        <f t="shared" si="365"/>
        <v>133137.81012283673</v>
      </c>
      <c r="BY137" s="130">
        <f t="shared" si="360"/>
        <v>2.8000000000000001E-2</v>
      </c>
      <c r="BZ137" s="127">
        <f t="shared" si="337"/>
        <v>1154</v>
      </c>
      <c r="CA137" s="128">
        <f t="shared" si="338"/>
        <v>115296.5</v>
      </c>
      <c r="CB137" s="128">
        <f t="shared" si="366"/>
        <v>115400</v>
      </c>
      <c r="CC137" s="128">
        <f t="shared" si="359"/>
        <v>115400</v>
      </c>
      <c r="CD137" s="130">
        <f t="shared" si="272"/>
        <v>4.2999999999999997E-2</v>
      </c>
      <c r="CE137" s="128">
        <f t="shared" si="273"/>
        <v>119535.16666666667</v>
      </c>
      <c r="CF137" s="128" t="str">
        <f t="shared" si="274"/>
        <v>nie</v>
      </c>
      <c r="CG137" s="128">
        <f t="shared" si="275"/>
        <v>2308</v>
      </c>
      <c r="CH137" s="128">
        <f t="shared" si="369"/>
        <v>116880.005</v>
      </c>
      <c r="CI137" s="128">
        <f t="shared" si="276"/>
        <v>0</v>
      </c>
      <c r="CJ137" s="130">
        <f t="shared" si="277"/>
        <v>4.2500000000000003E-2</v>
      </c>
      <c r="CK137" s="128">
        <f t="shared" si="278"/>
        <v>13582.717310479158</v>
      </c>
      <c r="CL137" s="128">
        <f t="shared" si="279"/>
        <v>130462.72231047916</v>
      </c>
      <c r="CN137" s="127">
        <f t="shared" si="340"/>
        <v>1000</v>
      </c>
      <c r="CO137" s="128">
        <f t="shared" si="341"/>
        <v>100000</v>
      </c>
      <c r="CP137" s="128">
        <f t="shared" si="342"/>
        <v>100000</v>
      </c>
      <c r="CQ137" s="128">
        <f t="shared" si="343"/>
        <v>139904.47757028849</v>
      </c>
      <c r="CR137" s="130">
        <f t="shared" si="280"/>
        <v>4.8000000000000001E-2</v>
      </c>
      <c r="CS137" s="128">
        <f t="shared" si="281"/>
        <v>145500.65667310005</v>
      </c>
      <c r="CT137" s="128" t="str">
        <f t="shared" si="282"/>
        <v>nie</v>
      </c>
      <c r="CU137" s="128">
        <f t="shared" si="283"/>
        <v>3000</v>
      </c>
      <c r="CV137" s="128">
        <f t="shared" si="284"/>
        <v>134425.53190521104</v>
      </c>
      <c r="CW137" s="128">
        <f t="shared" si="285"/>
        <v>0</v>
      </c>
      <c r="CX137" s="130">
        <f t="shared" si="286"/>
        <v>4.2500000000000003E-2</v>
      </c>
      <c r="CY137" s="128">
        <f t="shared" si="287"/>
        <v>0</v>
      </c>
      <c r="CZ137" s="128">
        <f t="shared" si="288"/>
        <v>134425.53190521104</v>
      </c>
      <c r="DA137" s="20"/>
      <c r="DB137" s="127">
        <f t="shared" si="350"/>
        <v>1267</v>
      </c>
      <c r="DC137" s="128">
        <f t="shared" si="351"/>
        <v>126700</v>
      </c>
      <c r="DD137" s="128">
        <f t="shared" si="344"/>
        <v>126700</v>
      </c>
      <c r="DE137" s="128">
        <f t="shared" si="345"/>
        <v>133288.4</v>
      </c>
      <c r="DF137" s="130">
        <f t="shared" si="289"/>
        <v>4.8000000000000001E-2</v>
      </c>
      <c r="DG137" s="128">
        <f t="shared" si="290"/>
        <v>138619.93599999999</v>
      </c>
      <c r="DH137" s="128" t="str">
        <f t="shared" si="291"/>
        <v>nie</v>
      </c>
      <c r="DI137" s="128">
        <f t="shared" si="292"/>
        <v>2534</v>
      </c>
      <c r="DJ137" s="128">
        <f t="shared" si="355"/>
        <v>134302.60816</v>
      </c>
      <c r="DK137" s="128">
        <f t="shared" si="294"/>
        <v>0</v>
      </c>
      <c r="DL137" s="130">
        <f t="shared" si="295"/>
        <v>4.2500000000000003E-2</v>
      </c>
      <c r="DM137" s="128">
        <f t="shared" si="296"/>
        <v>24.161255865700131</v>
      </c>
      <c r="DN137" s="128">
        <f t="shared" si="297"/>
        <v>134326.76941586571</v>
      </c>
      <c r="DP137" s="127">
        <f t="shared" si="352"/>
        <v>1000</v>
      </c>
      <c r="DQ137" s="128">
        <f t="shared" si="353"/>
        <v>100000</v>
      </c>
      <c r="DR137" s="128">
        <f t="shared" si="346"/>
        <v>100000</v>
      </c>
      <c r="DS137" s="128">
        <f t="shared" si="347"/>
        <v>144298.25841226292</v>
      </c>
      <c r="DT137" s="130">
        <f t="shared" si="298"/>
        <v>5.3000000000000005E-2</v>
      </c>
      <c r="DU137" s="128">
        <f t="shared" si="299"/>
        <v>150671.43149213787</v>
      </c>
      <c r="DV137" s="128" t="str">
        <f t="shared" si="300"/>
        <v>nie</v>
      </c>
      <c r="DW137" s="128">
        <f t="shared" si="301"/>
        <v>3000</v>
      </c>
      <c r="DX137" s="128">
        <f t="shared" si="302"/>
        <v>138613.85950863166</v>
      </c>
      <c r="DY137" s="128">
        <f t="shared" si="303"/>
        <v>0</v>
      </c>
      <c r="DZ137" s="130">
        <f t="shared" si="304"/>
        <v>4.2500000000000003E-2</v>
      </c>
      <c r="EA137" s="128">
        <f t="shared" si="305"/>
        <v>0</v>
      </c>
      <c r="EB137" s="128">
        <f t="shared" si="306"/>
        <v>138613.85950863166</v>
      </c>
    </row>
    <row r="138" spans="1:132">
      <c r="A138" s="224"/>
      <c r="B138" s="188">
        <f t="shared" si="307"/>
        <v>94</v>
      </c>
      <c r="C138" s="128">
        <f t="shared" si="308"/>
        <v>134346.79604620038</v>
      </c>
      <c r="D138" s="128">
        <f t="shared" si="309"/>
        <v>133025.11962301785</v>
      </c>
      <c r="E138" s="128">
        <f t="shared" si="310"/>
        <v>133137.81012283673</v>
      </c>
      <c r="F138" s="128">
        <f t="shared" si="311"/>
        <v>130462.72231047916</v>
      </c>
      <c r="G138" s="128">
        <f t="shared" si="312"/>
        <v>134425.53190521104</v>
      </c>
      <c r="H138" s="128">
        <f t="shared" si="313"/>
        <v>134326.76941586571</v>
      </c>
      <c r="I138" s="128">
        <f t="shared" si="314"/>
        <v>138613.85950863166</v>
      </c>
      <c r="J138" s="128">
        <f t="shared" si="315"/>
        <v>130901.69570075805</v>
      </c>
      <c r="K138" s="128">
        <f t="shared" si="316"/>
        <v>124156.34623789572</v>
      </c>
      <c r="M138" s="36"/>
      <c r="N138" s="32">
        <f t="shared" si="317"/>
        <v>94</v>
      </c>
      <c r="O138" s="25">
        <f t="shared" si="318"/>
        <v>0.3434679604620039</v>
      </c>
      <c r="P138" s="25">
        <f t="shared" si="319"/>
        <v>0.3302511962301784</v>
      </c>
      <c r="Q138" s="25">
        <f t="shared" si="320"/>
        <v>0.33137810122836719</v>
      </c>
      <c r="R138" s="25">
        <f t="shared" si="245"/>
        <v>0.30462722310479173</v>
      </c>
      <c r="S138" s="25">
        <f t="shared" si="246"/>
        <v>0.34425531905211049</v>
      </c>
      <c r="T138" s="25">
        <f t="shared" si="247"/>
        <v>0.34326769415865721</v>
      </c>
      <c r="U138" s="25">
        <f t="shared" si="248"/>
        <v>0.38613859508631654</v>
      </c>
      <c r="V138" s="25">
        <f t="shared" si="249"/>
        <v>0.30901695700758047</v>
      </c>
      <c r="W138" s="25">
        <f t="shared" si="250"/>
        <v>0.24156346237895709</v>
      </c>
      <c r="X138" s="36"/>
      <c r="Y138" s="36"/>
      <c r="AA138" s="124">
        <f t="shared" si="321"/>
        <v>95</v>
      </c>
      <c r="AB138" s="128">
        <f t="shared" si="251"/>
        <v>124439.43888404075</v>
      </c>
      <c r="AC138" s="124">
        <f t="shared" si="322"/>
        <v>95</v>
      </c>
      <c r="AD138" s="130">
        <f t="shared" si="323"/>
        <v>4.2500000000000003E-2</v>
      </c>
      <c r="AE138" s="127">
        <f t="shared" si="324"/>
        <v>1310</v>
      </c>
      <c r="AF138" s="128">
        <f t="shared" si="325"/>
        <v>130873.5</v>
      </c>
      <c r="AG138" s="128">
        <f t="shared" si="348"/>
        <v>131000</v>
      </c>
      <c r="AH138" s="128">
        <f t="shared" si="357"/>
        <v>131000</v>
      </c>
      <c r="AI138" s="130">
        <f t="shared" si="252"/>
        <v>4.2500000000000003E-2</v>
      </c>
      <c r="AJ138" s="128">
        <f t="shared" si="253"/>
        <v>131463.95833333334</v>
      </c>
      <c r="AK138" s="128" t="str">
        <f t="shared" si="254"/>
        <v>nie</v>
      </c>
      <c r="AL138" s="128">
        <f t="shared" si="255"/>
        <v>655</v>
      </c>
      <c r="AM138" s="128">
        <f t="shared" si="361"/>
        <v>130845.25625000001</v>
      </c>
      <c r="AN138" s="128">
        <f t="shared" si="256"/>
        <v>375.80625000000788</v>
      </c>
      <c r="AO138" s="130">
        <f t="shared" si="257"/>
        <v>4.2500000000000003E-2</v>
      </c>
      <c r="AP138" s="128">
        <f t="shared" si="258"/>
        <v>4264.2754326704326</v>
      </c>
      <c r="AQ138" s="128">
        <f t="shared" si="362"/>
        <v>134733.72543267044</v>
      </c>
      <c r="AS138" s="124">
        <f t="shared" si="327"/>
        <v>95</v>
      </c>
      <c r="AT138" s="130">
        <f t="shared" si="328"/>
        <v>4.2500000000000003E-2</v>
      </c>
      <c r="AU138" s="127">
        <f t="shared" si="329"/>
        <v>1252</v>
      </c>
      <c r="AV138" s="128">
        <f t="shared" si="330"/>
        <v>125083.40000000001</v>
      </c>
      <c r="AW138" s="128">
        <f t="shared" si="363"/>
        <v>125200</v>
      </c>
      <c r="AX138" s="128">
        <f t="shared" si="358"/>
        <v>125200</v>
      </c>
      <c r="AY138" s="130">
        <f t="shared" si="259"/>
        <v>4.4000000000000004E-2</v>
      </c>
      <c r="AZ138" s="128">
        <f t="shared" si="260"/>
        <v>125659.06666666667</v>
      </c>
      <c r="BA138" s="128" t="str">
        <f t="shared" si="261"/>
        <v>nie</v>
      </c>
      <c r="BB138" s="128">
        <f t="shared" si="262"/>
        <v>876.4</v>
      </c>
      <c r="BC138" s="128">
        <f t="shared" si="367"/>
        <v>124861.96</v>
      </c>
      <c r="BD138" s="128">
        <f t="shared" si="263"/>
        <v>371.84399999999926</v>
      </c>
      <c r="BE138" s="130">
        <f t="shared" si="264"/>
        <v>4.2500000000000003E-2</v>
      </c>
      <c r="BF138" s="128">
        <f t="shared" si="265"/>
        <v>8931.3324146613595</v>
      </c>
      <c r="BG138" s="128">
        <f t="shared" si="368"/>
        <v>133421.44841466137</v>
      </c>
      <c r="BI138" s="124">
        <f t="shared" si="332"/>
        <v>95</v>
      </c>
      <c r="BJ138" s="130">
        <f t="shared" si="354"/>
        <v>4.1300000000000003E-2</v>
      </c>
      <c r="BK138" s="127">
        <f t="shared" si="333"/>
        <v>1252</v>
      </c>
      <c r="BL138" s="128">
        <f t="shared" si="334"/>
        <v>125074.8</v>
      </c>
      <c r="BM138" s="128">
        <f t="shared" si="349"/>
        <v>125200</v>
      </c>
      <c r="BN138" s="128">
        <f t="shared" si="335"/>
        <v>131021.8</v>
      </c>
      <c r="BO138" s="130">
        <f t="shared" si="266"/>
        <v>4.65E-2</v>
      </c>
      <c r="BP138" s="128">
        <f t="shared" si="267"/>
        <v>136606.60422499999</v>
      </c>
      <c r="BQ138" s="128" t="str">
        <f t="shared" si="268"/>
        <v>nie</v>
      </c>
      <c r="BR138" s="128">
        <f t="shared" si="269"/>
        <v>1252</v>
      </c>
      <c r="BS138" s="128">
        <f t="shared" si="364"/>
        <v>133425.22942224998</v>
      </c>
      <c r="BT138" s="128">
        <f t="shared" si="356"/>
        <v>0</v>
      </c>
      <c r="BU138" s="130">
        <f t="shared" si="270"/>
        <v>4.2500000000000003E-2</v>
      </c>
      <c r="BV138" s="128">
        <f t="shared" si="271"/>
        <v>124.18059938220205</v>
      </c>
      <c r="BW138" s="128">
        <f t="shared" si="365"/>
        <v>133549.41002163218</v>
      </c>
      <c r="BY138" s="130">
        <f t="shared" si="360"/>
        <v>2.8000000000000001E-2</v>
      </c>
      <c r="BZ138" s="127">
        <f t="shared" si="337"/>
        <v>1154</v>
      </c>
      <c r="CA138" s="128">
        <f t="shared" si="338"/>
        <v>115296.5</v>
      </c>
      <c r="CB138" s="128">
        <f t="shared" si="366"/>
        <v>115400</v>
      </c>
      <c r="CC138" s="128">
        <f t="shared" si="359"/>
        <v>115400</v>
      </c>
      <c r="CD138" s="130">
        <f t="shared" si="272"/>
        <v>4.2999999999999997E-2</v>
      </c>
      <c r="CE138" s="128">
        <f t="shared" si="273"/>
        <v>119948.68333333333</v>
      </c>
      <c r="CF138" s="128" t="str">
        <f t="shared" si="274"/>
        <v>nie</v>
      </c>
      <c r="CG138" s="128">
        <f t="shared" si="275"/>
        <v>2308</v>
      </c>
      <c r="CH138" s="128">
        <f t="shared" si="369"/>
        <v>117214.9535</v>
      </c>
      <c r="CI138" s="128">
        <f t="shared" si="276"/>
        <v>0</v>
      </c>
      <c r="CJ138" s="130">
        <f t="shared" si="277"/>
        <v>4.2500000000000003E-2</v>
      </c>
      <c r="CK138" s="128">
        <f t="shared" si="278"/>
        <v>13621.682730763596</v>
      </c>
      <c r="CL138" s="128">
        <f t="shared" si="279"/>
        <v>130836.6362307636</v>
      </c>
      <c r="CN138" s="127">
        <f t="shared" si="340"/>
        <v>1000</v>
      </c>
      <c r="CO138" s="128">
        <f t="shared" si="341"/>
        <v>100000</v>
      </c>
      <c r="CP138" s="128">
        <f t="shared" si="342"/>
        <v>100000</v>
      </c>
      <c r="CQ138" s="128">
        <f t="shared" si="343"/>
        <v>139904.47757028849</v>
      </c>
      <c r="CR138" s="130">
        <f t="shared" si="280"/>
        <v>4.8000000000000001E-2</v>
      </c>
      <c r="CS138" s="128">
        <f t="shared" si="281"/>
        <v>146060.27458338119</v>
      </c>
      <c r="CT138" s="128" t="str">
        <f t="shared" si="282"/>
        <v>nie</v>
      </c>
      <c r="CU138" s="128">
        <f t="shared" si="283"/>
        <v>3000</v>
      </c>
      <c r="CV138" s="128">
        <f t="shared" si="284"/>
        <v>134878.82241253878</v>
      </c>
      <c r="CW138" s="128">
        <f t="shared" si="285"/>
        <v>0</v>
      </c>
      <c r="CX138" s="130">
        <f t="shared" si="286"/>
        <v>4.2500000000000003E-2</v>
      </c>
      <c r="CY138" s="128">
        <f t="shared" si="287"/>
        <v>0</v>
      </c>
      <c r="CZ138" s="128">
        <f t="shared" si="288"/>
        <v>134878.82241253878</v>
      </c>
      <c r="DA138" s="20"/>
      <c r="DB138" s="127">
        <f t="shared" si="350"/>
        <v>1267</v>
      </c>
      <c r="DC138" s="128">
        <f t="shared" si="351"/>
        <v>126700</v>
      </c>
      <c r="DD138" s="128">
        <f t="shared" si="344"/>
        <v>126700</v>
      </c>
      <c r="DE138" s="128">
        <f t="shared" si="345"/>
        <v>133288.4</v>
      </c>
      <c r="DF138" s="130">
        <f t="shared" si="289"/>
        <v>4.8000000000000001E-2</v>
      </c>
      <c r="DG138" s="128">
        <f t="shared" si="290"/>
        <v>139153.08960000001</v>
      </c>
      <c r="DH138" s="128" t="str">
        <f t="shared" si="291"/>
        <v>nie</v>
      </c>
      <c r="DI138" s="128">
        <f t="shared" si="292"/>
        <v>2534</v>
      </c>
      <c r="DJ138" s="128">
        <f t="shared" si="355"/>
        <v>134734.46257600002</v>
      </c>
      <c r="DK138" s="128">
        <f t="shared" si="294"/>
        <v>0</v>
      </c>
      <c r="DL138" s="130">
        <f t="shared" si="295"/>
        <v>4.2500000000000003E-2</v>
      </c>
      <c r="DM138" s="128">
        <f t="shared" si="296"/>
        <v>24.230568468464856</v>
      </c>
      <c r="DN138" s="128">
        <f t="shared" si="297"/>
        <v>134758.69314446847</v>
      </c>
      <c r="DP138" s="127">
        <f t="shared" si="352"/>
        <v>1000</v>
      </c>
      <c r="DQ138" s="128">
        <f t="shared" si="353"/>
        <v>100000</v>
      </c>
      <c r="DR138" s="128">
        <f t="shared" si="346"/>
        <v>100000</v>
      </c>
      <c r="DS138" s="128">
        <f t="shared" si="347"/>
        <v>144298.25841226292</v>
      </c>
      <c r="DT138" s="130">
        <f t="shared" si="298"/>
        <v>5.3000000000000005E-2</v>
      </c>
      <c r="DU138" s="128">
        <f t="shared" si="299"/>
        <v>151308.74880012538</v>
      </c>
      <c r="DV138" s="128" t="str">
        <f t="shared" si="300"/>
        <v>nie</v>
      </c>
      <c r="DW138" s="128">
        <f t="shared" si="301"/>
        <v>3000</v>
      </c>
      <c r="DX138" s="128">
        <f t="shared" si="302"/>
        <v>139130.08652810156</v>
      </c>
      <c r="DY138" s="128">
        <f t="shared" si="303"/>
        <v>0</v>
      </c>
      <c r="DZ138" s="130">
        <f t="shared" si="304"/>
        <v>4.2500000000000003E-2</v>
      </c>
      <c r="EA138" s="128">
        <f t="shared" si="305"/>
        <v>0</v>
      </c>
      <c r="EB138" s="128">
        <f t="shared" si="306"/>
        <v>139130.08652810156</v>
      </c>
    </row>
    <row r="139" spans="1:132" ht="14.25" customHeight="1">
      <c r="A139" s="224"/>
      <c r="B139" s="188">
        <f t="shared" si="307"/>
        <v>95</v>
      </c>
      <c r="C139" s="128">
        <f t="shared" si="308"/>
        <v>134733.72543267044</v>
      </c>
      <c r="D139" s="128">
        <f t="shared" si="309"/>
        <v>133421.44841466137</v>
      </c>
      <c r="E139" s="128">
        <f t="shared" si="310"/>
        <v>133549.41002163218</v>
      </c>
      <c r="F139" s="128">
        <f t="shared" si="311"/>
        <v>130836.6362307636</v>
      </c>
      <c r="G139" s="128">
        <f t="shared" si="312"/>
        <v>134878.82241253878</v>
      </c>
      <c r="H139" s="128">
        <f t="shared" si="313"/>
        <v>134758.69314446847</v>
      </c>
      <c r="I139" s="128">
        <f t="shared" si="314"/>
        <v>139130.08652810156</v>
      </c>
      <c r="J139" s="128">
        <f t="shared" si="315"/>
        <v>131277.2199402996</v>
      </c>
      <c r="K139" s="128">
        <f t="shared" si="316"/>
        <v>124439.43888404075</v>
      </c>
      <c r="M139" s="36"/>
      <c r="N139" s="32">
        <f t="shared" si="317"/>
        <v>95</v>
      </c>
      <c r="O139" s="25">
        <f t="shared" si="318"/>
        <v>0.34733725432670437</v>
      </c>
      <c r="P139" s="25">
        <f t="shared" si="319"/>
        <v>0.3342144841466137</v>
      </c>
      <c r="Q139" s="25">
        <f t="shared" si="320"/>
        <v>0.33549410021632187</v>
      </c>
      <c r="R139" s="25">
        <f t="shared" si="245"/>
        <v>0.30836636230763603</v>
      </c>
      <c r="S139" s="25">
        <f t="shared" si="246"/>
        <v>0.34878822412538768</v>
      </c>
      <c r="T139" s="25">
        <f t="shared" si="247"/>
        <v>0.34758693144468467</v>
      </c>
      <c r="U139" s="25">
        <f t="shared" si="248"/>
        <v>0.39130086528101549</v>
      </c>
      <c r="V139" s="25">
        <f t="shared" si="249"/>
        <v>0.31277219940299594</v>
      </c>
      <c r="W139" s="25">
        <f t="shared" si="250"/>
        <v>0.24439438884040743</v>
      </c>
      <c r="X139" s="36"/>
      <c r="Y139" s="36"/>
      <c r="AA139" s="124">
        <f t="shared" si="321"/>
        <v>96</v>
      </c>
      <c r="AB139" s="128">
        <f t="shared" si="251"/>
        <v>124722.53153018578</v>
      </c>
      <c r="AC139" s="124">
        <f t="shared" si="322"/>
        <v>96</v>
      </c>
      <c r="AD139" s="130">
        <f t="shared" si="323"/>
        <v>4.2500000000000003E-2</v>
      </c>
      <c r="AE139" s="127">
        <f t="shared" si="324"/>
        <v>1310</v>
      </c>
      <c r="AF139" s="128">
        <f t="shared" si="325"/>
        <v>130873.5</v>
      </c>
      <c r="AG139" s="128">
        <f t="shared" si="348"/>
        <v>131000</v>
      </c>
      <c r="AH139" s="128">
        <f t="shared" si="357"/>
        <v>131000</v>
      </c>
      <c r="AI139" s="130">
        <f t="shared" si="252"/>
        <v>4.2500000000000003E-2</v>
      </c>
      <c r="AJ139" s="128">
        <f t="shared" si="253"/>
        <v>131463.95833333334</v>
      </c>
      <c r="AK139" s="128" t="str">
        <f t="shared" si="254"/>
        <v>tak</v>
      </c>
      <c r="AL139" s="128">
        <f t="shared" si="255"/>
        <v>0</v>
      </c>
      <c r="AM139" s="128">
        <f t="shared" si="361"/>
        <v>131375.80624999999</v>
      </c>
      <c r="AN139" s="128">
        <f t="shared" si="256"/>
        <v>507.30625000000043</v>
      </c>
      <c r="AO139" s="130">
        <f t="shared" si="257"/>
        <v>4.2500000000000003E-2</v>
      </c>
      <c r="AP139" s="128">
        <f t="shared" si="258"/>
        <v>4783.8148228179061</v>
      </c>
      <c r="AQ139" s="128">
        <f t="shared" si="362"/>
        <v>135652.31482281789</v>
      </c>
      <c r="AS139" s="124">
        <f t="shared" si="327"/>
        <v>96</v>
      </c>
      <c r="AT139" s="130">
        <f t="shared" si="328"/>
        <v>4.2500000000000003E-2</v>
      </c>
      <c r="AU139" s="127">
        <f t="shared" si="329"/>
        <v>1252</v>
      </c>
      <c r="AV139" s="128">
        <f t="shared" si="330"/>
        <v>125083.40000000001</v>
      </c>
      <c r="AW139" s="128">
        <f t="shared" si="363"/>
        <v>125200</v>
      </c>
      <c r="AX139" s="128">
        <f t="shared" si="358"/>
        <v>125200</v>
      </c>
      <c r="AY139" s="130">
        <f t="shared" si="259"/>
        <v>4.4000000000000004E-2</v>
      </c>
      <c r="AZ139" s="128">
        <f t="shared" si="260"/>
        <v>125659.06666666667</v>
      </c>
      <c r="BA139" s="128" t="str">
        <f t="shared" si="261"/>
        <v>tak</v>
      </c>
      <c r="BB139" s="128">
        <f t="shared" si="262"/>
        <v>0</v>
      </c>
      <c r="BC139" s="128">
        <f t="shared" si="367"/>
        <v>125571.844</v>
      </c>
      <c r="BD139" s="128">
        <f t="shared" si="263"/>
        <v>497.54399999999214</v>
      </c>
      <c r="BE139" s="130">
        <f t="shared" si="264"/>
        <v>4.2500000000000003E-2</v>
      </c>
      <c r="BF139" s="128">
        <f t="shared" si="265"/>
        <v>9454.498174525912</v>
      </c>
      <c r="BG139" s="128">
        <f t="shared" si="368"/>
        <v>134528.7981745259</v>
      </c>
      <c r="BI139" s="124">
        <f t="shared" si="332"/>
        <v>96</v>
      </c>
      <c r="BJ139" s="130">
        <f t="shared" si="354"/>
        <v>4.1300000000000003E-2</v>
      </c>
      <c r="BK139" s="127">
        <f t="shared" si="333"/>
        <v>1252</v>
      </c>
      <c r="BL139" s="128">
        <f t="shared" si="334"/>
        <v>125074.8</v>
      </c>
      <c r="BM139" s="128">
        <f t="shared" si="349"/>
        <v>125200</v>
      </c>
      <c r="BN139" s="128">
        <f t="shared" si="335"/>
        <v>131021.8</v>
      </c>
      <c r="BO139" s="130">
        <f t="shared" si="266"/>
        <v>4.65E-2</v>
      </c>
      <c r="BP139" s="128">
        <f t="shared" si="267"/>
        <v>137114.3137</v>
      </c>
      <c r="BQ139" s="128" t="str">
        <f t="shared" si="268"/>
        <v>nie</v>
      </c>
      <c r="BR139" s="128">
        <f t="shared" si="269"/>
        <v>1252</v>
      </c>
      <c r="BS139" s="128">
        <f t="shared" si="364"/>
        <v>133836.474097</v>
      </c>
      <c r="BT139" s="128">
        <f t="shared" si="356"/>
        <v>0</v>
      </c>
      <c r="BU139" s="130">
        <f t="shared" si="270"/>
        <v>4.2500000000000003E-2</v>
      </c>
      <c r="BV139" s="128">
        <f t="shared" si="271"/>
        <v>124.53684247667974</v>
      </c>
      <c r="BW139" s="128">
        <f t="shared" si="365"/>
        <v>133961.01093947669</v>
      </c>
      <c r="BY139" s="130">
        <f t="shared" si="360"/>
        <v>2.8000000000000001E-2</v>
      </c>
      <c r="BZ139" s="127">
        <f t="shared" si="337"/>
        <v>1154</v>
      </c>
      <c r="CA139" s="128">
        <f t="shared" si="338"/>
        <v>115296.5</v>
      </c>
      <c r="CB139" s="128">
        <f t="shared" si="366"/>
        <v>115400</v>
      </c>
      <c r="CC139" s="128">
        <f t="shared" si="359"/>
        <v>115400</v>
      </c>
      <c r="CD139" s="130">
        <f t="shared" si="272"/>
        <v>4.2999999999999997E-2</v>
      </c>
      <c r="CE139" s="128">
        <f t="shared" si="273"/>
        <v>120362.2</v>
      </c>
      <c r="CF139" s="128" t="str">
        <f t="shared" si="274"/>
        <v>tak</v>
      </c>
      <c r="CG139" s="128">
        <f t="shared" si="275"/>
        <v>0</v>
      </c>
      <c r="CH139" s="128">
        <f t="shared" si="369"/>
        <v>119419.382</v>
      </c>
      <c r="CI139" s="128">
        <f t="shared" si="276"/>
        <v>38.881999999997788</v>
      </c>
      <c r="CJ139" s="130">
        <f t="shared" si="277"/>
        <v>4.2500000000000003E-2</v>
      </c>
      <c r="CK139" s="128">
        <f t="shared" si="278"/>
        <v>13699.641933097471</v>
      </c>
      <c r="CL139" s="128">
        <f t="shared" si="279"/>
        <v>133080.14193309747</v>
      </c>
      <c r="CN139" s="127">
        <f t="shared" si="340"/>
        <v>1000</v>
      </c>
      <c r="CO139" s="128">
        <f t="shared" si="341"/>
        <v>100000</v>
      </c>
      <c r="CP139" s="128">
        <f t="shared" si="342"/>
        <v>100000</v>
      </c>
      <c r="CQ139" s="128">
        <f t="shared" si="343"/>
        <v>139904.47757028849</v>
      </c>
      <c r="CR139" s="130">
        <f t="shared" si="280"/>
        <v>4.8000000000000001E-2</v>
      </c>
      <c r="CS139" s="128">
        <f t="shared" si="281"/>
        <v>146619.89249366234</v>
      </c>
      <c r="CT139" s="128" t="str">
        <f t="shared" si="282"/>
        <v>nie</v>
      </c>
      <c r="CU139" s="128">
        <f t="shared" si="283"/>
        <v>3000</v>
      </c>
      <c r="CV139" s="128">
        <f t="shared" si="284"/>
        <v>135332.11291986649</v>
      </c>
      <c r="CW139" s="128">
        <f t="shared" si="285"/>
        <v>0</v>
      </c>
      <c r="CX139" s="130">
        <f t="shared" si="286"/>
        <v>4.2500000000000003E-2</v>
      </c>
      <c r="CY139" s="128">
        <f t="shared" si="287"/>
        <v>0</v>
      </c>
      <c r="CZ139" s="128">
        <f t="shared" si="288"/>
        <v>135332.11291986649</v>
      </c>
      <c r="DA139" s="20"/>
      <c r="DB139" s="127">
        <f t="shared" si="350"/>
        <v>1267</v>
      </c>
      <c r="DC139" s="128">
        <f t="shared" si="351"/>
        <v>126700</v>
      </c>
      <c r="DD139" s="128">
        <f t="shared" si="344"/>
        <v>126700</v>
      </c>
      <c r="DE139" s="128">
        <f t="shared" si="345"/>
        <v>133288.4</v>
      </c>
      <c r="DF139" s="130">
        <f t="shared" si="289"/>
        <v>4.8000000000000001E-2</v>
      </c>
      <c r="DG139" s="128">
        <f t="shared" si="290"/>
        <v>139686.2432</v>
      </c>
      <c r="DH139" s="128" t="str">
        <f t="shared" si="291"/>
        <v>nie</v>
      </c>
      <c r="DI139" s="128">
        <f t="shared" si="292"/>
        <v>2534</v>
      </c>
      <c r="DJ139" s="128">
        <f t="shared" si="355"/>
        <v>135166.31699200001</v>
      </c>
      <c r="DK139" s="128">
        <f t="shared" si="294"/>
        <v>0</v>
      </c>
      <c r="DL139" s="130">
        <f t="shared" si="295"/>
        <v>4.2500000000000003E-2</v>
      </c>
      <c r="DM139" s="128">
        <f t="shared" si="296"/>
        <v>24.300079911758765</v>
      </c>
      <c r="DN139" s="128">
        <f t="shared" si="297"/>
        <v>135190.61707191178</v>
      </c>
      <c r="DP139" s="127">
        <f t="shared" si="352"/>
        <v>1000</v>
      </c>
      <c r="DQ139" s="128">
        <f t="shared" si="353"/>
        <v>100000</v>
      </c>
      <c r="DR139" s="128">
        <f t="shared" si="346"/>
        <v>100000</v>
      </c>
      <c r="DS139" s="128">
        <f t="shared" si="347"/>
        <v>144298.25841226292</v>
      </c>
      <c r="DT139" s="130">
        <f t="shared" si="298"/>
        <v>5.3000000000000005E-2</v>
      </c>
      <c r="DU139" s="128">
        <f t="shared" si="299"/>
        <v>151946.06610811283</v>
      </c>
      <c r="DV139" s="128" t="str">
        <f t="shared" si="300"/>
        <v>nie</v>
      </c>
      <c r="DW139" s="128">
        <f t="shared" si="301"/>
        <v>3000</v>
      </c>
      <c r="DX139" s="128">
        <f t="shared" si="302"/>
        <v>139646.31354757139</v>
      </c>
      <c r="DY139" s="128">
        <f t="shared" si="303"/>
        <v>0</v>
      </c>
      <c r="DZ139" s="130">
        <f t="shared" si="304"/>
        <v>4.2500000000000003E-2</v>
      </c>
      <c r="EA139" s="128">
        <f t="shared" si="305"/>
        <v>0</v>
      </c>
      <c r="EB139" s="128">
        <f t="shared" si="306"/>
        <v>139646.31354757139</v>
      </c>
    </row>
    <row r="140" spans="1:132">
      <c r="A140" s="224"/>
      <c r="B140" s="188">
        <f t="shared" si="307"/>
        <v>96</v>
      </c>
      <c r="C140" s="128">
        <f t="shared" si="308"/>
        <v>135652.31482281789</v>
      </c>
      <c r="D140" s="128">
        <f t="shared" si="309"/>
        <v>134528.7981745259</v>
      </c>
      <c r="E140" s="128">
        <f t="shared" si="310"/>
        <v>133961.01093947669</v>
      </c>
      <c r="F140" s="128">
        <f t="shared" si="311"/>
        <v>133080.14193309747</v>
      </c>
      <c r="G140" s="128">
        <f t="shared" si="312"/>
        <v>135332.11291986649</v>
      </c>
      <c r="H140" s="128">
        <f t="shared" si="313"/>
        <v>135190.61707191178</v>
      </c>
      <c r="I140" s="128">
        <f t="shared" si="314"/>
        <v>139646.31354757139</v>
      </c>
      <c r="J140" s="128">
        <f t="shared" si="315"/>
        <v>131653.82146500333</v>
      </c>
      <c r="K140" s="128">
        <f t="shared" si="316"/>
        <v>124722.53153018578</v>
      </c>
      <c r="M140" s="36"/>
      <c r="N140" s="32">
        <f t="shared" si="317"/>
        <v>96</v>
      </c>
      <c r="O140" s="25">
        <f t="shared" si="318"/>
        <v>0.35652314822817899</v>
      </c>
      <c r="P140" s="25">
        <f t="shared" si="319"/>
        <v>0.34528798174525899</v>
      </c>
      <c r="Q140" s="25">
        <f t="shared" si="320"/>
        <v>0.33961010939476699</v>
      </c>
      <c r="R140" s="25">
        <f t="shared" ref="R140:R171" si="370">F140/zakup_domyslny_wartosc-1</f>
        <v>0.33080141933097473</v>
      </c>
      <c r="S140" s="25">
        <f t="shared" ref="S140:S171" si="371">G140/zakup_domyslny_wartosc-1</f>
        <v>0.35332112919866487</v>
      </c>
      <c r="T140" s="25">
        <f t="shared" ref="T140:T171" si="372">H140/zakup_domyslny_wartosc-1</f>
        <v>0.35190617071911778</v>
      </c>
      <c r="U140" s="25">
        <f t="shared" ref="U140:U171" si="373">I140/zakup_domyslny_wartosc-1</f>
        <v>0.39646313547571399</v>
      </c>
      <c r="V140" s="25">
        <f t="shared" ref="V140:V171" si="374">J140/zakup_domyslny_wartosc-1</f>
        <v>0.31653821465003329</v>
      </c>
      <c r="W140" s="25">
        <f t="shared" ref="W140:W171" si="375">K140/zakup_domyslny_wartosc-1</f>
        <v>0.24722531530185776</v>
      </c>
      <c r="X140" s="36"/>
      <c r="Y140" s="36"/>
      <c r="AA140" s="124">
        <f t="shared" si="321"/>
        <v>97</v>
      </c>
      <c r="AB140" s="128">
        <f t="shared" ref="AB140:AB171" si="376">zakup_domyslny_wartosc*IFERROR((INDEX(scenariusz_I_inflacja_skumulowana,MATCH(ROUNDDOWN(AA140/12,0),scenariusz_I_rok,0))+1),1)
*(1+MOD(AA140,12)*INDEX(scenariusz_I_inflacja,MATCH(ROUNDUP(AA140/12,0),scenariusz_I_rok,0))/12)</f>
        <v>125013.55077042287</v>
      </c>
      <c r="AC140" s="124">
        <f t="shared" si="322"/>
        <v>97</v>
      </c>
      <c r="AD140" s="130">
        <f t="shared" si="323"/>
        <v>4.2500000000000003E-2</v>
      </c>
      <c r="AE140" s="127">
        <f t="shared" si="324"/>
        <v>1362</v>
      </c>
      <c r="AF140" s="128">
        <f t="shared" si="325"/>
        <v>136068.5</v>
      </c>
      <c r="AG140" s="128">
        <f t="shared" si="348"/>
        <v>136200</v>
      </c>
      <c r="AH140" s="128">
        <f t="shared" si="357"/>
        <v>136200</v>
      </c>
      <c r="AI140" s="130">
        <f t="shared" ref="AI140:AI171" si="377">IF(AND(MOD($AA140,zapadalnosc_ROR)&lt;=zmiana_oprocentowania_co_ile_mc_ROR,MOD($AA140,zapadalnosc_ROR)&lt;&gt;0),proc_I_okres_ROR,(marza_ROR+AD140))</f>
        <v>4.2500000000000003E-2</v>
      </c>
      <c r="AJ140" s="128">
        <f t="shared" ref="AJ140:AJ171" si="378">AH140*(1+AI140*IF(MOD($AA140,wyplata_odsetek_ROR)&lt;&gt;0,MOD($AA140,wyplata_odsetek_ROR),wyplata_odsetek_ROR)/12)</f>
        <v>136682.37500000003</v>
      </c>
      <c r="AK140" s="128" t="str">
        <f t="shared" ref="AK140:AK171" si="379">IF(MOD($AA140,zapadalnosc_ROR)=0,"tak","nie")</f>
        <v>nie</v>
      </c>
      <c r="AL140" s="128">
        <f t="shared" ref="AL140:AL171" si="380">IF(MOD($AA140,zapadalnosc_ROR)=0,0,
IF(AND(MOD($AA140,zapadalnosc_ROR)&lt;zapadalnosc_ROR,MOD($AA140,zapadalnosc_ROR)&lt;=koszt_wczesniejszy_wykup_ochrona_ROR),
MIN(AJ140-AG140,AE140*koszt_wczesniejszy_wykup_ROR),AE140*koszt_wczesniejszy_wykup_ROR))</f>
        <v>482.3750000000291</v>
      </c>
      <c r="AM140" s="128">
        <f t="shared" si="361"/>
        <v>136200</v>
      </c>
      <c r="AN140" s="128">
        <f t="shared" ref="AN140:AN171" si="381">IF(MOD($AA140,wyplata_odsetek_ROR)=0, (AJ140-AG140)*(1-podatek_Belki),0)
+IF(AK140="tak",ROUNDDOWN(AJ140/zamiana_ROR,0)*(100-zamiana_ROR),0)</f>
        <v>390.72375000002359</v>
      </c>
      <c r="AO140" s="130">
        <f t="shared" ref="AO140:AO171" si="382">INDEX(scenariusz_I_konto,MATCH(ROUNDUP($AA140/12,0),scenariusz_I_rok,0))</f>
        <v>4.2500000000000003E-2</v>
      </c>
      <c r="AP140" s="128">
        <f t="shared" ref="AP140:AP171" si="383">(AP139-IF(AK139="tak",ROUNDDOWN(AP139/100,0)*100,0))*
(1+AO140/12*(1-podatek_Belki))+AN140</f>
        <v>474.7790165908886</v>
      </c>
      <c r="AQ140" s="128">
        <f t="shared" si="362"/>
        <v>140997.53839159088</v>
      </c>
      <c r="AS140" s="124">
        <f t="shared" si="327"/>
        <v>97</v>
      </c>
      <c r="AT140" s="130">
        <f t="shared" si="328"/>
        <v>4.2500000000000003E-2</v>
      </c>
      <c r="AU140" s="127">
        <f t="shared" si="329"/>
        <v>1350</v>
      </c>
      <c r="AV140" s="128">
        <f t="shared" si="330"/>
        <v>134874.40000000002</v>
      </c>
      <c r="AW140" s="128">
        <f t="shared" si="363"/>
        <v>135000</v>
      </c>
      <c r="AX140" s="128">
        <f t="shared" si="358"/>
        <v>135000</v>
      </c>
      <c r="AY140" s="130">
        <f t="shared" ref="AY140:AY171" si="384">IF(AND(MOD($AA140,zapadalnosc_DOR)&lt;=zmiana_oprocentowania_co_ile_mc_DOR,MOD($AA140,zapadalnosc_DOR)&lt;&gt;0),proc_I_okres_DOR,(marza_DOR+AT140))</f>
        <v>4.3999999999999997E-2</v>
      </c>
      <c r="AZ140" s="128">
        <f t="shared" ref="AZ140:AZ171" si="385">AX140*(1+AY140*IF(MOD($AA140,wyplata_odsetek_DOR)&lt;&gt;0,MOD($AA140,wyplata_odsetek_DOR),wyplata_odsetek_DOR)/12)</f>
        <v>135495</v>
      </c>
      <c r="BA140" s="128" t="str">
        <f t="shared" ref="BA140:BA171" si="386">IF(MOD($AA140,zapadalnosc_DOR)=0,"tak","nie")</f>
        <v>nie</v>
      </c>
      <c r="BB140" s="128">
        <f t="shared" ref="BB140:BB171" si="387">IF(MOD($AA140,zapadalnosc_DOR)=0,0,
IF(AND(MOD($AA140,zapadalnosc_DOR)&lt;zapadalnosc_DOR,MOD($AA140,zapadalnosc_DOR)&lt;=koszt_wczesniejszy_wykup_ochrona_DOR),
MIN(AZ140-AW140,AU140*koszt_wczesniejszy_wykup_DOR),AU140*koszt_wczesniejszy_wykup_DOR))</f>
        <v>495</v>
      </c>
      <c r="BC140" s="128">
        <f t="shared" si="367"/>
        <v>135000</v>
      </c>
      <c r="BD140" s="128">
        <f t="shared" ref="BD140:BD171" si="388">IF(MOD($AA140,wyplata_odsetek_DOR)=0, (AZ140-AW140)*(1-podatek_Belki),0)
+IF(BA140="tak",ROUNDDOWN(AZ140/zamiana_DOR,0)*(100-zamiana_DOR),0)</f>
        <v>400.95000000000005</v>
      </c>
      <c r="BE140" s="130">
        <f t="shared" si="264"/>
        <v>4.2500000000000003E-2</v>
      </c>
      <c r="BF140" s="128">
        <f t="shared" ref="BF140:BF171" si="389">(BF139-IF(BA139="tak",ROUNDDOWN(BF139/100,0)*100,0))*
(1+BE140/12*(1-podatek_Belki))+BD140</f>
        <v>455.60451616408324</v>
      </c>
      <c r="BG140" s="128">
        <f t="shared" si="368"/>
        <v>144481.62076616409</v>
      </c>
      <c r="BI140" s="124">
        <f t="shared" si="332"/>
        <v>97</v>
      </c>
      <c r="BJ140" s="130">
        <f t="shared" si="354"/>
        <v>4.1300000000000003E-2</v>
      </c>
      <c r="BK140" s="127">
        <f t="shared" si="333"/>
        <v>1252</v>
      </c>
      <c r="BL140" s="128">
        <f t="shared" si="334"/>
        <v>125074.8</v>
      </c>
      <c r="BM140" s="128">
        <f t="shared" si="349"/>
        <v>125200</v>
      </c>
      <c r="BN140" s="128">
        <f t="shared" si="335"/>
        <v>137114.3137</v>
      </c>
      <c r="BO140" s="130">
        <f t="shared" ref="BO140:BO171" si="390">IF(AND(MOD($AA140,zapadalnosc_TOS)&lt;=12,MOD($AA140,zapadalnosc_TOS)&lt;&gt;0),proc_I_okres_TOS,(marza_TOS+proc_I_okres_TOS))</f>
        <v>4.65E-2</v>
      </c>
      <c r="BP140" s="128">
        <f t="shared" ref="BP140:BP171" si="391">BN140*(1+BO140*IF(MOD($AA140,12)&lt;&gt;0,MOD($AA140,12),12)/12)</f>
        <v>137645.63166558751</v>
      </c>
      <c r="BQ140" s="128" t="str">
        <f t="shared" ref="BQ140:BQ171" si="392">IF(MOD($AA140,zapadalnosc_TOS)=0,"tak","nie")</f>
        <v>nie</v>
      </c>
      <c r="BR140" s="128">
        <f t="shared" ref="BR140:BR171" si="393">IF(MOD($AA140,zapadalnosc_TOS)=0,0,
IF(AND(MOD($AA140,zapadalnosc_TOS)&lt;zapadalnosc_TOS,MOD($AA140,zapadalnosc_TOS)&lt;=koszt_wczesniejszy_wykup_ochrona_TOS),
MIN(BP140-BM140,BK140*koszt_wczesniejszy_wykup_TOS),BK140*koszt_wczesniejszy_wykup_TOS))</f>
        <v>1252</v>
      </c>
      <c r="BS140" s="128">
        <f t="shared" si="364"/>
        <v>134266.84164912588</v>
      </c>
      <c r="BT140" s="128">
        <f>IF(AND(BQ140="tak",BL141&lt;&gt;""),
 BS140-BL141,
0)</f>
        <v>0</v>
      </c>
      <c r="BU140" s="130">
        <f t="shared" ref="BU140:BU171" si="394">INDEX(scenariusz_I_konto,MATCH(ROUNDUP($AA140/12,0),scenariusz_I_rok,0))</f>
        <v>4.2500000000000003E-2</v>
      </c>
      <c r="BV140" s="128">
        <f t="shared" si="271"/>
        <v>124.89410754353472</v>
      </c>
      <c r="BW140" s="128">
        <f t="shared" si="365"/>
        <v>134391.73575666943</v>
      </c>
      <c r="BY140" s="130">
        <f t="shared" si="360"/>
        <v>2.8000000000000001E-2</v>
      </c>
      <c r="BZ140" s="127">
        <f t="shared" si="337"/>
        <v>1331</v>
      </c>
      <c r="CA140" s="128">
        <f t="shared" si="338"/>
        <v>132980.5</v>
      </c>
      <c r="CB140" s="128">
        <f t="shared" si="366"/>
        <v>133100</v>
      </c>
      <c r="CC140" s="128">
        <f t="shared" si="359"/>
        <v>133100</v>
      </c>
      <c r="CD140" s="130">
        <f t="shared" ref="CD140:CD171" si="395">IF(AND(MOD($AA140,zapadalnosc_COI)&lt;=zmiana_oprocentowania_co_ile_mc_COI,MOD($AA140,zapadalnosc_COI)&lt;&gt;0),proc_I_okres_COI,(marza_COI+BY140))</f>
        <v>0.05</v>
      </c>
      <c r="CE140" s="128">
        <f t="shared" ref="CE140:CE171" si="396">CC140*(1+CD140*IF(MOD($AA140,wyplata_odsetek_COI)&lt;&gt;0,MOD($AA140,wyplata_odsetek_COI),wyplata_odsetek_COI)/12)</f>
        <v>133654.58333333334</v>
      </c>
      <c r="CF140" s="128" t="str">
        <f t="shared" ref="CF140:CF171" si="397">IF(MOD($AA140,zapadalnosc_COI)=0,"tak","nie")</f>
        <v>nie</v>
      </c>
      <c r="CG140" s="128">
        <f t="shared" ref="CG140:CG171" si="398">IF(MOD($AA140,zapadalnosc_COI)=0,0,
IF(AND(MOD($AA140,zapadalnosc_COI)&lt;zapadalnosc_COI,MOD($AA140,zapadalnosc_COI)&lt;=koszt_wczesniejszy_wykup_ochrona_COI),
MIN(CE140-CB140,BZ140*koszt_wczesniejszy_wykup_COI),BZ140*koszt_wczesniejszy_wykup_COI))</f>
        <v>554.58333333334303</v>
      </c>
      <c r="CH140" s="128">
        <f t="shared" si="369"/>
        <v>133100</v>
      </c>
      <c r="CI140" s="128">
        <f t="shared" ref="CI140:CI171" si="399" xml:space="preserve"> IF(CF140="tak",
CH140-ROUNDDOWN(CH140/zamiana_COI,0)*zamiana_COI,
IF(MOD($AA140,wyplata_odsetek_COI)=0, (CE140-CB140)*(1-podatek_Belki),0))</f>
        <v>0</v>
      </c>
      <c r="CJ140" s="130">
        <f t="shared" si="277"/>
        <v>4.2500000000000003E-2</v>
      </c>
      <c r="CK140" s="128">
        <f t="shared" ref="CK140:CK171" si="400">(CK139-IF(CF139="tak",ROUNDDOWN(CK139/100,0)*100,0))*
(1+CJ140/12*(1-podatek_Belki))+CI140</f>
        <v>99.927780893044712</v>
      </c>
      <c r="CL140" s="128">
        <f t="shared" ref="CL140:CL171" si="401">(CK139-IF(MOD($AA139,zapadalnosc_COI)=0,ROUNDDOWN(CK139/100,0)*100,0))*(1+CJ140/12*(1-podatek_Belki))+CH140</f>
        <v>133199.92778089305</v>
      </c>
      <c r="CN140" s="127">
        <f t="shared" si="340"/>
        <v>1000</v>
      </c>
      <c r="CO140" s="128">
        <f t="shared" si="341"/>
        <v>100000</v>
      </c>
      <c r="CP140" s="128">
        <f t="shared" si="342"/>
        <v>100000</v>
      </c>
      <c r="CQ140" s="128">
        <f t="shared" si="343"/>
        <v>146619.89249366234</v>
      </c>
      <c r="CR140" s="130">
        <f t="shared" ref="CR140:CR171" si="402">IF(AND(MOD($AA140,zapadalnosc_EDO)&lt;=12,MOD($AA140,zapadalnosc_EDO)&lt;&gt;0),proc_I_okres_EDO,(marza_EDO+$BY140))</f>
        <v>4.8000000000000001E-2</v>
      </c>
      <c r="CS140" s="128">
        <f t="shared" ref="CS140:CS171" si="403">CQ140*(1+CR140*IF(MOD($AA140,12)&lt;&gt;0,MOD($AA140,12),12)/12)</f>
        <v>147206.37206363698</v>
      </c>
      <c r="CT140" s="128" t="str">
        <f t="shared" ref="CT140:CT171" si="404">IF(MOD($AA140,zapadalnosc_EDO)=0,"tak","nie")</f>
        <v>nie</v>
      </c>
      <c r="CU140" s="128">
        <f t="shared" ref="CU140:CU171" si="405">IF(AND(MOD($AA140,zapadalnosc_EDO)&lt;zapadalnosc_EDO,MOD($AA140,zapadalnosc_EDO)&lt;&gt;0),MIN(CS140-CP140,CN140*koszt_wczesniejszy_wykup_EDO),0)</f>
        <v>3000</v>
      </c>
      <c r="CV140" s="128">
        <f t="shared" ref="CV140:CV171" si="406">CS140-CU140
-(CS140-CP140-CU140)*podatek_Belki</f>
        <v>135807.16137154595</v>
      </c>
      <c r="CW140" s="128">
        <f t="shared" si="285"/>
        <v>0</v>
      </c>
      <c r="CX140" s="130">
        <f t="shared" ref="CX140:CX171" si="407">INDEX(scenariusz_I_konto,MATCH(ROUNDUP($AA140/12,0),scenariusz_I_rok,0))</f>
        <v>4.2500000000000003E-2</v>
      </c>
      <c r="CY140" s="128">
        <f t="shared" ref="CY140:CY171" si="408">CY139*(1+CX140/12*(1-podatek_Belki))+CW140</f>
        <v>0</v>
      </c>
      <c r="CZ140" s="128">
        <f t="shared" ref="CZ140:CZ171" si="409">CY139*(1+CX140/12*(1-podatek_Belki))+CV140</f>
        <v>135807.16137154595</v>
      </c>
      <c r="DA140" s="20"/>
      <c r="DB140" s="127">
        <f t="shared" si="350"/>
        <v>1267</v>
      </c>
      <c r="DC140" s="128">
        <f t="shared" si="351"/>
        <v>126700</v>
      </c>
      <c r="DD140" s="128">
        <f t="shared" si="344"/>
        <v>126700</v>
      </c>
      <c r="DE140" s="128">
        <f t="shared" si="345"/>
        <v>139686.2432</v>
      </c>
      <c r="DF140" s="130">
        <f t="shared" ref="DF140:DF171" si="410">IF(AND(MOD($AA140,zapadalnosc_ROS)&lt;=12,MOD($AA140,zapadalnosc_ROS)&lt;&gt;0),proc_I_okres_ROS,(marza_ROS+$BY140))</f>
        <v>4.8000000000000001E-2</v>
      </c>
      <c r="DG140" s="128">
        <f t="shared" ref="DG140:DG171" si="411">DE140*(1+DF140*IF(MOD($AA140,12)&lt;&gt;0,MOD($AA140,12),12)/12)</f>
        <v>140244.98817279999</v>
      </c>
      <c r="DH140" s="128" t="str">
        <f t="shared" ref="DH140:DH171" si="412">IF(MOD($AA140,zapadalnosc_ROS)=0,"tak","nie")</f>
        <v>nie</v>
      </c>
      <c r="DI140" s="128">
        <f t="shared" ref="DI140:DI171" si="413">IF(AND(MOD($AA140,zapadalnosc_ROS)&lt;zapadalnosc_ROS,MOD($AA140,zapadalnosc_ROS)&lt;&gt;0),MIN(DG140-DD140,DB140*koszt_wczesniejszy_wykup_ROS),0)</f>
        <v>2534</v>
      </c>
      <c r="DJ140" s="128">
        <f t="shared" si="355"/>
        <v>135618.90041996801</v>
      </c>
      <c r="DK140" s="128">
        <f t="shared" si="294"/>
        <v>0</v>
      </c>
      <c r="DL140" s="130">
        <f t="shared" ref="DL140:DL171" si="414">INDEX(scenariusz_I_konto,MATCH(ROUNDUP($AA140/12,0),scenariusz_I_rok,0))</f>
        <v>4.2500000000000003E-2</v>
      </c>
      <c r="DM140" s="128">
        <f t="shared" ref="DM140:DM171" si="415">DM139*(1+DL140/12*(1-podatek_Belki))+DK140</f>
        <v>24.369790766005622</v>
      </c>
      <c r="DN140" s="128">
        <f t="shared" ref="DN140:DN171" si="416">DM139*(1+DL140/12*(1-podatek_Belki))+DJ140</f>
        <v>135643.27021073402</v>
      </c>
      <c r="DP140" s="127">
        <f t="shared" si="352"/>
        <v>1000</v>
      </c>
      <c r="DQ140" s="128">
        <f t="shared" si="353"/>
        <v>100000</v>
      </c>
      <c r="DR140" s="128">
        <f t="shared" si="346"/>
        <v>100000</v>
      </c>
      <c r="DS140" s="128">
        <f t="shared" si="347"/>
        <v>151946.06610811283</v>
      </c>
      <c r="DT140" s="130">
        <f t="shared" ref="DT140:DT171" si="417">IF(AND(MOD($AA140,zapadalnosc_ROD)&lt;=12,MOD($AA140,zapadalnosc_ROD)&lt;&gt;0),proc_I_okres_ROD,(marza_ROD+$BY140))</f>
        <v>5.3000000000000005E-2</v>
      </c>
      <c r="DU140" s="128">
        <f t="shared" ref="DU140:DU171" si="418">DS140*(1+DT140*IF(MOD($AA140,12)&lt;&gt;0,MOD($AA140,12),12)/12)</f>
        <v>152617.16123342369</v>
      </c>
      <c r="DV140" s="128" t="str">
        <f t="shared" ref="DV140:DV171" si="419">IF(MOD($AA140,zapadalnosc_ROD)=0,"tak","nie")</f>
        <v>nie</v>
      </c>
      <c r="DW140" s="128">
        <f t="shared" ref="DW140:DW171" si="420">IF(AND(MOD($AA140,zapadalnosc_ROD)&lt;zapadalnosc_ROD,MOD($AA140,zapadalnosc_ROD)&lt;&gt;0),MIN(DU140-DR140,DP140*koszt_wczesniejszy_wykup_ROD),0)</f>
        <v>3000</v>
      </c>
      <c r="DX140" s="128">
        <f t="shared" si="302"/>
        <v>140189.90059907318</v>
      </c>
      <c r="DY140" s="128">
        <f t="shared" si="303"/>
        <v>0</v>
      </c>
      <c r="DZ140" s="130">
        <f t="shared" ref="DZ140:DZ171" si="421">INDEX(scenariusz_I_konto,MATCH(ROUNDUP($AA140/12,0),scenariusz_I_rok,0))</f>
        <v>4.2500000000000003E-2</v>
      </c>
      <c r="EA140" s="128">
        <f t="shared" ref="EA140:EA171" si="422">EA139*(1+DZ140/12*(1-podatek_Belki))+DY140</f>
        <v>0</v>
      </c>
      <c r="EB140" s="128">
        <f t="shared" ref="EB140:EB171" si="423">EA139*(1+DZ140/12*(1-podatek_Belki))+DX140</f>
        <v>140189.90059907318</v>
      </c>
    </row>
    <row r="141" spans="1:132">
      <c r="A141" s="224">
        <f>ROUNDUP(B152/12,0)</f>
        <v>9</v>
      </c>
      <c r="B141" s="188">
        <f t="shared" ref="B141:B172" si="424">AA140</f>
        <v>97</v>
      </c>
      <c r="C141" s="128">
        <f t="shared" ref="C141:C172" si="425">AQ140</f>
        <v>140997.53839159088</v>
      </c>
      <c r="D141" s="128">
        <f t="shared" ref="D141:D172" si="426">BG140</f>
        <v>144481.62076616409</v>
      </c>
      <c r="E141" s="128">
        <f t="shared" ref="E141:E172" si="427">BW140</f>
        <v>134391.73575666943</v>
      </c>
      <c r="F141" s="128">
        <f t="shared" ref="F141:F172" si="428">CL140</f>
        <v>133199.92778089305</v>
      </c>
      <c r="G141" s="128">
        <f t="shared" ref="G141:G172" si="429">CZ140</f>
        <v>135807.16137154595</v>
      </c>
      <c r="H141" s="128">
        <f t="shared" ref="H141:H172" si="430">DN140</f>
        <v>135643.27021073402</v>
      </c>
      <c r="I141" s="128">
        <f t="shared" ref="I141:I172" si="431">EB140</f>
        <v>140189.90059907318</v>
      </c>
      <c r="J141" s="128">
        <f t="shared" ref="J141:J172" si="432">FV(INDEX(scenariusz_I_konto,MATCH(ROUNDUP(B141/12,0),scenariusz_I_rok,0))/12*(1-podatek_Belki),1,0,-J140,1)</f>
        <v>132031.50336533107</v>
      </c>
      <c r="K141" s="128">
        <f t="shared" ref="K141:K172" si="433">AB140</f>
        <v>125013.55077042287</v>
      </c>
      <c r="M141" s="36"/>
      <c r="N141" s="32">
        <f t="shared" ref="N141:N172" si="434">B141</f>
        <v>97</v>
      </c>
      <c r="O141" s="25">
        <f t="shared" si="318"/>
        <v>0.40997538391590882</v>
      </c>
      <c r="P141" s="25">
        <f t="shared" si="319"/>
        <v>0.44481620766164087</v>
      </c>
      <c r="Q141" s="25">
        <f t="shared" si="320"/>
        <v>0.34391735756669428</v>
      </c>
      <c r="R141" s="25">
        <f t="shared" si="370"/>
        <v>0.33199927780893046</v>
      </c>
      <c r="S141" s="25">
        <f t="shared" si="371"/>
        <v>0.35807161371545959</v>
      </c>
      <c r="T141" s="25">
        <f t="shared" si="372"/>
        <v>0.35643270210734013</v>
      </c>
      <c r="U141" s="25">
        <f t="shared" si="373"/>
        <v>0.40189900599073192</v>
      </c>
      <c r="V141" s="25">
        <f t="shared" si="374"/>
        <v>0.32031503365331071</v>
      </c>
      <c r="W141" s="25">
        <f t="shared" si="375"/>
        <v>0.25013550770422865</v>
      </c>
      <c r="X141" s="36"/>
      <c r="Y141" s="36"/>
      <c r="AA141" s="124">
        <f t="shared" si="321"/>
        <v>98</v>
      </c>
      <c r="AB141" s="128">
        <f t="shared" si="376"/>
        <v>125304.57001065997</v>
      </c>
      <c r="AC141" s="124">
        <f t="shared" si="322"/>
        <v>98</v>
      </c>
      <c r="AD141" s="130">
        <f t="shared" ref="AD141:AD172" si="435">MAX(INDEX(scenariusz_I_stopa_NBP,MATCH(ROUNDUP(AC141/12,0),scenariusz_I_rok,0)),0)</f>
        <v>4.2500000000000003E-2</v>
      </c>
      <c r="AE141" s="127">
        <f t="shared" ref="AE141:AE172" si="436">IF(AK140="tak",
ROUNDDOWN(AM140/zamiana_ROR,0)+ROUNDDOWN(AP140/100,0),
AE140)</f>
        <v>1362</v>
      </c>
      <c r="AF141" s="128">
        <f t="shared" ref="AF141:AF172" si="437">IF(AK140="tak",
ROUNDDOWN(AM140/zamiana_ROR,0)*zamiana_ROR+ROUNDDOWN(AP140/100,0)*100,
AF140)</f>
        <v>136068.5</v>
      </c>
      <c r="AG141" s="128">
        <f t="shared" si="348"/>
        <v>136200</v>
      </c>
      <c r="AH141" s="128">
        <f t="shared" si="357"/>
        <v>136200</v>
      </c>
      <c r="AI141" s="130">
        <f t="shared" si="377"/>
        <v>4.2500000000000003E-2</v>
      </c>
      <c r="AJ141" s="128">
        <f t="shared" si="378"/>
        <v>136682.37500000003</v>
      </c>
      <c r="AK141" s="128" t="str">
        <f t="shared" si="379"/>
        <v>nie</v>
      </c>
      <c r="AL141" s="128">
        <f t="shared" si="380"/>
        <v>681</v>
      </c>
      <c r="AM141" s="128">
        <f t="shared" si="361"/>
        <v>136039.11375000002</v>
      </c>
      <c r="AN141" s="128">
        <f t="shared" si="381"/>
        <v>390.72375000002359</v>
      </c>
      <c r="AO141" s="130">
        <f t="shared" si="382"/>
        <v>4.2500000000000003E-2</v>
      </c>
      <c r="AP141" s="128">
        <f t="shared" si="383"/>
        <v>866.86478889475734</v>
      </c>
      <c r="AQ141" s="128">
        <f t="shared" si="362"/>
        <v>136515.25478889476</v>
      </c>
      <c r="AS141" s="124">
        <f t="shared" si="327"/>
        <v>98</v>
      </c>
      <c r="AT141" s="130">
        <f t="shared" si="328"/>
        <v>4.2500000000000003E-2</v>
      </c>
      <c r="AU141" s="127">
        <f t="shared" ref="AU141:AU172" si="438">IF(BA140="tak",
ROUNDDOWN(BC140/zamiana_DOR,0)+ROUNDDOWN(BF140/100,0),
AU140)</f>
        <v>1350</v>
      </c>
      <c r="AV141" s="128">
        <f t="shared" ref="AV141:AV172" si="439">IF(BA140="tak",
ROUNDDOWN(BC140/zamiana_DOR,0)*zamiana_DOR+ROUNDDOWN(BF140/100,0)*100,
AV140)</f>
        <v>134874.40000000002</v>
      </c>
      <c r="AW141" s="128">
        <f t="shared" si="363"/>
        <v>135000</v>
      </c>
      <c r="AX141" s="128">
        <f t="shared" si="358"/>
        <v>135000</v>
      </c>
      <c r="AY141" s="130">
        <f t="shared" si="384"/>
        <v>4.4000000000000004E-2</v>
      </c>
      <c r="AZ141" s="128">
        <f t="shared" si="385"/>
        <v>135495</v>
      </c>
      <c r="BA141" s="128" t="str">
        <f t="shared" si="386"/>
        <v>nie</v>
      </c>
      <c r="BB141" s="128">
        <f t="shared" si="387"/>
        <v>944.99999999999989</v>
      </c>
      <c r="BC141" s="128">
        <f t="shared" si="367"/>
        <v>134635.5</v>
      </c>
      <c r="BD141" s="128">
        <f t="shared" si="388"/>
        <v>400.95000000000005</v>
      </c>
      <c r="BE141" s="130">
        <f t="shared" si="264"/>
        <v>4.2500000000000003E-2</v>
      </c>
      <c r="BF141" s="128">
        <f t="shared" si="389"/>
        <v>857.86153161982907</v>
      </c>
      <c r="BG141" s="128">
        <f t="shared" si="368"/>
        <v>135092.41153161981</v>
      </c>
      <c r="BI141" s="124">
        <f t="shared" si="332"/>
        <v>98</v>
      </c>
      <c r="BJ141" s="130">
        <f t="shared" si="354"/>
        <v>4.1300000000000003E-2</v>
      </c>
      <c r="BK141" s="127">
        <f t="shared" ref="BK141:BK172" si="440">IF(BQ140="tak",
ROUNDDOWN(BS140/zamiana_TOS,0),
BK140)</f>
        <v>1252</v>
      </c>
      <c r="BL141" s="128">
        <f t="shared" ref="BL141:BL172" si="441">IF(BQ140="tak",
BK141*zamiana_TOS,
BL140)</f>
        <v>125074.8</v>
      </c>
      <c r="BM141" s="128">
        <f t="shared" si="349"/>
        <v>125200</v>
      </c>
      <c r="BN141" s="128">
        <f t="shared" ref="BN141:BN172" si="442">IF(BQ140="tak",
 BM141,
IF(MOD($AA141,kapitalizacja_odsetek_mc_ROS)&lt;&gt;1,BN140,BP140))</f>
        <v>137114.3137</v>
      </c>
      <c r="BO141" s="130">
        <f t="shared" si="390"/>
        <v>4.65E-2</v>
      </c>
      <c r="BP141" s="128">
        <f t="shared" si="391"/>
        <v>138176.949631175</v>
      </c>
      <c r="BQ141" s="128" t="str">
        <f t="shared" si="392"/>
        <v>nie</v>
      </c>
      <c r="BR141" s="128">
        <f t="shared" si="393"/>
        <v>1252</v>
      </c>
      <c r="BS141" s="128">
        <f t="shared" si="364"/>
        <v>134697.20920125174</v>
      </c>
      <c r="BT141" s="128">
        <f t="shared" ref="BT141:BT165" si="443">IF(AND(BQ141="tak",BL142&lt;&gt;""),
 BS141-BL142,
0)</f>
        <v>0</v>
      </c>
      <c r="BU141" s="130">
        <f t="shared" si="394"/>
        <v>4.2500000000000003E-2</v>
      </c>
      <c r="BV141" s="128">
        <f t="shared" si="271"/>
        <v>125.25239751455022</v>
      </c>
      <c r="BW141" s="128">
        <f t="shared" si="365"/>
        <v>134822.4615987663</v>
      </c>
      <c r="BY141" s="130">
        <f t="shared" si="360"/>
        <v>2.8000000000000001E-2</v>
      </c>
      <c r="BZ141" s="127">
        <f t="shared" ref="BZ141:BZ172" si="444">IF(CF140="tak",
ROUNDDOWN(CH140/zamiana_COI,0)+ROUNDDOWN(CK140/100,0),
BZ140)</f>
        <v>1331</v>
      </c>
      <c r="CA141" s="128">
        <f t="shared" ref="CA141:CA172" si="445">IF(CF140="tak",
ROUNDDOWN(CH140/zamiana_COI,0)*zamiana_COI+ROUNDDOWN(CK140/100,0)*100,
CA140)</f>
        <v>132980.5</v>
      </c>
      <c r="CB141" s="128">
        <f t="shared" si="366"/>
        <v>133100</v>
      </c>
      <c r="CC141" s="128">
        <f t="shared" si="359"/>
        <v>133100</v>
      </c>
      <c r="CD141" s="130">
        <f t="shared" si="395"/>
        <v>0.05</v>
      </c>
      <c r="CE141" s="128">
        <f t="shared" si="396"/>
        <v>134209.16666666666</v>
      </c>
      <c r="CF141" s="128" t="str">
        <f t="shared" si="397"/>
        <v>nie</v>
      </c>
      <c r="CG141" s="128">
        <f t="shared" si="398"/>
        <v>1109.166666666657</v>
      </c>
      <c r="CH141" s="128">
        <f t="shared" si="369"/>
        <v>133100</v>
      </c>
      <c r="CI141" s="128">
        <f t="shared" si="399"/>
        <v>0</v>
      </c>
      <c r="CJ141" s="130">
        <f t="shared" si="277"/>
        <v>4.2500000000000003E-2</v>
      </c>
      <c r="CK141" s="128">
        <f t="shared" si="400"/>
        <v>100.21444871448163</v>
      </c>
      <c r="CL141" s="128">
        <f t="shared" si="401"/>
        <v>133200.21444871448</v>
      </c>
      <c r="CN141" s="127">
        <f t="shared" ref="CN141:CN172" si="446">IF(CT140="tak",
ROUNDDOWN(CV140/zamiana_EDO,0),
CN140)</f>
        <v>1000</v>
      </c>
      <c r="CO141" s="128">
        <f t="shared" ref="CO141:CO172" si="447">IF(CT140="tak",
CN141*zamiana_EDO,
CO140)</f>
        <v>100000</v>
      </c>
      <c r="CP141" s="128">
        <f t="shared" si="342"/>
        <v>100000</v>
      </c>
      <c r="CQ141" s="128">
        <f t="shared" ref="CQ141:CQ172" si="448">IF(CT140="tak",
 CP141,
IF(MOD($AA141,kapitalizacja_odsetek_mc_EDO)&lt;&gt;1,CQ140,CS140))</f>
        <v>146619.89249366234</v>
      </c>
      <c r="CR141" s="130">
        <f t="shared" si="402"/>
        <v>4.8000000000000001E-2</v>
      </c>
      <c r="CS141" s="128">
        <f t="shared" si="403"/>
        <v>147792.85163361163</v>
      </c>
      <c r="CT141" s="128" t="str">
        <f t="shared" si="404"/>
        <v>nie</v>
      </c>
      <c r="CU141" s="128">
        <f t="shared" si="405"/>
        <v>3000</v>
      </c>
      <c r="CV141" s="128">
        <f t="shared" si="406"/>
        <v>136282.20982322542</v>
      </c>
      <c r="CW141" s="128">
        <f t="shared" si="285"/>
        <v>0</v>
      </c>
      <c r="CX141" s="130">
        <f t="shared" si="407"/>
        <v>4.2500000000000003E-2</v>
      </c>
      <c r="CY141" s="128">
        <f t="shared" si="408"/>
        <v>0</v>
      </c>
      <c r="CZ141" s="128">
        <f t="shared" si="409"/>
        <v>136282.20982322542</v>
      </c>
      <c r="DA141" s="20"/>
      <c r="DB141" s="127">
        <f t="shared" si="350"/>
        <v>1267</v>
      </c>
      <c r="DC141" s="128">
        <f t="shared" si="351"/>
        <v>126700</v>
      </c>
      <c r="DD141" s="128">
        <f t="shared" si="344"/>
        <v>126700</v>
      </c>
      <c r="DE141" s="128">
        <f t="shared" ref="DE141:DE172" si="449">IF(DH140="tak",
 DD141,
IF(MOD($AA141,kapitalizacja_odsetek_mc_ROS)&lt;&gt;1,DE140,DG140))</f>
        <v>139686.2432</v>
      </c>
      <c r="DF141" s="130">
        <f t="shared" si="410"/>
        <v>4.8000000000000001E-2</v>
      </c>
      <c r="DG141" s="128">
        <f t="shared" si="411"/>
        <v>140803.73314560001</v>
      </c>
      <c r="DH141" s="128" t="str">
        <f t="shared" si="412"/>
        <v>nie</v>
      </c>
      <c r="DI141" s="128">
        <f t="shared" si="413"/>
        <v>2534</v>
      </c>
      <c r="DJ141" s="128">
        <f t="shared" si="355"/>
        <v>136071.483847936</v>
      </c>
      <c r="DK141" s="128">
        <f t="shared" si="294"/>
        <v>0</v>
      </c>
      <c r="DL141" s="130">
        <f t="shared" si="414"/>
        <v>4.2500000000000003E-2</v>
      </c>
      <c r="DM141" s="128">
        <f t="shared" si="415"/>
        <v>24.4397016032656</v>
      </c>
      <c r="DN141" s="128">
        <f t="shared" si="416"/>
        <v>136095.92354953926</v>
      </c>
      <c r="DP141" s="127">
        <f t="shared" si="352"/>
        <v>1000</v>
      </c>
      <c r="DQ141" s="128">
        <f t="shared" si="353"/>
        <v>100000</v>
      </c>
      <c r="DR141" s="128">
        <f t="shared" si="346"/>
        <v>100000</v>
      </c>
      <c r="DS141" s="128">
        <f t="shared" ref="DS141:DS172" si="450">IF(DV140="tak",
 DR141,
IF(MOD($AA141,kapitalizacja_odsetek_mc_ROD)&lt;&gt;1,DS140,DU140))</f>
        <v>151946.06610811283</v>
      </c>
      <c r="DT141" s="130">
        <f t="shared" si="417"/>
        <v>5.3000000000000005E-2</v>
      </c>
      <c r="DU141" s="128">
        <f t="shared" si="418"/>
        <v>153288.25635873448</v>
      </c>
      <c r="DV141" s="128" t="str">
        <f t="shared" si="419"/>
        <v>nie</v>
      </c>
      <c r="DW141" s="128">
        <f t="shared" si="420"/>
        <v>3000</v>
      </c>
      <c r="DX141" s="128">
        <f t="shared" si="302"/>
        <v>140733.48765057494</v>
      </c>
      <c r="DY141" s="128">
        <f t="shared" si="303"/>
        <v>0</v>
      </c>
      <c r="DZ141" s="130">
        <f t="shared" si="421"/>
        <v>4.2500000000000003E-2</v>
      </c>
      <c r="EA141" s="128">
        <f t="shared" si="422"/>
        <v>0</v>
      </c>
      <c r="EB141" s="128">
        <f t="shared" si="423"/>
        <v>140733.48765057494</v>
      </c>
    </row>
    <row r="142" spans="1:132">
      <c r="A142" s="224"/>
      <c r="B142" s="188">
        <f t="shared" si="424"/>
        <v>98</v>
      </c>
      <c r="C142" s="128">
        <f t="shared" si="425"/>
        <v>136515.25478889476</v>
      </c>
      <c r="D142" s="128">
        <f t="shared" si="426"/>
        <v>135092.41153161981</v>
      </c>
      <c r="E142" s="128">
        <f t="shared" si="427"/>
        <v>134822.4615987663</v>
      </c>
      <c r="F142" s="128">
        <f t="shared" si="428"/>
        <v>133200.21444871448</v>
      </c>
      <c r="G142" s="128">
        <f t="shared" si="429"/>
        <v>136282.20982322542</v>
      </c>
      <c r="H142" s="128">
        <f t="shared" si="430"/>
        <v>136095.92354953926</v>
      </c>
      <c r="I142" s="128">
        <f t="shared" si="431"/>
        <v>140733.48765057494</v>
      </c>
      <c r="J142" s="128">
        <f t="shared" si="432"/>
        <v>132410.26874061037</v>
      </c>
      <c r="K142" s="128">
        <f t="shared" si="433"/>
        <v>125304.57001065997</v>
      </c>
      <c r="M142" s="36"/>
      <c r="N142" s="32">
        <f t="shared" si="434"/>
        <v>98</v>
      </c>
      <c r="O142" s="25">
        <f t="shared" si="318"/>
        <v>0.36515254788894769</v>
      </c>
      <c r="P142" s="25">
        <f t="shared" si="319"/>
        <v>0.35092411531619816</v>
      </c>
      <c r="Q142" s="25">
        <f t="shared" si="320"/>
        <v>0.34822461598766297</v>
      </c>
      <c r="R142" s="25">
        <f t="shared" si="370"/>
        <v>0.33200214448714482</v>
      </c>
      <c r="S142" s="25">
        <f t="shared" si="371"/>
        <v>0.36282209823225431</v>
      </c>
      <c r="T142" s="25">
        <f t="shared" si="372"/>
        <v>0.36095923549539255</v>
      </c>
      <c r="U142" s="25">
        <f t="shared" si="373"/>
        <v>0.4073348765057494</v>
      </c>
      <c r="V142" s="25">
        <f t="shared" si="374"/>
        <v>0.32410268740610371</v>
      </c>
      <c r="W142" s="25">
        <f t="shared" si="375"/>
        <v>0.25304570010659977</v>
      </c>
      <c r="X142" s="36"/>
      <c r="Y142" s="36"/>
      <c r="AA142" s="124">
        <f t="shared" si="321"/>
        <v>99</v>
      </c>
      <c r="AB142" s="128">
        <f t="shared" si="376"/>
        <v>125595.58925089706</v>
      </c>
      <c r="AC142" s="124">
        <f t="shared" si="322"/>
        <v>99</v>
      </c>
      <c r="AD142" s="130">
        <f t="shared" si="435"/>
        <v>4.2500000000000003E-2</v>
      </c>
      <c r="AE142" s="127">
        <f t="shared" si="436"/>
        <v>1362</v>
      </c>
      <c r="AF142" s="128">
        <f t="shared" si="437"/>
        <v>136068.5</v>
      </c>
      <c r="AG142" s="128">
        <f t="shared" si="348"/>
        <v>136200</v>
      </c>
      <c r="AH142" s="128">
        <f t="shared" si="357"/>
        <v>136200</v>
      </c>
      <c r="AI142" s="130">
        <f t="shared" si="377"/>
        <v>4.2500000000000003E-2</v>
      </c>
      <c r="AJ142" s="128">
        <f t="shared" si="378"/>
        <v>136682.37500000003</v>
      </c>
      <c r="AK142" s="128" t="str">
        <f t="shared" si="379"/>
        <v>nie</v>
      </c>
      <c r="AL142" s="128">
        <f t="shared" si="380"/>
        <v>681</v>
      </c>
      <c r="AM142" s="128">
        <f t="shared" si="361"/>
        <v>136039.11375000002</v>
      </c>
      <c r="AN142" s="128">
        <f t="shared" si="381"/>
        <v>390.72375000002359</v>
      </c>
      <c r="AO142" s="130">
        <f t="shared" si="382"/>
        <v>4.2500000000000003E-2</v>
      </c>
      <c r="AP142" s="128">
        <f t="shared" si="383"/>
        <v>1260.0753572579226</v>
      </c>
      <c r="AQ142" s="128">
        <f t="shared" si="362"/>
        <v>136908.46535725793</v>
      </c>
      <c r="AS142" s="124">
        <f t="shared" si="327"/>
        <v>99</v>
      </c>
      <c r="AT142" s="130">
        <f t="shared" si="328"/>
        <v>4.2500000000000003E-2</v>
      </c>
      <c r="AU142" s="127">
        <f t="shared" si="438"/>
        <v>1350</v>
      </c>
      <c r="AV142" s="128">
        <f t="shared" si="439"/>
        <v>134874.40000000002</v>
      </c>
      <c r="AW142" s="128">
        <f t="shared" si="363"/>
        <v>135000</v>
      </c>
      <c r="AX142" s="128">
        <f t="shared" si="358"/>
        <v>135000</v>
      </c>
      <c r="AY142" s="130">
        <f t="shared" si="384"/>
        <v>4.4000000000000004E-2</v>
      </c>
      <c r="AZ142" s="128">
        <f t="shared" si="385"/>
        <v>135495</v>
      </c>
      <c r="BA142" s="128" t="str">
        <f t="shared" si="386"/>
        <v>nie</v>
      </c>
      <c r="BB142" s="128">
        <f t="shared" si="387"/>
        <v>944.99999999999989</v>
      </c>
      <c r="BC142" s="128">
        <f t="shared" si="367"/>
        <v>134635.5</v>
      </c>
      <c r="BD142" s="128">
        <f t="shared" si="388"/>
        <v>400.95000000000005</v>
      </c>
      <c r="BE142" s="130">
        <f t="shared" si="264"/>
        <v>4.2500000000000003E-2</v>
      </c>
      <c r="BF142" s="128">
        <f t="shared" si="389"/>
        <v>1261.2725218886635</v>
      </c>
      <c r="BG142" s="128">
        <f t="shared" si="368"/>
        <v>135495.82252188865</v>
      </c>
      <c r="BI142" s="124">
        <f t="shared" si="332"/>
        <v>99</v>
      </c>
      <c r="BJ142" s="130">
        <f t="shared" si="354"/>
        <v>4.1300000000000003E-2</v>
      </c>
      <c r="BK142" s="127">
        <f t="shared" si="440"/>
        <v>1252</v>
      </c>
      <c r="BL142" s="128">
        <f t="shared" si="441"/>
        <v>125074.8</v>
      </c>
      <c r="BM142" s="128">
        <f t="shared" si="349"/>
        <v>125200</v>
      </c>
      <c r="BN142" s="128">
        <f t="shared" si="442"/>
        <v>137114.3137</v>
      </c>
      <c r="BO142" s="130">
        <f t="shared" si="390"/>
        <v>4.65E-2</v>
      </c>
      <c r="BP142" s="128">
        <f t="shared" si="391"/>
        <v>138708.26759676251</v>
      </c>
      <c r="BQ142" s="128" t="str">
        <f t="shared" si="392"/>
        <v>nie</v>
      </c>
      <c r="BR142" s="128">
        <f t="shared" si="393"/>
        <v>1252</v>
      </c>
      <c r="BS142" s="128">
        <f t="shared" si="364"/>
        <v>135127.57675337762</v>
      </c>
      <c r="BT142" s="128">
        <f t="shared" si="443"/>
        <v>0</v>
      </c>
      <c r="BU142" s="130">
        <f t="shared" si="394"/>
        <v>4.2500000000000003E-2</v>
      </c>
      <c r="BV142" s="128">
        <f t="shared" si="271"/>
        <v>125.61171532992009</v>
      </c>
      <c r="BW142" s="128">
        <f t="shared" si="365"/>
        <v>135253.18846870755</v>
      </c>
      <c r="BY142" s="130">
        <f t="shared" si="360"/>
        <v>2.8000000000000001E-2</v>
      </c>
      <c r="BZ142" s="127">
        <f t="shared" si="444"/>
        <v>1331</v>
      </c>
      <c r="CA142" s="128">
        <f t="shared" si="445"/>
        <v>132980.5</v>
      </c>
      <c r="CB142" s="128">
        <f t="shared" si="366"/>
        <v>133100</v>
      </c>
      <c r="CC142" s="128">
        <f t="shared" si="359"/>
        <v>133100</v>
      </c>
      <c r="CD142" s="130">
        <f t="shared" si="395"/>
        <v>0.05</v>
      </c>
      <c r="CE142" s="128">
        <f t="shared" si="396"/>
        <v>134763.75</v>
      </c>
      <c r="CF142" s="128" t="str">
        <f t="shared" si="397"/>
        <v>nie</v>
      </c>
      <c r="CG142" s="128">
        <f t="shared" si="398"/>
        <v>1663.75</v>
      </c>
      <c r="CH142" s="128">
        <f t="shared" si="369"/>
        <v>133100</v>
      </c>
      <c r="CI142" s="128">
        <f t="shared" si="399"/>
        <v>0</v>
      </c>
      <c r="CJ142" s="130">
        <f t="shared" si="277"/>
        <v>4.2500000000000003E-2</v>
      </c>
      <c r="CK142" s="128">
        <f t="shared" si="400"/>
        <v>100.5019389142313</v>
      </c>
      <c r="CL142" s="128">
        <f t="shared" si="401"/>
        <v>133200.50193891424</v>
      </c>
      <c r="CN142" s="127">
        <f t="shared" si="446"/>
        <v>1000</v>
      </c>
      <c r="CO142" s="128">
        <f t="shared" si="447"/>
        <v>100000</v>
      </c>
      <c r="CP142" s="128">
        <f t="shared" si="342"/>
        <v>100000</v>
      </c>
      <c r="CQ142" s="128">
        <f t="shared" si="448"/>
        <v>146619.89249366234</v>
      </c>
      <c r="CR142" s="130">
        <f t="shared" si="402"/>
        <v>4.8000000000000001E-2</v>
      </c>
      <c r="CS142" s="128">
        <f t="shared" si="403"/>
        <v>148379.33120358628</v>
      </c>
      <c r="CT142" s="128" t="str">
        <f t="shared" si="404"/>
        <v>nie</v>
      </c>
      <c r="CU142" s="128">
        <f t="shared" si="405"/>
        <v>3000</v>
      </c>
      <c r="CV142" s="128">
        <f t="shared" si="406"/>
        <v>136757.25827490489</v>
      </c>
      <c r="CW142" s="128">
        <f t="shared" si="285"/>
        <v>0</v>
      </c>
      <c r="CX142" s="130">
        <f t="shared" si="407"/>
        <v>4.2500000000000003E-2</v>
      </c>
      <c r="CY142" s="128">
        <f t="shared" si="408"/>
        <v>0</v>
      </c>
      <c r="CZ142" s="128">
        <f t="shared" si="409"/>
        <v>136757.25827490489</v>
      </c>
      <c r="DA142" s="20"/>
      <c r="DB142" s="127">
        <f t="shared" si="350"/>
        <v>1267</v>
      </c>
      <c r="DC142" s="128">
        <f t="shared" si="351"/>
        <v>126700</v>
      </c>
      <c r="DD142" s="128">
        <f t="shared" si="344"/>
        <v>126700</v>
      </c>
      <c r="DE142" s="128">
        <f t="shared" si="449"/>
        <v>139686.2432</v>
      </c>
      <c r="DF142" s="130">
        <f t="shared" si="410"/>
        <v>4.8000000000000001E-2</v>
      </c>
      <c r="DG142" s="128">
        <f t="shared" si="411"/>
        <v>141362.4781184</v>
      </c>
      <c r="DH142" s="128" t="str">
        <f t="shared" si="412"/>
        <v>nie</v>
      </c>
      <c r="DI142" s="128">
        <f t="shared" si="413"/>
        <v>2534</v>
      </c>
      <c r="DJ142" s="128">
        <f t="shared" si="355"/>
        <v>136524.067275904</v>
      </c>
      <c r="DK142" s="128">
        <f t="shared" si="294"/>
        <v>0</v>
      </c>
      <c r="DL142" s="130">
        <f t="shared" si="414"/>
        <v>4.2500000000000003E-2</v>
      </c>
      <c r="DM142" s="128">
        <f t="shared" si="415"/>
        <v>24.509812997239969</v>
      </c>
      <c r="DN142" s="128">
        <f t="shared" si="416"/>
        <v>136548.57708890125</v>
      </c>
      <c r="DP142" s="127">
        <f t="shared" si="352"/>
        <v>1000</v>
      </c>
      <c r="DQ142" s="128">
        <f t="shared" si="353"/>
        <v>100000</v>
      </c>
      <c r="DR142" s="128">
        <f t="shared" si="346"/>
        <v>100000</v>
      </c>
      <c r="DS142" s="128">
        <f t="shared" si="450"/>
        <v>151946.06610811283</v>
      </c>
      <c r="DT142" s="130">
        <f t="shared" si="417"/>
        <v>5.3000000000000005E-2</v>
      </c>
      <c r="DU142" s="128">
        <f t="shared" si="418"/>
        <v>153959.35148404533</v>
      </c>
      <c r="DV142" s="128" t="str">
        <f t="shared" si="419"/>
        <v>nie</v>
      </c>
      <c r="DW142" s="128">
        <f t="shared" si="420"/>
        <v>3000</v>
      </c>
      <c r="DX142" s="128">
        <f t="shared" si="302"/>
        <v>141277.07470207673</v>
      </c>
      <c r="DY142" s="128">
        <f t="shared" si="303"/>
        <v>0</v>
      </c>
      <c r="DZ142" s="130">
        <f t="shared" si="421"/>
        <v>4.2500000000000003E-2</v>
      </c>
      <c r="EA142" s="128">
        <f t="shared" si="422"/>
        <v>0</v>
      </c>
      <c r="EB142" s="128">
        <f t="shared" si="423"/>
        <v>141277.07470207673</v>
      </c>
    </row>
    <row r="143" spans="1:132">
      <c r="A143" s="224"/>
      <c r="B143" s="188">
        <f t="shared" si="424"/>
        <v>99</v>
      </c>
      <c r="C143" s="128">
        <f t="shared" si="425"/>
        <v>136908.46535725793</v>
      </c>
      <c r="D143" s="128">
        <f t="shared" si="426"/>
        <v>135495.82252188865</v>
      </c>
      <c r="E143" s="128">
        <f t="shared" si="427"/>
        <v>135253.18846870755</v>
      </c>
      <c r="F143" s="128">
        <f t="shared" si="428"/>
        <v>133200.50193891424</v>
      </c>
      <c r="G143" s="128">
        <f t="shared" si="429"/>
        <v>136757.25827490489</v>
      </c>
      <c r="H143" s="128">
        <f t="shared" si="430"/>
        <v>136548.57708890125</v>
      </c>
      <c r="I143" s="128">
        <f t="shared" si="431"/>
        <v>141277.07470207673</v>
      </c>
      <c r="J143" s="128">
        <f t="shared" si="432"/>
        <v>132790.12069905997</v>
      </c>
      <c r="K143" s="128">
        <f t="shared" si="433"/>
        <v>125595.58925089706</v>
      </c>
      <c r="M143" s="36"/>
      <c r="N143" s="32">
        <f t="shared" si="434"/>
        <v>99</v>
      </c>
      <c r="O143" s="25">
        <f t="shared" si="318"/>
        <v>0.36908465357257936</v>
      </c>
      <c r="P143" s="25">
        <f t="shared" si="319"/>
        <v>0.35495822521888654</v>
      </c>
      <c r="Q143" s="25">
        <f t="shared" si="320"/>
        <v>0.35253188468707553</v>
      </c>
      <c r="R143" s="25">
        <f t="shared" si="370"/>
        <v>0.3320050193891424</v>
      </c>
      <c r="S143" s="25">
        <f t="shared" si="371"/>
        <v>0.3675725827490488</v>
      </c>
      <c r="T143" s="25">
        <f t="shared" si="372"/>
        <v>0.36548577088901246</v>
      </c>
      <c r="U143" s="25">
        <f t="shared" si="373"/>
        <v>0.41277074702076733</v>
      </c>
      <c r="V143" s="25">
        <f t="shared" si="374"/>
        <v>0.32790120699059977</v>
      </c>
      <c r="W143" s="25">
        <f t="shared" si="375"/>
        <v>0.25595589250897066</v>
      </c>
      <c r="X143" s="36"/>
      <c r="Y143" s="36"/>
      <c r="AA143" s="124">
        <f t="shared" si="321"/>
        <v>100</v>
      </c>
      <c r="AB143" s="128">
        <f t="shared" si="376"/>
        <v>125886.60849113419</v>
      </c>
      <c r="AC143" s="124">
        <f t="shared" si="322"/>
        <v>100</v>
      </c>
      <c r="AD143" s="130">
        <f t="shared" si="435"/>
        <v>4.2500000000000003E-2</v>
      </c>
      <c r="AE143" s="127">
        <f t="shared" si="436"/>
        <v>1362</v>
      </c>
      <c r="AF143" s="128">
        <f t="shared" si="437"/>
        <v>136068.5</v>
      </c>
      <c r="AG143" s="128">
        <f t="shared" si="348"/>
        <v>136200</v>
      </c>
      <c r="AH143" s="128">
        <f t="shared" si="357"/>
        <v>136200</v>
      </c>
      <c r="AI143" s="130">
        <f t="shared" si="377"/>
        <v>4.2500000000000003E-2</v>
      </c>
      <c r="AJ143" s="128">
        <f t="shared" si="378"/>
        <v>136682.37500000003</v>
      </c>
      <c r="AK143" s="128" t="str">
        <f t="shared" si="379"/>
        <v>nie</v>
      </c>
      <c r="AL143" s="128">
        <f t="shared" si="380"/>
        <v>681</v>
      </c>
      <c r="AM143" s="128">
        <f t="shared" si="361"/>
        <v>136039.11375000002</v>
      </c>
      <c r="AN143" s="128">
        <f t="shared" si="381"/>
        <v>390.72375000002359</v>
      </c>
      <c r="AO143" s="130">
        <f t="shared" si="382"/>
        <v>4.2500000000000003E-2</v>
      </c>
      <c r="AP143" s="128">
        <f t="shared" si="383"/>
        <v>1654.4139484390798</v>
      </c>
      <c r="AQ143" s="128">
        <f t="shared" si="362"/>
        <v>137302.80394843908</v>
      </c>
      <c r="AS143" s="124">
        <f t="shared" si="327"/>
        <v>100</v>
      </c>
      <c r="AT143" s="130">
        <f t="shared" si="328"/>
        <v>4.2500000000000003E-2</v>
      </c>
      <c r="AU143" s="127">
        <f t="shared" si="438"/>
        <v>1350</v>
      </c>
      <c r="AV143" s="128">
        <f t="shared" si="439"/>
        <v>134874.40000000002</v>
      </c>
      <c r="AW143" s="128">
        <f t="shared" si="363"/>
        <v>135000</v>
      </c>
      <c r="AX143" s="128">
        <f t="shared" si="358"/>
        <v>135000</v>
      </c>
      <c r="AY143" s="130">
        <f t="shared" si="384"/>
        <v>4.4000000000000004E-2</v>
      </c>
      <c r="AZ143" s="128">
        <f t="shared" si="385"/>
        <v>135495</v>
      </c>
      <c r="BA143" s="128" t="str">
        <f t="shared" si="386"/>
        <v>nie</v>
      </c>
      <c r="BB143" s="128">
        <f t="shared" si="387"/>
        <v>944.99999999999989</v>
      </c>
      <c r="BC143" s="128">
        <f t="shared" si="367"/>
        <v>134635.5</v>
      </c>
      <c r="BD143" s="128">
        <f t="shared" si="388"/>
        <v>400.95000000000005</v>
      </c>
      <c r="BE143" s="130">
        <f t="shared" si="264"/>
        <v>4.2500000000000003E-2</v>
      </c>
      <c r="BF143" s="128">
        <f t="shared" si="389"/>
        <v>1665.8407974358315</v>
      </c>
      <c r="BG143" s="128">
        <f t="shared" si="368"/>
        <v>135900.39079743583</v>
      </c>
      <c r="BI143" s="124">
        <f t="shared" si="332"/>
        <v>100</v>
      </c>
      <c r="BJ143" s="130">
        <f t="shared" si="354"/>
        <v>4.1300000000000003E-2</v>
      </c>
      <c r="BK143" s="127">
        <f t="shared" si="440"/>
        <v>1252</v>
      </c>
      <c r="BL143" s="128">
        <f t="shared" si="441"/>
        <v>125074.8</v>
      </c>
      <c r="BM143" s="128">
        <f t="shared" si="349"/>
        <v>125200</v>
      </c>
      <c r="BN143" s="128">
        <f t="shared" si="442"/>
        <v>137114.3137</v>
      </c>
      <c r="BO143" s="130">
        <f t="shared" si="390"/>
        <v>4.65E-2</v>
      </c>
      <c r="BP143" s="128">
        <f t="shared" si="391"/>
        <v>139239.58556235</v>
      </c>
      <c r="BQ143" s="128" t="str">
        <f t="shared" si="392"/>
        <v>nie</v>
      </c>
      <c r="BR143" s="128">
        <f t="shared" si="393"/>
        <v>1252</v>
      </c>
      <c r="BS143" s="128">
        <f t="shared" si="364"/>
        <v>135557.94430550351</v>
      </c>
      <c r="BT143" s="128">
        <f t="shared" si="443"/>
        <v>0</v>
      </c>
      <c r="BU143" s="130">
        <f t="shared" si="394"/>
        <v>4.2500000000000003E-2</v>
      </c>
      <c r="BV143" s="128">
        <f t="shared" si="271"/>
        <v>125.9720639382728</v>
      </c>
      <c r="BW143" s="128">
        <f t="shared" si="365"/>
        <v>135683.91636944178</v>
      </c>
      <c r="BY143" s="130">
        <f t="shared" si="360"/>
        <v>2.8000000000000001E-2</v>
      </c>
      <c r="BZ143" s="127">
        <f t="shared" si="444"/>
        <v>1331</v>
      </c>
      <c r="CA143" s="128">
        <f t="shared" si="445"/>
        <v>132980.5</v>
      </c>
      <c r="CB143" s="128">
        <f t="shared" si="366"/>
        <v>133100</v>
      </c>
      <c r="CC143" s="128">
        <f t="shared" si="359"/>
        <v>133100</v>
      </c>
      <c r="CD143" s="130">
        <f t="shared" si="395"/>
        <v>0.05</v>
      </c>
      <c r="CE143" s="128">
        <f t="shared" si="396"/>
        <v>135318.33333333331</v>
      </c>
      <c r="CF143" s="128" t="str">
        <f t="shared" si="397"/>
        <v>nie</v>
      </c>
      <c r="CG143" s="128">
        <f t="shared" si="398"/>
        <v>2218.3333333333139</v>
      </c>
      <c r="CH143" s="128">
        <f t="shared" si="369"/>
        <v>133100</v>
      </c>
      <c r="CI143" s="128">
        <f t="shared" si="399"/>
        <v>0</v>
      </c>
      <c r="CJ143" s="130">
        <f t="shared" si="277"/>
        <v>4.2500000000000003E-2</v>
      </c>
      <c r="CK143" s="128">
        <f t="shared" si="400"/>
        <v>100.7902538514915</v>
      </c>
      <c r="CL143" s="128">
        <f t="shared" si="401"/>
        <v>133200.7902538515</v>
      </c>
      <c r="CN143" s="127">
        <f t="shared" si="446"/>
        <v>1000</v>
      </c>
      <c r="CO143" s="128">
        <f t="shared" si="447"/>
        <v>100000</v>
      </c>
      <c r="CP143" s="128">
        <f t="shared" si="342"/>
        <v>100000</v>
      </c>
      <c r="CQ143" s="128">
        <f t="shared" si="448"/>
        <v>146619.89249366234</v>
      </c>
      <c r="CR143" s="130">
        <f t="shared" si="402"/>
        <v>4.8000000000000001E-2</v>
      </c>
      <c r="CS143" s="128">
        <f t="shared" si="403"/>
        <v>148965.81077356092</v>
      </c>
      <c r="CT143" s="128" t="str">
        <f t="shared" si="404"/>
        <v>nie</v>
      </c>
      <c r="CU143" s="128">
        <f t="shared" si="405"/>
        <v>3000</v>
      </c>
      <c r="CV143" s="128">
        <f t="shared" si="406"/>
        <v>137232.30672658436</v>
      </c>
      <c r="CW143" s="128">
        <f t="shared" si="285"/>
        <v>0</v>
      </c>
      <c r="CX143" s="130">
        <f t="shared" si="407"/>
        <v>4.2500000000000003E-2</v>
      </c>
      <c r="CY143" s="128">
        <f t="shared" si="408"/>
        <v>0</v>
      </c>
      <c r="CZ143" s="128">
        <f t="shared" si="409"/>
        <v>137232.30672658436</v>
      </c>
      <c r="DA143" s="20"/>
      <c r="DB143" s="127">
        <f t="shared" si="350"/>
        <v>1267</v>
      </c>
      <c r="DC143" s="128">
        <f t="shared" si="351"/>
        <v>126700</v>
      </c>
      <c r="DD143" s="128">
        <f t="shared" si="344"/>
        <v>126700</v>
      </c>
      <c r="DE143" s="128">
        <f t="shared" si="449"/>
        <v>139686.2432</v>
      </c>
      <c r="DF143" s="130">
        <f t="shared" si="410"/>
        <v>4.8000000000000001E-2</v>
      </c>
      <c r="DG143" s="128">
        <f t="shared" si="411"/>
        <v>141921.22309119999</v>
      </c>
      <c r="DH143" s="128" t="str">
        <f t="shared" si="412"/>
        <v>nie</v>
      </c>
      <c r="DI143" s="128">
        <f t="shared" si="413"/>
        <v>2534</v>
      </c>
      <c r="DJ143" s="128">
        <f t="shared" si="355"/>
        <v>136976.650703872</v>
      </c>
      <c r="DK143" s="128">
        <f t="shared" si="294"/>
        <v>0</v>
      </c>
      <c r="DL143" s="130">
        <f t="shared" si="414"/>
        <v>4.2500000000000003E-2</v>
      </c>
      <c r="DM143" s="128">
        <f t="shared" si="415"/>
        <v>24.5801255232758</v>
      </c>
      <c r="DN143" s="128">
        <f t="shared" si="416"/>
        <v>137001.23082939527</v>
      </c>
      <c r="DP143" s="127">
        <f t="shared" si="352"/>
        <v>1000</v>
      </c>
      <c r="DQ143" s="128">
        <f t="shared" si="353"/>
        <v>100000</v>
      </c>
      <c r="DR143" s="128">
        <f t="shared" si="346"/>
        <v>100000</v>
      </c>
      <c r="DS143" s="128">
        <f t="shared" si="450"/>
        <v>151946.06610811283</v>
      </c>
      <c r="DT143" s="130">
        <f t="shared" si="417"/>
        <v>5.3000000000000005E-2</v>
      </c>
      <c r="DU143" s="128">
        <f t="shared" si="418"/>
        <v>154630.44660935618</v>
      </c>
      <c r="DV143" s="128" t="str">
        <f t="shared" si="419"/>
        <v>nie</v>
      </c>
      <c r="DW143" s="128">
        <f t="shared" si="420"/>
        <v>3000</v>
      </c>
      <c r="DX143" s="128">
        <f t="shared" si="302"/>
        <v>141820.66175357852</v>
      </c>
      <c r="DY143" s="128">
        <f t="shared" si="303"/>
        <v>0</v>
      </c>
      <c r="DZ143" s="130">
        <f t="shared" si="421"/>
        <v>4.2500000000000003E-2</v>
      </c>
      <c r="EA143" s="128">
        <f t="shared" si="422"/>
        <v>0</v>
      </c>
      <c r="EB143" s="128">
        <f t="shared" si="423"/>
        <v>141820.66175357852</v>
      </c>
    </row>
    <row r="144" spans="1:132">
      <c r="A144" s="224"/>
      <c r="B144" s="188">
        <f t="shared" si="424"/>
        <v>100</v>
      </c>
      <c r="C144" s="128">
        <f t="shared" si="425"/>
        <v>137302.80394843908</v>
      </c>
      <c r="D144" s="128">
        <f t="shared" si="426"/>
        <v>135900.39079743583</v>
      </c>
      <c r="E144" s="128">
        <f t="shared" si="427"/>
        <v>135683.91636944178</v>
      </c>
      <c r="F144" s="128">
        <f t="shared" si="428"/>
        <v>133200.7902538515</v>
      </c>
      <c r="G144" s="128">
        <f t="shared" si="429"/>
        <v>137232.30672658436</v>
      </c>
      <c r="H144" s="128">
        <f t="shared" si="430"/>
        <v>137001.23082939527</v>
      </c>
      <c r="I144" s="128">
        <f t="shared" si="431"/>
        <v>141820.66175357852</v>
      </c>
      <c r="J144" s="128">
        <f t="shared" si="432"/>
        <v>133171.06235781539</v>
      </c>
      <c r="K144" s="128">
        <f t="shared" si="433"/>
        <v>125886.60849113419</v>
      </c>
      <c r="M144" s="36"/>
      <c r="N144" s="32">
        <f t="shared" si="434"/>
        <v>100</v>
      </c>
      <c r="O144" s="25">
        <f t="shared" si="318"/>
        <v>0.37302803948439078</v>
      </c>
      <c r="P144" s="25">
        <f t="shared" si="319"/>
        <v>0.35900390797435833</v>
      </c>
      <c r="Q144" s="25">
        <f t="shared" si="320"/>
        <v>0.3568391636944177</v>
      </c>
      <c r="R144" s="25">
        <f t="shared" si="370"/>
        <v>0.33200790253851498</v>
      </c>
      <c r="S144" s="25">
        <f t="shared" si="371"/>
        <v>0.37232306726584352</v>
      </c>
      <c r="T144" s="25">
        <f t="shared" si="372"/>
        <v>0.3700123082939526</v>
      </c>
      <c r="U144" s="25">
        <f t="shared" si="373"/>
        <v>0.41820661753578525</v>
      </c>
      <c r="V144" s="25">
        <f t="shared" si="374"/>
        <v>0.33171062357815395</v>
      </c>
      <c r="W144" s="25">
        <f t="shared" si="375"/>
        <v>0.258866084911342</v>
      </c>
      <c r="X144" s="36"/>
      <c r="Y144" s="36"/>
      <c r="AA144" s="124">
        <f t="shared" si="321"/>
        <v>101</v>
      </c>
      <c r="AB144" s="128">
        <f t="shared" si="376"/>
        <v>126177.62773137128</v>
      </c>
      <c r="AC144" s="124">
        <f t="shared" si="322"/>
        <v>101</v>
      </c>
      <c r="AD144" s="130">
        <f t="shared" si="435"/>
        <v>4.2500000000000003E-2</v>
      </c>
      <c r="AE144" s="127">
        <f t="shared" si="436"/>
        <v>1362</v>
      </c>
      <c r="AF144" s="128">
        <f t="shared" si="437"/>
        <v>136068.5</v>
      </c>
      <c r="AG144" s="128">
        <f t="shared" si="348"/>
        <v>136200</v>
      </c>
      <c r="AH144" s="128">
        <f t="shared" si="357"/>
        <v>136200</v>
      </c>
      <c r="AI144" s="130">
        <f t="shared" si="377"/>
        <v>4.2500000000000003E-2</v>
      </c>
      <c r="AJ144" s="128">
        <f t="shared" si="378"/>
        <v>136682.37500000003</v>
      </c>
      <c r="AK144" s="128" t="str">
        <f t="shared" si="379"/>
        <v>nie</v>
      </c>
      <c r="AL144" s="128">
        <f t="shared" si="380"/>
        <v>681</v>
      </c>
      <c r="AM144" s="128">
        <f t="shared" si="361"/>
        <v>136039.11375000002</v>
      </c>
      <c r="AN144" s="128">
        <f t="shared" si="381"/>
        <v>390.72375000002359</v>
      </c>
      <c r="AO144" s="130">
        <f t="shared" si="382"/>
        <v>4.2500000000000003E-2</v>
      </c>
      <c r="AP144" s="128">
        <f t="shared" si="383"/>
        <v>2049.8837984536881</v>
      </c>
      <c r="AQ144" s="128">
        <f t="shared" si="362"/>
        <v>137698.27379845368</v>
      </c>
      <c r="AS144" s="124">
        <f t="shared" si="327"/>
        <v>101</v>
      </c>
      <c r="AT144" s="130">
        <f t="shared" si="328"/>
        <v>4.2500000000000003E-2</v>
      </c>
      <c r="AU144" s="127">
        <f t="shared" si="438"/>
        <v>1350</v>
      </c>
      <c r="AV144" s="128">
        <f t="shared" si="439"/>
        <v>134874.40000000002</v>
      </c>
      <c r="AW144" s="128">
        <f t="shared" si="363"/>
        <v>135000</v>
      </c>
      <c r="AX144" s="128">
        <f t="shared" si="358"/>
        <v>135000</v>
      </c>
      <c r="AY144" s="130">
        <f t="shared" si="384"/>
        <v>4.4000000000000004E-2</v>
      </c>
      <c r="AZ144" s="128">
        <f t="shared" si="385"/>
        <v>135495</v>
      </c>
      <c r="BA144" s="128" t="str">
        <f t="shared" si="386"/>
        <v>nie</v>
      </c>
      <c r="BB144" s="128">
        <f t="shared" si="387"/>
        <v>944.99999999999989</v>
      </c>
      <c r="BC144" s="128">
        <f t="shared" si="367"/>
        <v>134635.5</v>
      </c>
      <c r="BD144" s="128">
        <f t="shared" si="388"/>
        <v>400.95000000000005</v>
      </c>
      <c r="BE144" s="130">
        <f t="shared" si="264"/>
        <v>4.2500000000000003E-2</v>
      </c>
      <c r="BF144" s="128">
        <f t="shared" si="389"/>
        <v>2071.5696782234754</v>
      </c>
      <c r="BG144" s="128">
        <f t="shared" si="368"/>
        <v>136306.11967822348</v>
      </c>
      <c r="BI144" s="124">
        <f t="shared" si="332"/>
        <v>101</v>
      </c>
      <c r="BJ144" s="130">
        <f t="shared" si="354"/>
        <v>4.1300000000000003E-2</v>
      </c>
      <c r="BK144" s="127">
        <f t="shared" si="440"/>
        <v>1252</v>
      </c>
      <c r="BL144" s="128">
        <f t="shared" si="441"/>
        <v>125074.8</v>
      </c>
      <c r="BM144" s="128">
        <f t="shared" si="349"/>
        <v>125200</v>
      </c>
      <c r="BN144" s="128">
        <f t="shared" si="442"/>
        <v>137114.3137</v>
      </c>
      <c r="BO144" s="130">
        <f t="shared" si="390"/>
        <v>4.65E-2</v>
      </c>
      <c r="BP144" s="128">
        <f t="shared" si="391"/>
        <v>139770.90352793748</v>
      </c>
      <c r="BQ144" s="128" t="str">
        <f t="shared" si="392"/>
        <v>nie</v>
      </c>
      <c r="BR144" s="128">
        <f t="shared" si="393"/>
        <v>1252</v>
      </c>
      <c r="BS144" s="128">
        <f t="shared" si="364"/>
        <v>135988.31185762936</v>
      </c>
      <c r="BT144" s="128">
        <f t="shared" si="443"/>
        <v>0</v>
      </c>
      <c r="BU144" s="130">
        <f t="shared" si="394"/>
        <v>4.2500000000000003E-2</v>
      </c>
      <c r="BV144" s="128">
        <f t="shared" si="271"/>
        <v>126.33344629669571</v>
      </c>
      <c r="BW144" s="128">
        <f t="shared" si="365"/>
        <v>136114.64530392605</v>
      </c>
      <c r="BY144" s="130">
        <f t="shared" si="360"/>
        <v>2.8000000000000001E-2</v>
      </c>
      <c r="BZ144" s="127">
        <f t="shared" si="444"/>
        <v>1331</v>
      </c>
      <c r="CA144" s="128">
        <f t="shared" si="445"/>
        <v>132980.5</v>
      </c>
      <c r="CB144" s="128">
        <f t="shared" si="366"/>
        <v>133100</v>
      </c>
      <c r="CC144" s="128">
        <f t="shared" si="359"/>
        <v>133100</v>
      </c>
      <c r="CD144" s="130">
        <f t="shared" si="395"/>
        <v>0.05</v>
      </c>
      <c r="CE144" s="128">
        <f t="shared" si="396"/>
        <v>135872.91666666666</v>
      </c>
      <c r="CF144" s="128" t="str">
        <f t="shared" si="397"/>
        <v>nie</v>
      </c>
      <c r="CG144" s="128">
        <f t="shared" si="398"/>
        <v>2662</v>
      </c>
      <c r="CH144" s="128">
        <f t="shared" si="369"/>
        <v>133189.8425</v>
      </c>
      <c r="CI144" s="128">
        <f t="shared" si="399"/>
        <v>0</v>
      </c>
      <c r="CJ144" s="130">
        <f t="shared" si="277"/>
        <v>4.2500000000000003E-2</v>
      </c>
      <c r="CK144" s="128">
        <f t="shared" si="400"/>
        <v>101.07939589222796</v>
      </c>
      <c r="CL144" s="128">
        <f t="shared" si="401"/>
        <v>133290.92189589221</v>
      </c>
      <c r="CN144" s="127">
        <f t="shared" si="446"/>
        <v>1000</v>
      </c>
      <c r="CO144" s="128">
        <f t="shared" si="447"/>
        <v>100000</v>
      </c>
      <c r="CP144" s="128">
        <f t="shared" si="342"/>
        <v>100000</v>
      </c>
      <c r="CQ144" s="128">
        <f t="shared" si="448"/>
        <v>146619.89249366234</v>
      </c>
      <c r="CR144" s="130">
        <f t="shared" si="402"/>
        <v>4.8000000000000001E-2</v>
      </c>
      <c r="CS144" s="128">
        <f t="shared" si="403"/>
        <v>149552.2903435356</v>
      </c>
      <c r="CT144" s="128" t="str">
        <f t="shared" si="404"/>
        <v>nie</v>
      </c>
      <c r="CU144" s="128">
        <f t="shared" si="405"/>
        <v>3000</v>
      </c>
      <c r="CV144" s="128">
        <f t="shared" si="406"/>
        <v>137707.35517826382</v>
      </c>
      <c r="CW144" s="128">
        <f t="shared" si="285"/>
        <v>0</v>
      </c>
      <c r="CX144" s="130">
        <f t="shared" si="407"/>
        <v>4.2500000000000003E-2</v>
      </c>
      <c r="CY144" s="128">
        <f t="shared" si="408"/>
        <v>0</v>
      </c>
      <c r="CZ144" s="128">
        <f t="shared" si="409"/>
        <v>137707.35517826382</v>
      </c>
      <c r="DA144" s="20"/>
      <c r="DB144" s="127">
        <f t="shared" si="350"/>
        <v>1267</v>
      </c>
      <c r="DC144" s="128">
        <f t="shared" si="351"/>
        <v>126700</v>
      </c>
      <c r="DD144" s="128">
        <f t="shared" si="344"/>
        <v>126700</v>
      </c>
      <c r="DE144" s="128">
        <f t="shared" si="449"/>
        <v>139686.2432</v>
      </c>
      <c r="DF144" s="130">
        <f t="shared" si="410"/>
        <v>4.8000000000000001E-2</v>
      </c>
      <c r="DG144" s="128">
        <f t="shared" si="411"/>
        <v>142479.96806399999</v>
      </c>
      <c r="DH144" s="128" t="str">
        <f t="shared" si="412"/>
        <v>nie</v>
      </c>
      <c r="DI144" s="128">
        <f t="shared" si="413"/>
        <v>2534</v>
      </c>
      <c r="DJ144" s="128">
        <f t="shared" si="355"/>
        <v>137429.23413184</v>
      </c>
      <c r="DK144" s="128">
        <f t="shared" si="294"/>
        <v>0</v>
      </c>
      <c r="DL144" s="130">
        <f t="shared" si="414"/>
        <v>4.2500000000000003E-2</v>
      </c>
      <c r="DM144" s="128">
        <f t="shared" si="415"/>
        <v>24.650639758370698</v>
      </c>
      <c r="DN144" s="128">
        <f t="shared" si="416"/>
        <v>137453.88477159836</v>
      </c>
      <c r="DP144" s="127">
        <f t="shared" si="352"/>
        <v>1000</v>
      </c>
      <c r="DQ144" s="128">
        <f t="shared" si="353"/>
        <v>100000</v>
      </c>
      <c r="DR144" s="128">
        <f t="shared" si="346"/>
        <v>100000</v>
      </c>
      <c r="DS144" s="128">
        <f t="shared" si="450"/>
        <v>151946.06610811283</v>
      </c>
      <c r="DT144" s="130">
        <f t="shared" si="417"/>
        <v>5.3000000000000005E-2</v>
      </c>
      <c r="DU144" s="128">
        <f t="shared" si="418"/>
        <v>155301.54173466697</v>
      </c>
      <c r="DV144" s="128" t="str">
        <f t="shared" si="419"/>
        <v>nie</v>
      </c>
      <c r="DW144" s="128">
        <f t="shared" si="420"/>
        <v>3000</v>
      </c>
      <c r="DX144" s="128">
        <f t="shared" si="302"/>
        <v>142364.24880508025</v>
      </c>
      <c r="DY144" s="128">
        <f t="shared" si="303"/>
        <v>0</v>
      </c>
      <c r="DZ144" s="130">
        <f t="shared" si="421"/>
        <v>4.2500000000000003E-2</v>
      </c>
      <c r="EA144" s="128">
        <f t="shared" si="422"/>
        <v>0</v>
      </c>
      <c r="EB144" s="128">
        <f t="shared" si="423"/>
        <v>142364.24880508025</v>
      </c>
    </row>
    <row r="145" spans="1:132">
      <c r="A145" s="224"/>
      <c r="B145" s="188">
        <f t="shared" si="424"/>
        <v>101</v>
      </c>
      <c r="C145" s="128">
        <f t="shared" si="425"/>
        <v>137698.27379845368</v>
      </c>
      <c r="D145" s="128">
        <f t="shared" si="426"/>
        <v>136306.11967822348</v>
      </c>
      <c r="E145" s="128">
        <f t="shared" si="427"/>
        <v>136114.64530392605</v>
      </c>
      <c r="F145" s="128">
        <f t="shared" si="428"/>
        <v>133290.92189589221</v>
      </c>
      <c r="G145" s="128">
        <f t="shared" si="429"/>
        <v>137707.35517826382</v>
      </c>
      <c r="H145" s="128">
        <f t="shared" si="430"/>
        <v>137453.88477159836</v>
      </c>
      <c r="I145" s="128">
        <f t="shared" si="431"/>
        <v>142364.24880508025</v>
      </c>
      <c r="J145" s="128">
        <f t="shared" si="432"/>
        <v>133553.09684295437</v>
      </c>
      <c r="K145" s="128">
        <f t="shared" si="433"/>
        <v>126177.62773137128</v>
      </c>
      <c r="M145" s="36"/>
      <c r="N145" s="32">
        <f t="shared" si="434"/>
        <v>101</v>
      </c>
      <c r="O145" s="25">
        <f t="shared" si="318"/>
        <v>0.37698273798453674</v>
      </c>
      <c r="P145" s="25">
        <f t="shared" si="319"/>
        <v>0.36306119678223481</v>
      </c>
      <c r="Q145" s="25">
        <f t="shared" si="320"/>
        <v>0.36114645303926052</v>
      </c>
      <c r="R145" s="25">
        <f t="shared" si="370"/>
        <v>0.33290921895892223</v>
      </c>
      <c r="S145" s="25">
        <f t="shared" si="371"/>
        <v>0.37707355178263824</v>
      </c>
      <c r="T145" s="25">
        <f t="shared" si="372"/>
        <v>0.37453884771598367</v>
      </c>
      <c r="U145" s="25">
        <f t="shared" si="373"/>
        <v>0.42364248805080251</v>
      </c>
      <c r="V145" s="25">
        <f t="shared" si="374"/>
        <v>0.33553096842954377</v>
      </c>
      <c r="W145" s="25">
        <f t="shared" si="375"/>
        <v>0.26177627731371289</v>
      </c>
      <c r="X145" s="36"/>
      <c r="Y145" s="36"/>
      <c r="AA145" s="124">
        <f t="shared" si="321"/>
        <v>102</v>
      </c>
      <c r="AB145" s="128">
        <f t="shared" si="376"/>
        <v>126468.64697160838</v>
      </c>
      <c r="AC145" s="124">
        <f t="shared" si="322"/>
        <v>102</v>
      </c>
      <c r="AD145" s="130">
        <f t="shared" si="435"/>
        <v>4.2500000000000003E-2</v>
      </c>
      <c r="AE145" s="127">
        <f t="shared" si="436"/>
        <v>1362</v>
      </c>
      <c r="AF145" s="128">
        <f t="shared" si="437"/>
        <v>136068.5</v>
      </c>
      <c r="AG145" s="128">
        <f t="shared" si="348"/>
        <v>136200</v>
      </c>
      <c r="AH145" s="128">
        <f t="shared" si="357"/>
        <v>136200</v>
      </c>
      <c r="AI145" s="130">
        <f t="shared" si="377"/>
        <v>4.2500000000000003E-2</v>
      </c>
      <c r="AJ145" s="128">
        <f t="shared" si="378"/>
        <v>136682.37500000003</v>
      </c>
      <c r="AK145" s="128" t="str">
        <f t="shared" si="379"/>
        <v>nie</v>
      </c>
      <c r="AL145" s="128">
        <f t="shared" si="380"/>
        <v>681</v>
      </c>
      <c r="AM145" s="128">
        <f t="shared" si="361"/>
        <v>136039.11375000002</v>
      </c>
      <c r="AN145" s="128">
        <f t="shared" si="381"/>
        <v>390.72375000002359</v>
      </c>
      <c r="AO145" s="130">
        <f t="shared" si="382"/>
        <v>4.2500000000000003E-2</v>
      </c>
      <c r="AP145" s="128">
        <f t="shared" si="383"/>
        <v>2446.4881526005256</v>
      </c>
      <c r="AQ145" s="128">
        <f t="shared" si="362"/>
        <v>138094.87815260052</v>
      </c>
      <c r="AS145" s="124">
        <f t="shared" si="327"/>
        <v>102</v>
      </c>
      <c r="AT145" s="130">
        <f t="shared" si="328"/>
        <v>4.2500000000000003E-2</v>
      </c>
      <c r="AU145" s="127">
        <f t="shared" si="438"/>
        <v>1350</v>
      </c>
      <c r="AV145" s="128">
        <f t="shared" si="439"/>
        <v>134874.40000000002</v>
      </c>
      <c r="AW145" s="128">
        <f t="shared" si="363"/>
        <v>135000</v>
      </c>
      <c r="AX145" s="128">
        <f t="shared" si="358"/>
        <v>135000</v>
      </c>
      <c r="AY145" s="130">
        <f t="shared" si="384"/>
        <v>4.4000000000000004E-2</v>
      </c>
      <c r="AZ145" s="128">
        <f t="shared" si="385"/>
        <v>135495</v>
      </c>
      <c r="BA145" s="128" t="str">
        <f t="shared" si="386"/>
        <v>nie</v>
      </c>
      <c r="BB145" s="128">
        <f t="shared" si="387"/>
        <v>944.99999999999989</v>
      </c>
      <c r="BC145" s="128">
        <f t="shared" si="367"/>
        <v>134635.5</v>
      </c>
      <c r="BD145" s="128">
        <f t="shared" si="388"/>
        <v>400.95000000000005</v>
      </c>
      <c r="BE145" s="130">
        <f t="shared" si="264"/>
        <v>4.2500000000000003E-2</v>
      </c>
      <c r="BF145" s="128">
        <f t="shared" si="389"/>
        <v>2478.4624937378794</v>
      </c>
      <c r="BG145" s="128">
        <f t="shared" si="368"/>
        <v>136713.01249373789</v>
      </c>
      <c r="BI145" s="124">
        <f t="shared" si="332"/>
        <v>102</v>
      </c>
      <c r="BJ145" s="130">
        <f t="shared" si="354"/>
        <v>4.1300000000000003E-2</v>
      </c>
      <c r="BK145" s="127">
        <f t="shared" si="440"/>
        <v>1252</v>
      </c>
      <c r="BL145" s="128">
        <f t="shared" si="441"/>
        <v>125074.8</v>
      </c>
      <c r="BM145" s="128">
        <f t="shared" si="349"/>
        <v>125200</v>
      </c>
      <c r="BN145" s="128">
        <f t="shared" si="442"/>
        <v>137114.3137</v>
      </c>
      <c r="BO145" s="130">
        <f t="shared" si="390"/>
        <v>4.65E-2</v>
      </c>
      <c r="BP145" s="128">
        <f t="shared" si="391"/>
        <v>140302.22149352499</v>
      </c>
      <c r="BQ145" s="128" t="str">
        <f t="shared" si="392"/>
        <v>nie</v>
      </c>
      <c r="BR145" s="128">
        <f t="shared" si="393"/>
        <v>1252</v>
      </c>
      <c r="BS145" s="128">
        <f t="shared" si="364"/>
        <v>136418.67940975525</v>
      </c>
      <c r="BT145" s="128">
        <f t="shared" si="443"/>
        <v>0</v>
      </c>
      <c r="BU145" s="130">
        <f t="shared" si="394"/>
        <v>4.2500000000000003E-2</v>
      </c>
      <c r="BV145" s="128">
        <f t="shared" si="271"/>
        <v>126.69586537075935</v>
      </c>
      <c r="BW145" s="128">
        <f t="shared" si="365"/>
        <v>136545.37527512602</v>
      </c>
      <c r="BY145" s="130">
        <f t="shared" si="360"/>
        <v>2.8000000000000001E-2</v>
      </c>
      <c r="BZ145" s="127">
        <f t="shared" si="444"/>
        <v>1331</v>
      </c>
      <c r="CA145" s="128">
        <f t="shared" si="445"/>
        <v>132980.5</v>
      </c>
      <c r="CB145" s="128">
        <f t="shared" si="366"/>
        <v>133100</v>
      </c>
      <c r="CC145" s="128">
        <f t="shared" si="359"/>
        <v>133100</v>
      </c>
      <c r="CD145" s="130">
        <f t="shared" si="395"/>
        <v>0.05</v>
      </c>
      <c r="CE145" s="128">
        <f t="shared" si="396"/>
        <v>136427.5</v>
      </c>
      <c r="CF145" s="128" t="str">
        <f t="shared" si="397"/>
        <v>nie</v>
      </c>
      <c r="CG145" s="128">
        <f t="shared" si="398"/>
        <v>2662</v>
      </c>
      <c r="CH145" s="128">
        <f t="shared" si="369"/>
        <v>133639.05499999999</v>
      </c>
      <c r="CI145" s="128">
        <f t="shared" si="399"/>
        <v>0</v>
      </c>
      <c r="CJ145" s="130">
        <f t="shared" si="277"/>
        <v>4.2500000000000003E-2</v>
      </c>
      <c r="CK145" s="128">
        <f t="shared" si="400"/>
        <v>101.36936740919379</v>
      </c>
      <c r="CL145" s="128">
        <f t="shared" si="401"/>
        <v>133740.4243674092</v>
      </c>
      <c r="CN145" s="127">
        <f t="shared" si="446"/>
        <v>1000</v>
      </c>
      <c r="CO145" s="128">
        <f t="shared" si="447"/>
        <v>100000</v>
      </c>
      <c r="CP145" s="128">
        <f t="shared" si="342"/>
        <v>100000</v>
      </c>
      <c r="CQ145" s="128">
        <f t="shared" si="448"/>
        <v>146619.89249366234</v>
      </c>
      <c r="CR145" s="130">
        <f t="shared" si="402"/>
        <v>4.8000000000000001E-2</v>
      </c>
      <c r="CS145" s="128">
        <f t="shared" si="403"/>
        <v>150138.76991351024</v>
      </c>
      <c r="CT145" s="128" t="str">
        <f t="shared" si="404"/>
        <v>nie</v>
      </c>
      <c r="CU145" s="128">
        <f t="shared" si="405"/>
        <v>3000</v>
      </c>
      <c r="CV145" s="128">
        <f t="shared" si="406"/>
        <v>138182.40362994329</v>
      </c>
      <c r="CW145" s="128">
        <f t="shared" si="285"/>
        <v>0</v>
      </c>
      <c r="CX145" s="130">
        <f t="shared" si="407"/>
        <v>4.2500000000000003E-2</v>
      </c>
      <c r="CY145" s="128">
        <f t="shared" si="408"/>
        <v>0</v>
      </c>
      <c r="CZ145" s="128">
        <f t="shared" si="409"/>
        <v>138182.40362994329</v>
      </c>
      <c r="DA145" s="20"/>
      <c r="DB145" s="127">
        <f t="shared" si="350"/>
        <v>1267</v>
      </c>
      <c r="DC145" s="128">
        <f t="shared" si="351"/>
        <v>126700</v>
      </c>
      <c r="DD145" s="128">
        <f t="shared" si="344"/>
        <v>126700</v>
      </c>
      <c r="DE145" s="128">
        <f t="shared" si="449"/>
        <v>139686.2432</v>
      </c>
      <c r="DF145" s="130">
        <f t="shared" si="410"/>
        <v>4.8000000000000001E-2</v>
      </c>
      <c r="DG145" s="128">
        <f t="shared" si="411"/>
        <v>143038.71303680001</v>
      </c>
      <c r="DH145" s="128" t="str">
        <f t="shared" si="412"/>
        <v>nie</v>
      </c>
      <c r="DI145" s="128">
        <f t="shared" si="413"/>
        <v>2534</v>
      </c>
      <c r="DJ145" s="128">
        <f t="shared" si="355"/>
        <v>137881.817559808</v>
      </c>
      <c r="DK145" s="128">
        <f t="shared" si="294"/>
        <v>0</v>
      </c>
      <c r="DL145" s="130">
        <f t="shared" si="414"/>
        <v>4.2500000000000003E-2</v>
      </c>
      <c r="DM145" s="128">
        <f t="shared" si="415"/>
        <v>24.721356281177524</v>
      </c>
      <c r="DN145" s="128">
        <f t="shared" si="416"/>
        <v>137906.53891608916</v>
      </c>
      <c r="DP145" s="127">
        <f t="shared" si="352"/>
        <v>1000</v>
      </c>
      <c r="DQ145" s="128">
        <f t="shared" si="353"/>
        <v>100000</v>
      </c>
      <c r="DR145" s="128">
        <f t="shared" si="346"/>
        <v>100000</v>
      </c>
      <c r="DS145" s="128">
        <f t="shared" si="450"/>
        <v>151946.06610811283</v>
      </c>
      <c r="DT145" s="130">
        <f t="shared" si="417"/>
        <v>5.3000000000000005E-2</v>
      </c>
      <c r="DU145" s="128">
        <f t="shared" si="418"/>
        <v>155972.63685997782</v>
      </c>
      <c r="DV145" s="128" t="str">
        <f t="shared" si="419"/>
        <v>nie</v>
      </c>
      <c r="DW145" s="128">
        <f t="shared" si="420"/>
        <v>3000</v>
      </c>
      <c r="DX145" s="128">
        <f t="shared" si="302"/>
        <v>142907.83585658204</v>
      </c>
      <c r="DY145" s="128">
        <f t="shared" si="303"/>
        <v>0</v>
      </c>
      <c r="DZ145" s="130">
        <f t="shared" si="421"/>
        <v>4.2500000000000003E-2</v>
      </c>
      <c r="EA145" s="128">
        <f t="shared" si="422"/>
        <v>0</v>
      </c>
      <c r="EB145" s="128">
        <f t="shared" si="423"/>
        <v>142907.83585658204</v>
      </c>
    </row>
    <row r="146" spans="1:132">
      <c r="A146" s="224"/>
      <c r="B146" s="188">
        <f t="shared" si="424"/>
        <v>102</v>
      </c>
      <c r="C146" s="128">
        <f t="shared" si="425"/>
        <v>138094.87815260052</v>
      </c>
      <c r="D146" s="128">
        <f t="shared" si="426"/>
        <v>136713.01249373789</v>
      </c>
      <c r="E146" s="128">
        <f t="shared" si="427"/>
        <v>136545.37527512602</v>
      </c>
      <c r="F146" s="128">
        <f t="shared" si="428"/>
        <v>133740.4243674092</v>
      </c>
      <c r="G146" s="128">
        <f t="shared" si="429"/>
        <v>138182.40362994329</v>
      </c>
      <c r="H146" s="128">
        <f t="shared" si="430"/>
        <v>137906.53891608916</v>
      </c>
      <c r="I146" s="128">
        <f t="shared" si="431"/>
        <v>142907.83585658204</v>
      </c>
      <c r="J146" s="128">
        <f t="shared" si="432"/>
        <v>133936.22728952259</v>
      </c>
      <c r="K146" s="128">
        <f t="shared" si="433"/>
        <v>126468.64697160838</v>
      </c>
      <c r="M146" s="36"/>
      <c r="N146" s="32">
        <f t="shared" si="434"/>
        <v>102</v>
      </c>
      <c r="O146" s="25">
        <f t="shared" si="318"/>
        <v>0.38094878152600509</v>
      </c>
      <c r="P146" s="25">
        <f t="shared" si="319"/>
        <v>0.36713012493737884</v>
      </c>
      <c r="Q146" s="25">
        <f t="shared" si="320"/>
        <v>0.36545375275126024</v>
      </c>
      <c r="R146" s="25">
        <f t="shared" si="370"/>
        <v>0.33740424367409205</v>
      </c>
      <c r="S146" s="25">
        <f t="shared" si="371"/>
        <v>0.38182403629943296</v>
      </c>
      <c r="T146" s="25">
        <f t="shared" si="372"/>
        <v>0.37906538916089172</v>
      </c>
      <c r="U146" s="25">
        <f t="shared" si="373"/>
        <v>0.42907835856582044</v>
      </c>
      <c r="V146" s="25">
        <f t="shared" si="374"/>
        <v>0.33936227289522591</v>
      </c>
      <c r="W146" s="25">
        <f t="shared" si="375"/>
        <v>0.26468646971608378</v>
      </c>
      <c r="X146" s="36"/>
      <c r="Y146" s="36"/>
      <c r="AA146" s="124">
        <f t="shared" si="321"/>
        <v>103</v>
      </c>
      <c r="AB146" s="128">
        <f t="shared" si="376"/>
        <v>126759.66621184547</v>
      </c>
      <c r="AC146" s="124">
        <f t="shared" si="322"/>
        <v>103</v>
      </c>
      <c r="AD146" s="130">
        <f t="shared" si="435"/>
        <v>4.2500000000000003E-2</v>
      </c>
      <c r="AE146" s="127">
        <f t="shared" si="436"/>
        <v>1362</v>
      </c>
      <c r="AF146" s="128">
        <f t="shared" si="437"/>
        <v>136068.5</v>
      </c>
      <c r="AG146" s="128">
        <f t="shared" si="348"/>
        <v>136200</v>
      </c>
      <c r="AH146" s="128">
        <f t="shared" si="357"/>
        <v>136200</v>
      </c>
      <c r="AI146" s="130">
        <f t="shared" si="377"/>
        <v>4.2500000000000003E-2</v>
      </c>
      <c r="AJ146" s="128">
        <f t="shared" si="378"/>
        <v>136682.37500000003</v>
      </c>
      <c r="AK146" s="128" t="str">
        <f t="shared" si="379"/>
        <v>nie</v>
      </c>
      <c r="AL146" s="128">
        <f t="shared" si="380"/>
        <v>681</v>
      </c>
      <c r="AM146" s="128">
        <f t="shared" si="361"/>
        <v>136039.11375000002</v>
      </c>
      <c r="AN146" s="128">
        <f t="shared" si="381"/>
        <v>390.72375000002359</v>
      </c>
      <c r="AO146" s="130">
        <f t="shared" si="382"/>
        <v>4.2500000000000003E-2</v>
      </c>
      <c r="AP146" s="128">
        <f t="shared" si="383"/>
        <v>2844.2302654883219</v>
      </c>
      <c r="AQ146" s="128">
        <f t="shared" si="362"/>
        <v>138492.62026548831</v>
      </c>
      <c r="AS146" s="124">
        <f t="shared" si="327"/>
        <v>103</v>
      </c>
      <c r="AT146" s="130">
        <f t="shared" si="328"/>
        <v>4.2500000000000003E-2</v>
      </c>
      <c r="AU146" s="127">
        <f t="shared" si="438"/>
        <v>1350</v>
      </c>
      <c r="AV146" s="128">
        <f t="shared" si="439"/>
        <v>134874.40000000002</v>
      </c>
      <c r="AW146" s="128">
        <f t="shared" si="363"/>
        <v>135000</v>
      </c>
      <c r="AX146" s="128">
        <f t="shared" si="358"/>
        <v>135000</v>
      </c>
      <c r="AY146" s="130">
        <f t="shared" si="384"/>
        <v>4.4000000000000004E-2</v>
      </c>
      <c r="AZ146" s="128">
        <f t="shared" si="385"/>
        <v>135495</v>
      </c>
      <c r="BA146" s="128" t="str">
        <f t="shared" si="386"/>
        <v>nie</v>
      </c>
      <c r="BB146" s="128">
        <f t="shared" si="387"/>
        <v>944.99999999999989</v>
      </c>
      <c r="BC146" s="128">
        <f t="shared" si="367"/>
        <v>134635.5</v>
      </c>
      <c r="BD146" s="128">
        <f t="shared" si="388"/>
        <v>400.95000000000005</v>
      </c>
      <c r="BE146" s="130">
        <f t="shared" si="264"/>
        <v>4.2500000000000003E-2</v>
      </c>
      <c r="BF146" s="128">
        <f t="shared" si="389"/>
        <v>2886.5225830167901</v>
      </c>
      <c r="BG146" s="128">
        <f t="shared" si="368"/>
        <v>137121.07258301679</v>
      </c>
      <c r="BI146" s="124">
        <f t="shared" si="332"/>
        <v>103</v>
      </c>
      <c r="BJ146" s="130">
        <f t="shared" ref="BJ146:BJ177" si="451">MAX(INDEX(scenariusz_I_WIBOR6M,MATCH(ROUNDUP(BI146/12,0),scenariusz_I_rok,0)),0)</f>
        <v>4.1300000000000003E-2</v>
      </c>
      <c r="BK146" s="127">
        <f t="shared" si="440"/>
        <v>1252</v>
      </c>
      <c r="BL146" s="128">
        <f t="shared" si="441"/>
        <v>125074.8</v>
      </c>
      <c r="BM146" s="128">
        <f t="shared" si="349"/>
        <v>125200</v>
      </c>
      <c r="BN146" s="128">
        <f t="shared" si="442"/>
        <v>137114.3137</v>
      </c>
      <c r="BO146" s="130">
        <f t="shared" si="390"/>
        <v>4.65E-2</v>
      </c>
      <c r="BP146" s="128">
        <f t="shared" si="391"/>
        <v>140833.53945911251</v>
      </c>
      <c r="BQ146" s="128" t="str">
        <f t="shared" si="392"/>
        <v>nie</v>
      </c>
      <c r="BR146" s="128">
        <f t="shared" si="393"/>
        <v>1252</v>
      </c>
      <c r="BS146" s="128">
        <f t="shared" si="364"/>
        <v>136849.04696188113</v>
      </c>
      <c r="BT146" s="128">
        <f t="shared" si="443"/>
        <v>0</v>
      </c>
      <c r="BU146" s="130">
        <f t="shared" si="394"/>
        <v>4.2500000000000003E-2</v>
      </c>
      <c r="BV146" s="128">
        <f t="shared" si="271"/>
        <v>127.05932413454171</v>
      </c>
      <c r="BW146" s="128">
        <f t="shared" si="365"/>
        <v>136976.10628601568</v>
      </c>
      <c r="BY146" s="130">
        <f t="shared" si="360"/>
        <v>2.8000000000000001E-2</v>
      </c>
      <c r="BZ146" s="127">
        <f t="shared" si="444"/>
        <v>1331</v>
      </c>
      <c r="CA146" s="128">
        <f t="shared" si="445"/>
        <v>132980.5</v>
      </c>
      <c r="CB146" s="128">
        <f t="shared" si="366"/>
        <v>133100</v>
      </c>
      <c r="CC146" s="128">
        <f t="shared" si="359"/>
        <v>133100</v>
      </c>
      <c r="CD146" s="130">
        <f t="shared" si="395"/>
        <v>0.05</v>
      </c>
      <c r="CE146" s="128">
        <f t="shared" si="396"/>
        <v>136982.08333333331</v>
      </c>
      <c r="CF146" s="128" t="str">
        <f t="shared" si="397"/>
        <v>nie</v>
      </c>
      <c r="CG146" s="128">
        <f t="shared" si="398"/>
        <v>2662</v>
      </c>
      <c r="CH146" s="128">
        <f t="shared" si="369"/>
        <v>134088.26749999999</v>
      </c>
      <c r="CI146" s="128">
        <f t="shared" si="399"/>
        <v>0</v>
      </c>
      <c r="CJ146" s="130">
        <f t="shared" si="277"/>
        <v>4.2500000000000003E-2</v>
      </c>
      <c r="CK146" s="128">
        <f t="shared" si="400"/>
        <v>101.66017078194891</v>
      </c>
      <c r="CL146" s="128">
        <f t="shared" si="401"/>
        <v>134189.92767078194</v>
      </c>
      <c r="CN146" s="127">
        <f t="shared" si="446"/>
        <v>1000</v>
      </c>
      <c r="CO146" s="128">
        <f t="shared" si="447"/>
        <v>100000</v>
      </c>
      <c r="CP146" s="128">
        <f t="shared" si="342"/>
        <v>100000</v>
      </c>
      <c r="CQ146" s="128">
        <f t="shared" si="448"/>
        <v>146619.89249366234</v>
      </c>
      <c r="CR146" s="130">
        <f t="shared" si="402"/>
        <v>4.8000000000000001E-2</v>
      </c>
      <c r="CS146" s="128">
        <f t="shared" si="403"/>
        <v>150725.24948348489</v>
      </c>
      <c r="CT146" s="128" t="str">
        <f t="shared" si="404"/>
        <v>nie</v>
      </c>
      <c r="CU146" s="128">
        <f t="shared" si="405"/>
        <v>3000</v>
      </c>
      <c r="CV146" s="128">
        <f t="shared" si="406"/>
        <v>138657.45208162276</v>
      </c>
      <c r="CW146" s="128">
        <f t="shared" si="285"/>
        <v>0</v>
      </c>
      <c r="CX146" s="130">
        <f t="shared" si="407"/>
        <v>4.2500000000000003E-2</v>
      </c>
      <c r="CY146" s="128">
        <f t="shared" si="408"/>
        <v>0</v>
      </c>
      <c r="CZ146" s="128">
        <f t="shared" si="409"/>
        <v>138657.45208162276</v>
      </c>
      <c r="DA146" s="20"/>
      <c r="DB146" s="127">
        <f t="shared" si="350"/>
        <v>1267</v>
      </c>
      <c r="DC146" s="128">
        <f t="shared" si="351"/>
        <v>126700</v>
      </c>
      <c r="DD146" s="128">
        <f t="shared" si="344"/>
        <v>126700</v>
      </c>
      <c r="DE146" s="128">
        <f t="shared" si="449"/>
        <v>139686.2432</v>
      </c>
      <c r="DF146" s="130">
        <f t="shared" si="410"/>
        <v>4.8000000000000001E-2</v>
      </c>
      <c r="DG146" s="128">
        <f t="shared" si="411"/>
        <v>143597.4580096</v>
      </c>
      <c r="DH146" s="128" t="str">
        <f t="shared" si="412"/>
        <v>nie</v>
      </c>
      <c r="DI146" s="128">
        <f t="shared" si="413"/>
        <v>2534</v>
      </c>
      <c r="DJ146" s="128">
        <f t="shared" si="355"/>
        <v>138334.400987776</v>
      </c>
      <c r="DK146" s="128">
        <f t="shared" si="294"/>
        <v>0</v>
      </c>
      <c r="DL146" s="130">
        <f t="shared" si="414"/>
        <v>4.2500000000000003E-2</v>
      </c>
      <c r="DM146" s="128">
        <f t="shared" si="415"/>
        <v>24.792275672009151</v>
      </c>
      <c r="DN146" s="128">
        <f t="shared" si="416"/>
        <v>138359.19326344802</v>
      </c>
      <c r="DP146" s="127">
        <f t="shared" si="352"/>
        <v>1000</v>
      </c>
      <c r="DQ146" s="128">
        <f t="shared" si="353"/>
        <v>100000</v>
      </c>
      <c r="DR146" s="128">
        <f t="shared" si="346"/>
        <v>100000</v>
      </c>
      <c r="DS146" s="128">
        <f t="shared" si="450"/>
        <v>151946.06610811283</v>
      </c>
      <c r="DT146" s="130">
        <f t="shared" si="417"/>
        <v>5.3000000000000005E-2</v>
      </c>
      <c r="DU146" s="128">
        <f t="shared" si="418"/>
        <v>156643.73198528867</v>
      </c>
      <c r="DV146" s="128" t="str">
        <f t="shared" si="419"/>
        <v>nie</v>
      </c>
      <c r="DW146" s="128">
        <f t="shared" si="420"/>
        <v>3000</v>
      </c>
      <c r="DX146" s="128">
        <f t="shared" si="302"/>
        <v>143451.42290808383</v>
      </c>
      <c r="DY146" s="128">
        <f t="shared" si="303"/>
        <v>0</v>
      </c>
      <c r="DZ146" s="130">
        <f t="shared" si="421"/>
        <v>4.2500000000000003E-2</v>
      </c>
      <c r="EA146" s="128">
        <f t="shared" si="422"/>
        <v>0</v>
      </c>
      <c r="EB146" s="128">
        <f t="shared" si="423"/>
        <v>143451.42290808383</v>
      </c>
    </row>
    <row r="147" spans="1:132">
      <c r="A147" s="224"/>
      <c r="B147" s="188">
        <f t="shared" si="424"/>
        <v>103</v>
      </c>
      <c r="C147" s="128">
        <f t="shared" si="425"/>
        <v>138492.62026548831</v>
      </c>
      <c r="D147" s="128">
        <f t="shared" si="426"/>
        <v>137121.07258301679</v>
      </c>
      <c r="E147" s="128">
        <f t="shared" si="427"/>
        <v>136976.10628601568</v>
      </c>
      <c r="F147" s="128">
        <f t="shared" si="428"/>
        <v>134189.92767078194</v>
      </c>
      <c r="G147" s="128">
        <f t="shared" si="429"/>
        <v>138657.45208162276</v>
      </c>
      <c r="H147" s="128">
        <f t="shared" si="430"/>
        <v>138359.19326344802</v>
      </c>
      <c r="I147" s="128">
        <f t="shared" si="431"/>
        <v>143451.42290808383</v>
      </c>
      <c r="J147" s="128">
        <f t="shared" si="432"/>
        <v>134320.45684155941</v>
      </c>
      <c r="K147" s="128">
        <f t="shared" si="433"/>
        <v>126759.66621184547</v>
      </c>
      <c r="M147" s="36"/>
      <c r="N147" s="32">
        <f t="shared" si="434"/>
        <v>103</v>
      </c>
      <c r="O147" s="25">
        <f t="shared" si="318"/>
        <v>0.3849262026548832</v>
      </c>
      <c r="P147" s="25">
        <f t="shared" si="319"/>
        <v>0.37121072583016801</v>
      </c>
      <c r="Q147" s="25">
        <f t="shared" si="320"/>
        <v>0.36976106286015686</v>
      </c>
      <c r="R147" s="25">
        <f t="shared" si="370"/>
        <v>0.34189927670781928</v>
      </c>
      <c r="S147" s="25">
        <f t="shared" si="371"/>
        <v>0.38657452081622767</v>
      </c>
      <c r="T147" s="25">
        <f t="shared" si="372"/>
        <v>0.3835919326344801</v>
      </c>
      <c r="U147" s="25">
        <f t="shared" si="373"/>
        <v>0.43451422908083837</v>
      </c>
      <c r="V147" s="25">
        <f t="shared" si="374"/>
        <v>0.34320456841559421</v>
      </c>
      <c r="W147" s="25">
        <f t="shared" si="375"/>
        <v>0.26759666211845468</v>
      </c>
      <c r="X147" s="36"/>
      <c r="Y147" s="36"/>
      <c r="AA147" s="124">
        <f t="shared" si="321"/>
        <v>104</v>
      </c>
      <c r="AB147" s="128">
        <f t="shared" si="376"/>
        <v>127050.68545208257</v>
      </c>
      <c r="AC147" s="124">
        <f t="shared" si="322"/>
        <v>104</v>
      </c>
      <c r="AD147" s="130">
        <f t="shared" si="435"/>
        <v>4.2500000000000003E-2</v>
      </c>
      <c r="AE147" s="127">
        <f t="shared" si="436"/>
        <v>1362</v>
      </c>
      <c r="AF147" s="128">
        <f t="shared" si="437"/>
        <v>136068.5</v>
      </c>
      <c r="AG147" s="128">
        <f t="shared" si="348"/>
        <v>136200</v>
      </c>
      <c r="AH147" s="128">
        <f t="shared" si="357"/>
        <v>136200</v>
      </c>
      <c r="AI147" s="130">
        <f t="shared" si="377"/>
        <v>4.2500000000000003E-2</v>
      </c>
      <c r="AJ147" s="128">
        <f t="shared" si="378"/>
        <v>136682.37500000003</v>
      </c>
      <c r="AK147" s="128" t="str">
        <f t="shared" si="379"/>
        <v>nie</v>
      </c>
      <c r="AL147" s="128">
        <f t="shared" si="380"/>
        <v>681</v>
      </c>
      <c r="AM147" s="128">
        <f t="shared" si="361"/>
        <v>136039.11375000002</v>
      </c>
      <c r="AN147" s="128">
        <f t="shared" si="381"/>
        <v>390.72375000002359</v>
      </c>
      <c r="AO147" s="130">
        <f t="shared" si="382"/>
        <v>4.2500000000000003E-2</v>
      </c>
      <c r="AP147" s="128">
        <f t="shared" si="383"/>
        <v>3243.1134010624651</v>
      </c>
      <c r="AQ147" s="128">
        <f t="shared" si="362"/>
        <v>138891.50340106245</v>
      </c>
      <c r="AS147" s="124">
        <f t="shared" si="327"/>
        <v>104</v>
      </c>
      <c r="AT147" s="130">
        <f t="shared" si="328"/>
        <v>4.2500000000000003E-2</v>
      </c>
      <c r="AU147" s="127">
        <f t="shared" si="438"/>
        <v>1350</v>
      </c>
      <c r="AV147" s="128">
        <f t="shared" si="439"/>
        <v>134874.40000000002</v>
      </c>
      <c r="AW147" s="128">
        <f t="shared" si="363"/>
        <v>135000</v>
      </c>
      <c r="AX147" s="128">
        <f t="shared" si="358"/>
        <v>135000</v>
      </c>
      <c r="AY147" s="130">
        <f t="shared" si="384"/>
        <v>4.4000000000000004E-2</v>
      </c>
      <c r="AZ147" s="128">
        <f t="shared" si="385"/>
        <v>135495</v>
      </c>
      <c r="BA147" s="128" t="str">
        <f t="shared" si="386"/>
        <v>nie</v>
      </c>
      <c r="BB147" s="128">
        <f t="shared" si="387"/>
        <v>944.99999999999989</v>
      </c>
      <c r="BC147" s="128">
        <f t="shared" si="367"/>
        <v>134635.5</v>
      </c>
      <c r="BD147" s="128">
        <f t="shared" si="388"/>
        <v>400.95000000000005</v>
      </c>
      <c r="BE147" s="130">
        <f t="shared" si="264"/>
        <v>4.2500000000000003E-2</v>
      </c>
      <c r="BF147" s="128">
        <f t="shared" si="389"/>
        <v>3295.7532946768197</v>
      </c>
      <c r="BG147" s="128">
        <f t="shared" si="368"/>
        <v>137530.30329467682</v>
      </c>
      <c r="BI147" s="124">
        <f t="shared" si="332"/>
        <v>104</v>
      </c>
      <c r="BJ147" s="130">
        <f t="shared" si="451"/>
        <v>4.1300000000000003E-2</v>
      </c>
      <c r="BK147" s="127">
        <f t="shared" si="440"/>
        <v>1252</v>
      </c>
      <c r="BL147" s="128">
        <f t="shared" si="441"/>
        <v>125074.8</v>
      </c>
      <c r="BM147" s="128">
        <f t="shared" si="349"/>
        <v>125200</v>
      </c>
      <c r="BN147" s="128">
        <f t="shared" si="442"/>
        <v>137114.3137</v>
      </c>
      <c r="BO147" s="130">
        <f t="shared" si="390"/>
        <v>4.65E-2</v>
      </c>
      <c r="BP147" s="128">
        <f t="shared" si="391"/>
        <v>141364.85742469999</v>
      </c>
      <c r="BQ147" s="128" t="str">
        <f t="shared" si="392"/>
        <v>nie</v>
      </c>
      <c r="BR147" s="128">
        <f t="shared" si="393"/>
        <v>1252</v>
      </c>
      <c r="BS147" s="128">
        <f t="shared" si="364"/>
        <v>137279.41451400699</v>
      </c>
      <c r="BT147" s="128">
        <f t="shared" si="443"/>
        <v>0</v>
      </c>
      <c r="BU147" s="130">
        <f t="shared" si="394"/>
        <v>4.2500000000000003E-2</v>
      </c>
      <c r="BV147" s="128">
        <f t="shared" si="271"/>
        <v>127.42382557065268</v>
      </c>
      <c r="BW147" s="128">
        <f t="shared" si="365"/>
        <v>137406.83833957763</v>
      </c>
      <c r="BY147" s="130">
        <f t="shared" si="360"/>
        <v>2.8000000000000001E-2</v>
      </c>
      <c r="BZ147" s="127">
        <f t="shared" si="444"/>
        <v>1331</v>
      </c>
      <c r="CA147" s="128">
        <f t="shared" si="445"/>
        <v>132980.5</v>
      </c>
      <c r="CB147" s="128">
        <f t="shared" si="366"/>
        <v>133100</v>
      </c>
      <c r="CC147" s="128">
        <f t="shared" si="359"/>
        <v>133100</v>
      </c>
      <c r="CD147" s="130">
        <f t="shared" si="395"/>
        <v>0.05</v>
      </c>
      <c r="CE147" s="128">
        <f t="shared" si="396"/>
        <v>137536.66666666669</v>
      </c>
      <c r="CF147" s="128" t="str">
        <f t="shared" si="397"/>
        <v>nie</v>
      </c>
      <c r="CG147" s="128">
        <f t="shared" si="398"/>
        <v>2662</v>
      </c>
      <c r="CH147" s="128">
        <f t="shared" si="369"/>
        <v>134537.48000000001</v>
      </c>
      <c r="CI147" s="128">
        <f t="shared" si="399"/>
        <v>0</v>
      </c>
      <c r="CJ147" s="130">
        <f t="shared" si="277"/>
        <v>4.2500000000000003E-2</v>
      </c>
      <c r="CK147" s="128">
        <f t="shared" si="400"/>
        <v>101.95180839687961</v>
      </c>
      <c r="CL147" s="128">
        <f t="shared" si="401"/>
        <v>134639.43180839688</v>
      </c>
      <c r="CN147" s="127">
        <f t="shared" si="446"/>
        <v>1000</v>
      </c>
      <c r="CO147" s="128">
        <f t="shared" si="447"/>
        <v>100000</v>
      </c>
      <c r="CP147" s="128">
        <f t="shared" si="342"/>
        <v>100000</v>
      </c>
      <c r="CQ147" s="128">
        <f t="shared" si="448"/>
        <v>146619.89249366234</v>
      </c>
      <c r="CR147" s="130">
        <f t="shared" si="402"/>
        <v>4.8000000000000001E-2</v>
      </c>
      <c r="CS147" s="128">
        <f t="shared" si="403"/>
        <v>151311.72905345954</v>
      </c>
      <c r="CT147" s="128" t="str">
        <f t="shared" si="404"/>
        <v>nie</v>
      </c>
      <c r="CU147" s="128">
        <f t="shared" si="405"/>
        <v>3000</v>
      </c>
      <c r="CV147" s="128">
        <f t="shared" si="406"/>
        <v>139132.50053330223</v>
      </c>
      <c r="CW147" s="128">
        <f t="shared" si="285"/>
        <v>0</v>
      </c>
      <c r="CX147" s="130">
        <f t="shared" si="407"/>
        <v>4.2500000000000003E-2</v>
      </c>
      <c r="CY147" s="128">
        <f t="shared" si="408"/>
        <v>0</v>
      </c>
      <c r="CZ147" s="128">
        <f t="shared" si="409"/>
        <v>139132.50053330223</v>
      </c>
      <c r="DA147" s="20"/>
      <c r="DB147" s="127">
        <f t="shared" si="350"/>
        <v>1267</v>
      </c>
      <c r="DC147" s="128">
        <f t="shared" si="351"/>
        <v>126700</v>
      </c>
      <c r="DD147" s="128">
        <f t="shared" si="344"/>
        <v>126700</v>
      </c>
      <c r="DE147" s="128">
        <f t="shared" si="449"/>
        <v>139686.2432</v>
      </c>
      <c r="DF147" s="130">
        <f t="shared" si="410"/>
        <v>4.8000000000000001E-2</v>
      </c>
      <c r="DG147" s="128">
        <f t="shared" si="411"/>
        <v>144156.20298239999</v>
      </c>
      <c r="DH147" s="128" t="str">
        <f t="shared" si="412"/>
        <v>nie</v>
      </c>
      <c r="DI147" s="128">
        <f t="shared" si="413"/>
        <v>2534</v>
      </c>
      <c r="DJ147" s="128">
        <f t="shared" si="355"/>
        <v>138786.98441574399</v>
      </c>
      <c r="DK147" s="128">
        <f t="shared" si="294"/>
        <v>0</v>
      </c>
      <c r="DL147" s="130">
        <f t="shared" si="414"/>
        <v>4.2500000000000003E-2</v>
      </c>
      <c r="DM147" s="128">
        <f t="shared" si="415"/>
        <v>24.863398512843226</v>
      </c>
      <c r="DN147" s="128">
        <f t="shared" si="416"/>
        <v>138811.84781425685</v>
      </c>
      <c r="DP147" s="127">
        <f t="shared" si="352"/>
        <v>1000</v>
      </c>
      <c r="DQ147" s="128">
        <f t="shared" si="353"/>
        <v>100000</v>
      </c>
      <c r="DR147" s="128">
        <f t="shared" si="346"/>
        <v>100000</v>
      </c>
      <c r="DS147" s="128">
        <f t="shared" si="450"/>
        <v>151946.06610811283</v>
      </c>
      <c r="DT147" s="130">
        <f t="shared" si="417"/>
        <v>5.3000000000000005E-2</v>
      </c>
      <c r="DU147" s="128">
        <f t="shared" si="418"/>
        <v>157314.82711059949</v>
      </c>
      <c r="DV147" s="128" t="str">
        <f t="shared" si="419"/>
        <v>nie</v>
      </c>
      <c r="DW147" s="128">
        <f t="shared" si="420"/>
        <v>3000</v>
      </c>
      <c r="DX147" s="128">
        <f t="shared" si="302"/>
        <v>143995.00995958559</v>
      </c>
      <c r="DY147" s="128">
        <f t="shared" si="303"/>
        <v>0</v>
      </c>
      <c r="DZ147" s="130">
        <f t="shared" si="421"/>
        <v>4.2500000000000003E-2</v>
      </c>
      <c r="EA147" s="128">
        <f t="shared" si="422"/>
        <v>0</v>
      </c>
      <c r="EB147" s="128">
        <f t="shared" si="423"/>
        <v>143995.00995958559</v>
      </c>
    </row>
    <row r="148" spans="1:132">
      <c r="A148" s="224"/>
      <c r="B148" s="188">
        <f t="shared" si="424"/>
        <v>104</v>
      </c>
      <c r="C148" s="128">
        <f t="shared" si="425"/>
        <v>138891.50340106245</v>
      </c>
      <c r="D148" s="128">
        <f t="shared" si="426"/>
        <v>137530.30329467682</v>
      </c>
      <c r="E148" s="128">
        <f t="shared" si="427"/>
        <v>137406.83833957763</v>
      </c>
      <c r="F148" s="128">
        <f t="shared" si="428"/>
        <v>134639.43180839688</v>
      </c>
      <c r="G148" s="128">
        <f t="shared" si="429"/>
        <v>139132.50053330223</v>
      </c>
      <c r="H148" s="128">
        <f t="shared" si="430"/>
        <v>138811.84781425685</v>
      </c>
      <c r="I148" s="128">
        <f t="shared" si="431"/>
        <v>143995.00995958559</v>
      </c>
      <c r="J148" s="128">
        <f t="shared" si="432"/>
        <v>134705.78865212362</v>
      </c>
      <c r="K148" s="128">
        <f t="shared" si="433"/>
        <v>127050.68545208257</v>
      </c>
      <c r="M148" s="36"/>
      <c r="N148" s="32">
        <f t="shared" si="434"/>
        <v>104</v>
      </c>
      <c r="O148" s="25">
        <f t="shared" si="318"/>
        <v>0.38891503401062444</v>
      </c>
      <c r="P148" s="25">
        <f t="shared" si="319"/>
        <v>0.37530303294676814</v>
      </c>
      <c r="Q148" s="25">
        <f t="shared" si="320"/>
        <v>0.3740683833957763</v>
      </c>
      <c r="R148" s="25">
        <f t="shared" si="370"/>
        <v>0.34639431808396881</v>
      </c>
      <c r="S148" s="25">
        <f t="shared" si="371"/>
        <v>0.39132500533302217</v>
      </c>
      <c r="T148" s="25">
        <f t="shared" si="372"/>
        <v>0.38811847814256839</v>
      </c>
      <c r="U148" s="25">
        <f t="shared" si="373"/>
        <v>0.43995009959585585</v>
      </c>
      <c r="V148" s="25">
        <f t="shared" si="374"/>
        <v>0.34705788652123615</v>
      </c>
      <c r="W148" s="25">
        <f t="shared" si="375"/>
        <v>0.27050685452082579</v>
      </c>
      <c r="X148" s="36"/>
      <c r="Y148" s="36"/>
      <c r="AA148" s="124">
        <f t="shared" si="321"/>
        <v>105</v>
      </c>
      <c r="AB148" s="128">
        <f t="shared" si="376"/>
        <v>127341.70469231966</v>
      </c>
      <c r="AC148" s="124">
        <f t="shared" si="322"/>
        <v>105</v>
      </c>
      <c r="AD148" s="130">
        <f t="shared" si="435"/>
        <v>4.2500000000000003E-2</v>
      </c>
      <c r="AE148" s="127">
        <f t="shared" si="436"/>
        <v>1362</v>
      </c>
      <c r="AF148" s="128">
        <f t="shared" si="437"/>
        <v>136068.5</v>
      </c>
      <c r="AG148" s="128">
        <f t="shared" si="348"/>
        <v>136200</v>
      </c>
      <c r="AH148" s="128">
        <f t="shared" si="357"/>
        <v>136200</v>
      </c>
      <c r="AI148" s="130">
        <f t="shared" si="377"/>
        <v>4.2500000000000003E-2</v>
      </c>
      <c r="AJ148" s="128">
        <f t="shared" si="378"/>
        <v>136682.37500000003</v>
      </c>
      <c r="AK148" s="128" t="str">
        <f t="shared" si="379"/>
        <v>nie</v>
      </c>
      <c r="AL148" s="128">
        <f t="shared" si="380"/>
        <v>681</v>
      </c>
      <c r="AM148" s="128">
        <f t="shared" si="361"/>
        <v>136039.11375000002</v>
      </c>
      <c r="AN148" s="128">
        <f t="shared" si="381"/>
        <v>390.72375000002359</v>
      </c>
      <c r="AO148" s="130">
        <f t="shared" si="382"/>
        <v>4.2500000000000003E-2</v>
      </c>
      <c r="AP148" s="128">
        <f t="shared" si="383"/>
        <v>3643.1408326317869</v>
      </c>
      <c r="AQ148" s="128">
        <f t="shared" si="362"/>
        <v>139291.53083263178</v>
      </c>
      <c r="AS148" s="124">
        <f t="shared" si="327"/>
        <v>105</v>
      </c>
      <c r="AT148" s="130">
        <f t="shared" si="328"/>
        <v>4.2500000000000003E-2</v>
      </c>
      <c r="AU148" s="127">
        <f t="shared" si="438"/>
        <v>1350</v>
      </c>
      <c r="AV148" s="128">
        <f t="shared" si="439"/>
        <v>134874.40000000002</v>
      </c>
      <c r="AW148" s="128">
        <f t="shared" si="363"/>
        <v>135000</v>
      </c>
      <c r="AX148" s="128">
        <f t="shared" si="358"/>
        <v>135000</v>
      </c>
      <c r="AY148" s="130">
        <f t="shared" si="384"/>
        <v>4.4000000000000004E-2</v>
      </c>
      <c r="AZ148" s="128">
        <f t="shared" si="385"/>
        <v>135495</v>
      </c>
      <c r="BA148" s="128" t="str">
        <f t="shared" si="386"/>
        <v>nie</v>
      </c>
      <c r="BB148" s="128">
        <f t="shared" si="387"/>
        <v>944.99999999999989</v>
      </c>
      <c r="BC148" s="128">
        <f t="shared" si="367"/>
        <v>134635.5</v>
      </c>
      <c r="BD148" s="128">
        <f t="shared" si="388"/>
        <v>400.95000000000005</v>
      </c>
      <c r="BE148" s="130">
        <f t="shared" si="264"/>
        <v>4.2500000000000003E-2</v>
      </c>
      <c r="BF148" s="128">
        <f t="shared" si="389"/>
        <v>3706.1579869409234</v>
      </c>
      <c r="BG148" s="128">
        <f t="shared" si="368"/>
        <v>137940.70798694092</v>
      </c>
      <c r="BI148" s="124">
        <f t="shared" si="332"/>
        <v>105</v>
      </c>
      <c r="BJ148" s="130">
        <f t="shared" si="451"/>
        <v>4.1300000000000003E-2</v>
      </c>
      <c r="BK148" s="127">
        <f t="shared" si="440"/>
        <v>1252</v>
      </c>
      <c r="BL148" s="128">
        <f t="shared" si="441"/>
        <v>125074.8</v>
      </c>
      <c r="BM148" s="128">
        <f t="shared" si="349"/>
        <v>125200</v>
      </c>
      <c r="BN148" s="128">
        <f t="shared" si="442"/>
        <v>137114.3137</v>
      </c>
      <c r="BO148" s="130">
        <f t="shared" si="390"/>
        <v>4.65E-2</v>
      </c>
      <c r="BP148" s="128">
        <f t="shared" si="391"/>
        <v>141896.17539028751</v>
      </c>
      <c r="BQ148" s="128" t="str">
        <f t="shared" si="392"/>
        <v>nie</v>
      </c>
      <c r="BR148" s="128">
        <f t="shared" si="393"/>
        <v>1252</v>
      </c>
      <c r="BS148" s="128">
        <f t="shared" si="364"/>
        <v>137709.78206613287</v>
      </c>
      <c r="BT148" s="128">
        <f t="shared" si="443"/>
        <v>0</v>
      </c>
      <c r="BU148" s="130">
        <f t="shared" si="394"/>
        <v>4.2500000000000003E-2</v>
      </c>
      <c r="BV148" s="128">
        <f t="shared" si="271"/>
        <v>127.78937267025849</v>
      </c>
      <c r="BW148" s="128">
        <f t="shared" si="365"/>
        <v>137837.57143880313</v>
      </c>
      <c r="BY148" s="130">
        <f t="shared" si="360"/>
        <v>2.8000000000000001E-2</v>
      </c>
      <c r="BZ148" s="127">
        <f t="shared" si="444"/>
        <v>1331</v>
      </c>
      <c r="CA148" s="128">
        <f t="shared" si="445"/>
        <v>132980.5</v>
      </c>
      <c r="CB148" s="128">
        <f t="shared" si="366"/>
        <v>133100</v>
      </c>
      <c r="CC148" s="128">
        <f t="shared" si="359"/>
        <v>133100</v>
      </c>
      <c r="CD148" s="130">
        <f t="shared" si="395"/>
        <v>0.05</v>
      </c>
      <c r="CE148" s="128">
        <f t="shared" si="396"/>
        <v>138091.25</v>
      </c>
      <c r="CF148" s="128" t="str">
        <f t="shared" si="397"/>
        <v>nie</v>
      </c>
      <c r="CG148" s="128">
        <f t="shared" si="398"/>
        <v>2662</v>
      </c>
      <c r="CH148" s="128">
        <f t="shared" si="369"/>
        <v>134986.6925</v>
      </c>
      <c r="CI148" s="128">
        <f t="shared" si="399"/>
        <v>0</v>
      </c>
      <c r="CJ148" s="130">
        <f t="shared" si="277"/>
        <v>4.2500000000000003E-2</v>
      </c>
      <c r="CK148" s="128">
        <f t="shared" si="400"/>
        <v>102.24428264721816</v>
      </c>
      <c r="CL148" s="128">
        <f t="shared" si="401"/>
        <v>135088.93678264722</v>
      </c>
      <c r="CN148" s="127">
        <f t="shared" si="446"/>
        <v>1000</v>
      </c>
      <c r="CO148" s="128">
        <f t="shared" si="447"/>
        <v>100000</v>
      </c>
      <c r="CP148" s="128">
        <f t="shared" si="342"/>
        <v>100000</v>
      </c>
      <c r="CQ148" s="128">
        <f t="shared" si="448"/>
        <v>146619.89249366234</v>
      </c>
      <c r="CR148" s="130">
        <f t="shared" si="402"/>
        <v>4.8000000000000001E-2</v>
      </c>
      <c r="CS148" s="128">
        <f t="shared" si="403"/>
        <v>151898.20862343418</v>
      </c>
      <c r="CT148" s="128" t="str">
        <f t="shared" si="404"/>
        <v>nie</v>
      </c>
      <c r="CU148" s="128">
        <f t="shared" si="405"/>
        <v>3000</v>
      </c>
      <c r="CV148" s="128">
        <f t="shared" si="406"/>
        <v>139607.54898498169</v>
      </c>
      <c r="CW148" s="128">
        <f t="shared" si="285"/>
        <v>0</v>
      </c>
      <c r="CX148" s="130">
        <f t="shared" si="407"/>
        <v>4.2500000000000003E-2</v>
      </c>
      <c r="CY148" s="128">
        <f t="shared" si="408"/>
        <v>0</v>
      </c>
      <c r="CZ148" s="128">
        <f t="shared" si="409"/>
        <v>139607.54898498169</v>
      </c>
      <c r="DA148" s="20"/>
      <c r="DB148" s="127">
        <f t="shared" si="350"/>
        <v>1267</v>
      </c>
      <c r="DC148" s="128">
        <f t="shared" si="351"/>
        <v>126700</v>
      </c>
      <c r="DD148" s="128">
        <f t="shared" si="344"/>
        <v>126700</v>
      </c>
      <c r="DE148" s="128">
        <f t="shared" si="449"/>
        <v>139686.2432</v>
      </c>
      <c r="DF148" s="130">
        <f t="shared" si="410"/>
        <v>4.8000000000000001E-2</v>
      </c>
      <c r="DG148" s="128">
        <f t="shared" si="411"/>
        <v>144714.94795520001</v>
      </c>
      <c r="DH148" s="128" t="str">
        <f t="shared" si="412"/>
        <v>nie</v>
      </c>
      <c r="DI148" s="128">
        <f t="shared" si="413"/>
        <v>2534</v>
      </c>
      <c r="DJ148" s="128">
        <f t="shared" si="355"/>
        <v>139239.56784371202</v>
      </c>
      <c r="DK148" s="128">
        <f t="shared" si="294"/>
        <v>0</v>
      </c>
      <c r="DL148" s="130">
        <f t="shared" si="414"/>
        <v>4.2500000000000003E-2</v>
      </c>
      <c r="DM148" s="128">
        <f t="shared" si="415"/>
        <v>24.934725387326946</v>
      </c>
      <c r="DN148" s="128">
        <f t="shared" si="416"/>
        <v>139264.50256909934</v>
      </c>
      <c r="DP148" s="127">
        <f t="shared" si="352"/>
        <v>1000</v>
      </c>
      <c r="DQ148" s="128">
        <f t="shared" si="353"/>
        <v>100000</v>
      </c>
      <c r="DR148" s="128">
        <f t="shared" si="346"/>
        <v>100000</v>
      </c>
      <c r="DS148" s="128">
        <f t="shared" si="450"/>
        <v>151946.06610811283</v>
      </c>
      <c r="DT148" s="130">
        <f t="shared" si="417"/>
        <v>5.3000000000000005E-2</v>
      </c>
      <c r="DU148" s="128">
        <f t="shared" si="418"/>
        <v>157985.92223591032</v>
      </c>
      <c r="DV148" s="128" t="str">
        <f t="shared" si="419"/>
        <v>nie</v>
      </c>
      <c r="DW148" s="128">
        <f t="shared" si="420"/>
        <v>3000</v>
      </c>
      <c r="DX148" s="128">
        <f t="shared" si="302"/>
        <v>144538.59701108735</v>
      </c>
      <c r="DY148" s="128">
        <f t="shared" si="303"/>
        <v>0</v>
      </c>
      <c r="DZ148" s="130">
        <f t="shared" si="421"/>
        <v>4.2500000000000003E-2</v>
      </c>
      <c r="EA148" s="128">
        <f t="shared" si="422"/>
        <v>0</v>
      </c>
      <c r="EB148" s="128">
        <f t="shared" si="423"/>
        <v>144538.59701108735</v>
      </c>
    </row>
    <row r="149" spans="1:132">
      <c r="A149" s="224"/>
      <c r="B149" s="188">
        <f t="shared" si="424"/>
        <v>105</v>
      </c>
      <c r="C149" s="128">
        <f t="shared" si="425"/>
        <v>139291.53083263178</v>
      </c>
      <c r="D149" s="128">
        <f t="shared" si="426"/>
        <v>137940.70798694092</v>
      </c>
      <c r="E149" s="128">
        <f t="shared" si="427"/>
        <v>137837.57143880313</v>
      </c>
      <c r="F149" s="128">
        <f t="shared" si="428"/>
        <v>135088.93678264722</v>
      </c>
      <c r="G149" s="128">
        <f t="shared" si="429"/>
        <v>139607.54898498169</v>
      </c>
      <c r="H149" s="128">
        <f t="shared" si="430"/>
        <v>139264.50256909934</v>
      </c>
      <c r="I149" s="128">
        <f t="shared" si="431"/>
        <v>144538.59701108735</v>
      </c>
      <c r="J149" s="128">
        <f t="shared" si="432"/>
        <v>135092.22588331939</v>
      </c>
      <c r="K149" s="128">
        <f t="shared" si="433"/>
        <v>127341.70469231966</v>
      </c>
      <c r="M149" s="36"/>
      <c r="N149" s="32">
        <f t="shared" si="434"/>
        <v>105</v>
      </c>
      <c r="O149" s="25">
        <f t="shared" si="318"/>
        <v>0.39291530832631771</v>
      </c>
      <c r="P149" s="25">
        <f t="shared" si="319"/>
        <v>0.37940707986940914</v>
      </c>
      <c r="Q149" s="25">
        <f t="shared" si="320"/>
        <v>0.3783757143880313</v>
      </c>
      <c r="R149" s="25">
        <f t="shared" si="370"/>
        <v>0.35088936782647218</v>
      </c>
      <c r="S149" s="25">
        <f t="shared" si="371"/>
        <v>0.39607548984981689</v>
      </c>
      <c r="T149" s="25">
        <f t="shared" si="372"/>
        <v>0.39264502569099324</v>
      </c>
      <c r="U149" s="25">
        <f t="shared" si="373"/>
        <v>0.44538597011087355</v>
      </c>
      <c r="V149" s="25">
        <f t="shared" si="374"/>
        <v>0.35092225883319395</v>
      </c>
      <c r="W149" s="25">
        <f t="shared" si="375"/>
        <v>0.27341704692319668</v>
      </c>
      <c r="X149" s="36"/>
      <c r="Y149" s="36"/>
      <c r="AA149" s="124">
        <f t="shared" si="321"/>
        <v>106</v>
      </c>
      <c r="AB149" s="128">
        <f t="shared" si="376"/>
        <v>127632.72393255679</v>
      </c>
      <c r="AC149" s="124">
        <f t="shared" si="322"/>
        <v>106</v>
      </c>
      <c r="AD149" s="130">
        <f t="shared" si="435"/>
        <v>4.2500000000000003E-2</v>
      </c>
      <c r="AE149" s="127">
        <f t="shared" si="436"/>
        <v>1362</v>
      </c>
      <c r="AF149" s="128">
        <f t="shared" si="437"/>
        <v>136068.5</v>
      </c>
      <c r="AG149" s="128">
        <f t="shared" si="348"/>
        <v>136200</v>
      </c>
      <c r="AH149" s="128">
        <f t="shared" si="357"/>
        <v>136200</v>
      </c>
      <c r="AI149" s="130">
        <f t="shared" si="377"/>
        <v>4.2500000000000003E-2</v>
      </c>
      <c r="AJ149" s="128">
        <f t="shared" si="378"/>
        <v>136682.37500000003</v>
      </c>
      <c r="AK149" s="128" t="str">
        <f t="shared" si="379"/>
        <v>nie</v>
      </c>
      <c r="AL149" s="128">
        <f t="shared" si="380"/>
        <v>681</v>
      </c>
      <c r="AM149" s="128">
        <f t="shared" si="361"/>
        <v>136039.11375000002</v>
      </c>
      <c r="AN149" s="128">
        <f t="shared" si="381"/>
        <v>390.72375000002359</v>
      </c>
      <c r="AO149" s="130">
        <f t="shared" si="382"/>
        <v>4.2500000000000003E-2</v>
      </c>
      <c r="AP149" s="128">
        <f t="shared" si="383"/>
        <v>4044.315842895423</v>
      </c>
      <c r="AQ149" s="128">
        <f t="shared" si="362"/>
        <v>139692.7058428954</v>
      </c>
      <c r="AS149" s="124">
        <f t="shared" si="327"/>
        <v>106</v>
      </c>
      <c r="AT149" s="130">
        <f t="shared" si="328"/>
        <v>4.2500000000000003E-2</v>
      </c>
      <c r="AU149" s="127">
        <f t="shared" si="438"/>
        <v>1350</v>
      </c>
      <c r="AV149" s="128">
        <f t="shared" si="439"/>
        <v>134874.40000000002</v>
      </c>
      <c r="AW149" s="128">
        <f t="shared" si="363"/>
        <v>135000</v>
      </c>
      <c r="AX149" s="128">
        <f t="shared" si="358"/>
        <v>135000</v>
      </c>
      <c r="AY149" s="130">
        <f t="shared" si="384"/>
        <v>4.4000000000000004E-2</v>
      </c>
      <c r="AZ149" s="128">
        <f t="shared" si="385"/>
        <v>135495</v>
      </c>
      <c r="BA149" s="128" t="str">
        <f t="shared" si="386"/>
        <v>nie</v>
      </c>
      <c r="BB149" s="128">
        <f t="shared" si="387"/>
        <v>944.99999999999989</v>
      </c>
      <c r="BC149" s="128">
        <f t="shared" si="367"/>
        <v>134635.5</v>
      </c>
      <c r="BD149" s="128">
        <f t="shared" si="388"/>
        <v>400.95000000000005</v>
      </c>
      <c r="BE149" s="130">
        <f t="shared" si="264"/>
        <v>4.2500000000000003E-2</v>
      </c>
      <c r="BF149" s="128">
        <f t="shared" si="389"/>
        <v>4117.74002766596</v>
      </c>
      <c r="BG149" s="128">
        <f t="shared" si="368"/>
        <v>138352.29002766596</v>
      </c>
      <c r="BI149" s="124">
        <f t="shared" si="332"/>
        <v>106</v>
      </c>
      <c r="BJ149" s="130">
        <f t="shared" si="451"/>
        <v>4.1300000000000003E-2</v>
      </c>
      <c r="BK149" s="127">
        <f t="shared" si="440"/>
        <v>1252</v>
      </c>
      <c r="BL149" s="128">
        <f t="shared" si="441"/>
        <v>125074.8</v>
      </c>
      <c r="BM149" s="128">
        <f t="shared" si="349"/>
        <v>125200</v>
      </c>
      <c r="BN149" s="128">
        <f t="shared" si="442"/>
        <v>137114.3137</v>
      </c>
      <c r="BO149" s="130">
        <f t="shared" si="390"/>
        <v>4.65E-2</v>
      </c>
      <c r="BP149" s="128">
        <f t="shared" si="391"/>
        <v>142427.49335587502</v>
      </c>
      <c r="BQ149" s="128" t="str">
        <f t="shared" si="392"/>
        <v>nie</v>
      </c>
      <c r="BR149" s="128">
        <f t="shared" si="393"/>
        <v>1252</v>
      </c>
      <c r="BS149" s="128">
        <f t="shared" si="364"/>
        <v>138140.14961825876</v>
      </c>
      <c r="BT149" s="128">
        <f t="shared" si="443"/>
        <v>0</v>
      </c>
      <c r="BU149" s="130">
        <f t="shared" si="394"/>
        <v>4.2500000000000003E-2</v>
      </c>
      <c r="BV149" s="128">
        <f t="shared" si="271"/>
        <v>128.1559684331063</v>
      </c>
      <c r="BW149" s="128">
        <f t="shared" si="365"/>
        <v>138268.30558669186</v>
      </c>
      <c r="BY149" s="130">
        <f t="shared" si="360"/>
        <v>2.8000000000000001E-2</v>
      </c>
      <c r="BZ149" s="127">
        <f t="shared" si="444"/>
        <v>1331</v>
      </c>
      <c r="CA149" s="128">
        <f t="shared" si="445"/>
        <v>132980.5</v>
      </c>
      <c r="CB149" s="128">
        <f t="shared" si="366"/>
        <v>133100</v>
      </c>
      <c r="CC149" s="128">
        <f t="shared" si="359"/>
        <v>133100</v>
      </c>
      <c r="CD149" s="130">
        <f t="shared" si="395"/>
        <v>0.05</v>
      </c>
      <c r="CE149" s="128">
        <f t="shared" si="396"/>
        <v>138645.83333333334</v>
      </c>
      <c r="CF149" s="128" t="str">
        <f t="shared" si="397"/>
        <v>nie</v>
      </c>
      <c r="CG149" s="128">
        <f t="shared" si="398"/>
        <v>2662</v>
      </c>
      <c r="CH149" s="128">
        <f t="shared" si="369"/>
        <v>135435.905</v>
      </c>
      <c r="CI149" s="128">
        <f t="shared" si="399"/>
        <v>0</v>
      </c>
      <c r="CJ149" s="130">
        <f t="shared" si="277"/>
        <v>4.2500000000000003E-2</v>
      </c>
      <c r="CK149" s="128">
        <f t="shared" si="400"/>
        <v>102.53759593306236</v>
      </c>
      <c r="CL149" s="128">
        <f t="shared" si="401"/>
        <v>135538.44259593307</v>
      </c>
      <c r="CN149" s="127">
        <f t="shared" si="446"/>
        <v>1000</v>
      </c>
      <c r="CO149" s="128">
        <f t="shared" si="447"/>
        <v>100000</v>
      </c>
      <c r="CP149" s="128">
        <f t="shared" si="342"/>
        <v>100000</v>
      </c>
      <c r="CQ149" s="128">
        <f t="shared" si="448"/>
        <v>146619.89249366234</v>
      </c>
      <c r="CR149" s="130">
        <f t="shared" si="402"/>
        <v>4.8000000000000001E-2</v>
      </c>
      <c r="CS149" s="128">
        <f t="shared" si="403"/>
        <v>152484.68819340883</v>
      </c>
      <c r="CT149" s="128" t="str">
        <f t="shared" si="404"/>
        <v>nie</v>
      </c>
      <c r="CU149" s="128">
        <f t="shared" si="405"/>
        <v>3000</v>
      </c>
      <c r="CV149" s="128">
        <f t="shared" si="406"/>
        <v>140082.59743666116</v>
      </c>
      <c r="CW149" s="128">
        <f t="shared" si="285"/>
        <v>0</v>
      </c>
      <c r="CX149" s="130">
        <f t="shared" si="407"/>
        <v>4.2500000000000003E-2</v>
      </c>
      <c r="CY149" s="128">
        <f t="shared" si="408"/>
        <v>0</v>
      </c>
      <c r="CZ149" s="128">
        <f t="shared" si="409"/>
        <v>140082.59743666116</v>
      </c>
      <c r="DA149" s="20"/>
      <c r="DB149" s="127">
        <f t="shared" si="350"/>
        <v>1267</v>
      </c>
      <c r="DC149" s="128">
        <f t="shared" si="351"/>
        <v>126700</v>
      </c>
      <c r="DD149" s="128">
        <f t="shared" si="344"/>
        <v>126700</v>
      </c>
      <c r="DE149" s="128">
        <f t="shared" si="449"/>
        <v>139686.2432</v>
      </c>
      <c r="DF149" s="130">
        <f t="shared" si="410"/>
        <v>4.8000000000000001E-2</v>
      </c>
      <c r="DG149" s="128">
        <f t="shared" si="411"/>
        <v>145273.692928</v>
      </c>
      <c r="DH149" s="128" t="str">
        <f t="shared" si="412"/>
        <v>nie</v>
      </c>
      <c r="DI149" s="128">
        <f t="shared" si="413"/>
        <v>2534</v>
      </c>
      <c r="DJ149" s="128">
        <f t="shared" si="355"/>
        <v>139692.15127167999</v>
      </c>
      <c r="DK149" s="128">
        <f t="shared" si="294"/>
        <v>0</v>
      </c>
      <c r="DL149" s="130">
        <f t="shared" si="414"/>
        <v>4.2500000000000003E-2</v>
      </c>
      <c r="DM149" s="128">
        <f t="shared" si="415"/>
        <v>25.006256880781841</v>
      </c>
      <c r="DN149" s="128">
        <f t="shared" si="416"/>
        <v>139717.15752856078</v>
      </c>
      <c r="DP149" s="127">
        <f t="shared" si="352"/>
        <v>1000</v>
      </c>
      <c r="DQ149" s="128">
        <f t="shared" si="353"/>
        <v>100000</v>
      </c>
      <c r="DR149" s="128">
        <f t="shared" si="346"/>
        <v>100000</v>
      </c>
      <c r="DS149" s="128">
        <f t="shared" si="450"/>
        <v>151946.06610811283</v>
      </c>
      <c r="DT149" s="130">
        <f t="shared" si="417"/>
        <v>5.3000000000000005E-2</v>
      </c>
      <c r="DU149" s="128">
        <f t="shared" si="418"/>
        <v>158657.01736122117</v>
      </c>
      <c r="DV149" s="128" t="str">
        <f t="shared" si="419"/>
        <v>nie</v>
      </c>
      <c r="DW149" s="128">
        <f t="shared" si="420"/>
        <v>3000</v>
      </c>
      <c r="DX149" s="128">
        <f t="shared" si="302"/>
        <v>145082.18406258913</v>
      </c>
      <c r="DY149" s="128">
        <f t="shared" si="303"/>
        <v>0</v>
      </c>
      <c r="DZ149" s="130">
        <f t="shared" si="421"/>
        <v>4.2500000000000003E-2</v>
      </c>
      <c r="EA149" s="128">
        <f t="shared" si="422"/>
        <v>0</v>
      </c>
      <c r="EB149" s="128">
        <f t="shared" si="423"/>
        <v>145082.18406258913</v>
      </c>
    </row>
    <row r="150" spans="1:132">
      <c r="A150" s="224"/>
      <c r="B150" s="188">
        <f t="shared" si="424"/>
        <v>106</v>
      </c>
      <c r="C150" s="128">
        <f t="shared" si="425"/>
        <v>139692.7058428954</v>
      </c>
      <c r="D150" s="128">
        <f t="shared" si="426"/>
        <v>138352.29002766596</v>
      </c>
      <c r="E150" s="128">
        <f t="shared" si="427"/>
        <v>138268.30558669186</v>
      </c>
      <c r="F150" s="128">
        <f t="shared" si="428"/>
        <v>135538.44259593307</v>
      </c>
      <c r="G150" s="128">
        <f t="shared" si="429"/>
        <v>140082.59743666116</v>
      </c>
      <c r="H150" s="128">
        <f t="shared" si="430"/>
        <v>139717.15752856078</v>
      </c>
      <c r="I150" s="128">
        <f t="shared" si="431"/>
        <v>145082.18406258913</v>
      </c>
      <c r="J150" s="128">
        <f t="shared" si="432"/>
        <v>135479.77170632215</v>
      </c>
      <c r="K150" s="128">
        <f t="shared" si="433"/>
        <v>127632.72393255679</v>
      </c>
      <c r="M150" s="36"/>
      <c r="N150" s="32">
        <f t="shared" si="434"/>
        <v>106</v>
      </c>
      <c r="O150" s="25">
        <f t="shared" si="318"/>
        <v>0.39692705842895415</v>
      </c>
      <c r="P150" s="25">
        <f t="shared" si="319"/>
        <v>0.38352290027665958</v>
      </c>
      <c r="Q150" s="25">
        <f t="shared" si="320"/>
        <v>0.38268305586691853</v>
      </c>
      <c r="R150" s="25">
        <f t="shared" si="370"/>
        <v>0.35538442595933062</v>
      </c>
      <c r="S150" s="25">
        <f t="shared" si="371"/>
        <v>0.4008259743666116</v>
      </c>
      <c r="T150" s="25">
        <f t="shared" si="372"/>
        <v>0.39717157528560776</v>
      </c>
      <c r="U150" s="25">
        <f t="shared" si="373"/>
        <v>0.45082184062589126</v>
      </c>
      <c r="V150" s="25">
        <f t="shared" si="374"/>
        <v>0.3547977170632215</v>
      </c>
      <c r="W150" s="25">
        <f t="shared" si="375"/>
        <v>0.27632723932556802</v>
      </c>
      <c r="X150" s="36"/>
      <c r="Y150" s="36"/>
      <c r="AA150" s="124">
        <f t="shared" si="321"/>
        <v>107</v>
      </c>
      <c r="AB150" s="128">
        <f t="shared" si="376"/>
        <v>127923.74317279388</v>
      </c>
      <c r="AC150" s="124">
        <f t="shared" si="322"/>
        <v>107</v>
      </c>
      <c r="AD150" s="130">
        <f t="shared" si="435"/>
        <v>4.2500000000000003E-2</v>
      </c>
      <c r="AE150" s="127">
        <f t="shared" si="436"/>
        <v>1362</v>
      </c>
      <c r="AF150" s="128">
        <f t="shared" si="437"/>
        <v>136068.5</v>
      </c>
      <c r="AG150" s="128">
        <f t="shared" si="348"/>
        <v>136200</v>
      </c>
      <c r="AH150" s="128">
        <f t="shared" si="357"/>
        <v>136200</v>
      </c>
      <c r="AI150" s="130">
        <f t="shared" si="377"/>
        <v>4.2500000000000003E-2</v>
      </c>
      <c r="AJ150" s="128">
        <f t="shared" si="378"/>
        <v>136682.37500000003</v>
      </c>
      <c r="AK150" s="128" t="str">
        <f t="shared" si="379"/>
        <v>nie</v>
      </c>
      <c r="AL150" s="128">
        <f t="shared" si="380"/>
        <v>681</v>
      </c>
      <c r="AM150" s="128">
        <f t="shared" si="361"/>
        <v>136039.11375000002</v>
      </c>
      <c r="AN150" s="128">
        <f t="shared" si="381"/>
        <v>390.72375000002359</v>
      </c>
      <c r="AO150" s="130">
        <f t="shared" si="382"/>
        <v>4.2500000000000003E-2</v>
      </c>
      <c r="AP150" s="128">
        <f t="shared" si="383"/>
        <v>4446.641723969753</v>
      </c>
      <c r="AQ150" s="128">
        <f t="shared" si="362"/>
        <v>140095.03172396976</v>
      </c>
      <c r="AS150" s="124">
        <f t="shared" si="327"/>
        <v>107</v>
      </c>
      <c r="AT150" s="130">
        <f t="shared" si="328"/>
        <v>4.2500000000000003E-2</v>
      </c>
      <c r="AU150" s="127">
        <f t="shared" si="438"/>
        <v>1350</v>
      </c>
      <c r="AV150" s="128">
        <f t="shared" si="439"/>
        <v>134874.40000000002</v>
      </c>
      <c r="AW150" s="128">
        <f t="shared" si="363"/>
        <v>135000</v>
      </c>
      <c r="AX150" s="128">
        <f t="shared" si="358"/>
        <v>135000</v>
      </c>
      <c r="AY150" s="130">
        <f t="shared" si="384"/>
        <v>4.4000000000000004E-2</v>
      </c>
      <c r="AZ150" s="128">
        <f t="shared" si="385"/>
        <v>135495</v>
      </c>
      <c r="BA150" s="128" t="str">
        <f t="shared" si="386"/>
        <v>nie</v>
      </c>
      <c r="BB150" s="128">
        <f t="shared" si="387"/>
        <v>944.99999999999989</v>
      </c>
      <c r="BC150" s="128">
        <f t="shared" si="367"/>
        <v>134635.5</v>
      </c>
      <c r="BD150" s="128">
        <f t="shared" si="388"/>
        <v>400.95000000000005</v>
      </c>
      <c r="BE150" s="130">
        <f t="shared" si="264"/>
        <v>4.2500000000000003E-2</v>
      </c>
      <c r="BF150" s="128">
        <f t="shared" si="389"/>
        <v>4530.5027943703262</v>
      </c>
      <c r="BG150" s="128">
        <f t="shared" si="368"/>
        <v>138765.05279437033</v>
      </c>
      <c r="BI150" s="124">
        <f t="shared" si="332"/>
        <v>107</v>
      </c>
      <c r="BJ150" s="130">
        <f t="shared" si="451"/>
        <v>4.1300000000000003E-2</v>
      </c>
      <c r="BK150" s="127">
        <f t="shared" si="440"/>
        <v>1252</v>
      </c>
      <c r="BL150" s="128">
        <f t="shared" si="441"/>
        <v>125074.8</v>
      </c>
      <c r="BM150" s="128">
        <f t="shared" si="349"/>
        <v>125200</v>
      </c>
      <c r="BN150" s="128">
        <f t="shared" si="442"/>
        <v>137114.3137</v>
      </c>
      <c r="BO150" s="130">
        <f t="shared" si="390"/>
        <v>4.65E-2</v>
      </c>
      <c r="BP150" s="128">
        <f t="shared" si="391"/>
        <v>142958.81132146248</v>
      </c>
      <c r="BQ150" s="128" t="str">
        <f t="shared" si="392"/>
        <v>nie</v>
      </c>
      <c r="BR150" s="128">
        <f t="shared" si="393"/>
        <v>1252</v>
      </c>
      <c r="BS150" s="128">
        <f t="shared" si="364"/>
        <v>138570.51717038461</v>
      </c>
      <c r="BT150" s="128">
        <f t="shared" si="443"/>
        <v>0</v>
      </c>
      <c r="BU150" s="130">
        <f t="shared" si="394"/>
        <v>4.2500000000000003E-2</v>
      </c>
      <c r="BV150" s="128">
        <f t="shared" si="271"/>
        <v>128.52361586754876</v>
      </c>
      <c r="BW150" s="128">
        <f t="shared" si="365"/>
        <v>138699.04078625215</v>
      </c>
      <c r="BY150" s="130">
        <f t="shared" si="360"/>
        <v>2.8000000000000001E-2</v>
      </c>
      <c r="BZ150" s="127">
        <f t="shared" si="444"/>
        <v>1331</v>
      </c>
      <c r="CA150" s="128">
        <f t="shared" si="445"/>
        <v>132980.5</v>
      </c>
      <c r="CB150" s="128">
        <f t="shared" si="366"/>
        <v>133100</v>
      </c>
      <c r="CC150" s="128">
        <f t="shared" si="359"/>
        <v>133100</v>
      </c>
      <c r="CD150" s="130">
        <f t="shared" si="395"/>
        <v>0.05</v>
      </c>
      <c r="CE150" s="128">
        <f t="shared" si="396"/>
        <v>139200.41666666669</v>
      </c>
      <c r="CF150" s="128" t="str">
        <f t="shared" si="397"/>
        <v>nie</v>
      </c>
      <c r="CG150" s="128">
        <f t="shared" si="398"/>
        <v>2662</v>
      </c>
      <c r="CH150" s="128">
        <f t="shared" si="369"/>
        <v>135885.11750000002</v>
      </c>
      <c r="CI150" s="128">
        <f t="shared" si="399"/>
        <v>0</v>
      </c>
      <c r="CJ150" s="130">
        <f t="shared" si="277"/>
        <v>4.2500000000000003E-2</v>
      </c>
      <c r="CK150" s="128">
        <f t="shared" si="400"/>
        <v>102.83175066139533</v>
      </c>
      <c r="CL150" s="128">
        <f t="shared" si="401"/>
        <v>135987.94925066142</v>
      </c>
      <c r="CN150" s="127">
        <f t="shared" si="446"/>
        <v>1000</v>
      </c>
      <c r="CO150" s="128">
        <f t="shared" si="447"/>
        <v>100000</v>
      </c>
      <c r="CP150" s="128">
        <f t="shared" si="342"/>
        <v>100000</v>
      </c>
      <c r="CQ150" s="128">
        <f t="shared" si="448"/>
        <v>146619.89249366234</v>
      </c>
      <c r="CR150" s="130">
        <f t="shared" si="402"/>
        <v>4.8000000000000001E-2</v>
      </c>
      <c r="CS150" s="128">
        <f t="shared" si="403"/>
        <v>153071.16776338348</v>
      </c>
      <c r="CT150" s="128" t="str">
        <f t="shared" si="404"/>
        <v>nie</v>
      </c>
      <c r="CU150" s="128">
        <f t="shared" si="405"/>
        <v>3000</v>
      </c>
      <c r="CV150" s="128">
        <f t="shared" si="406"/>
        <v>140557.6458883406</v>
      </c>
      <c r="CW150" s="128">
        <f t="shared" si="285"/>
        <v>0</v>
      </c>
      <c r="CX150" s="130">
        <f t="shared" si="407"/>
        <v>4.2500000000000003E-2</v>
      </c>
      <c r="CY150" s="128">
        <f t="shared" si="408"/>
        <v>0</v>
      </c>
      <c r="CZ150" s="128">
        <f t="shared" si="409"/>
        <v>140557.6458883406</v>
      </c>
      <c r="DA150" s="20"/>
      <c r="DB150" s="127">
        <f t="shared" si="350"/>
        <v>1267</v>
      </c>
      <c r="DC150" s="128">
        <f t="shared" si="351"/>
        <v>126700</v>
      </c>
      <c r="DD150" s="128">
        <f t="shared" si="344"/>
        <v>126700</v>
      </c>
      <c r="DE150" s="128">
        <f t="shared" si="449"/>
        <v>139686.2432</v>
      </c>
      <c r="DF150" s="130">
        <f t="shared" si="410"/>
        <v>4.8000000000000001E-2</v>
      </c>
      <c r="DG150" s="128">
        <f t="shared" si="411"/>
        <v>145832.4379008</v>
      </c>
      <c r="DH150" s="128" t="str">
        <f t="shared" si="412"/>
        <v>nie</v>
      </c>
      <c r="DI150" s="128">
        <f t="shared" si="413"/>
        <v>2534</v>
      </c>
      <c r="DJ150" s="128">
        <f t="shared" si="355"/>
        <v>140144.73469964799</v>
      </c>
      <c r="DK150" s="128">
        <f t="shared" si="294"/>
        <v>0</v>
      </c>
      <c r="DL150" s="130">
        <f t="shared" si="414"/>
        <v>4.2500000000000003E-2</v>
      </c>
      <c r="DM150" s="128">
        <f t="shared" si="415"/>
        <v>25.077993580208584</v>
      </c>
      <c r="DN150" s="128">
        <f t="shared" si="416"/>
        <v>140169.81269322819</v>
      </c>
      <c r="DP150" s="127">
        <f t="shared" si="352"/>
        <v>1000</v>
      </c>
      <c r="DQ150" s="128">
        <f t="shared" si="353"/>
        <v>100000</v>
      </c>
      <c r="DR150" s="128">
        <f t="shared" si="346"/>
        <v>100000</v>
      </c>
      <c r="DS150" s="128">
        <f t="shared" si="450"/>
        <v>151946.06610811283</v>
      </c>
      <c r="DT150" s="130">
        <f t="shared" si="417"/>
        <v>5.3000000000000005E-2</v>
      </c>
      <c r="DU150" s="128">
        <f t="shared" si="418"/>
        <v>159328.11248653199</v>
      </c>
      <c r="DV150" s="128" t="str">
        <f t="shared" si="419"/>
        <v>nie</v>
      </c>
      <c r="DW150" s="128">
        <f t="shared" si="420"/>
        <v>3000</v>
      </c>
      <c r="DX150" s="128">
        <f t="shared" si="302"/>
        <v>145625.77111409092</v>
      </c>
      <c r="DY150" s="128">
        <f t="shared" si="303"/>
        <v>0</v>
      </c>
      <c r="DZ150" s="130">
        <f t="shared" si="421"/>
        <v>4.2500000000000003E-2</v>
      </c>
      <c r="EA150" s="128">
        <f t="shared" si="422"/>
        <v>0</v>
      </c>
      <c r="EB150" s="128">
        <f t="shared" si="423"/>
        <v>145625.77111409092</v>
      </c>
    </row>
    <row r="151" spans="1:132" ht="14.25" customHeight="1">
      <c r="A151" s="224"/>
      <c r="B151" s="188">
        <f t="shared" si="424"/>
        <v>107</v>
      </c>
      <c r="C151" s="128">
        <f t="shared" si="425"/>
        <v>140095.03172396976</v>
      </c>
      <c r="D151" s="128">
        <f t="shared" si="426"/>
        <v>138765.05279437033</v>
      </c>
      <c r="E151" s="128">
        <f t="shared" si="427"/>
        <v>138699.04078625215</v>
      </c>
      <c r="F151" s="128">
        <f t="shared" si="428"/>
        <v>135987.94925066142</v>
      </c>
      <c r="G151" s="128">
        <f t="shared" si="429"/>
        <v>140557.6458883406</v>
      </c>
      <c r="H151" s="128">
        <f t="shared" si="430"/>
        <v>140169.81269322819</v>
      </c>
      <c r="I151" s="128">
        <f t="shared" si="431"/>
        <v>145625.77111409092</v>
      </c>
      <c r="J151" s="128">
        <f t="shared" si="432"/>
        <v>135868.42930140466</v>
      </c>
      <c r="K151" s="128">
        <f t="shared" si="433"/>
        <v>127923.74317279388</v>
      </c>
      <c r="M151" s="36"/>
      <c r="N151" s="32">
        <f t="shared" si="434"/>
        <v>107</v>
      </c>
      <c r="O151" s="25">
        <f t="shared" si="318"/>
        <v>0.40095031723969754</v>
      </c>
      <c r="P151" s="25">
        <f t="shared" si="319"/>
        <v>0.38765052794370325</v>
      </c>
      <c r="Q151" s="25">
        <f t="shared" si="320"/>
        <v>0.38699040786252148</v>
      </c>
      <c r="R151" s="25">
        <f t="shared" si="370"/>
        <v>0.35987949250661422</v>
      </c>
      <c r="S151" s="25">
        <f t="shared" si="371"/>
        <v>0.4055764588834061</v>
      </c>
      <c r="T151" s="25">
        <f t="shared" si="372"/>
        <v>0.40169812693228191</v>
      </c>
      <c r="U151" s="25">
        <f t="shared" si="373"/>
        <v>0.45625771114090918</v>
      </c>
      <c r="V151" s="25">
        <f t="shared" si="374"/>
        <v>0.35868429301404658</v>
      </c>
      <c r="W151" s="25">
        <f t="shared" si="375"/>
        <v>0.27923743172793891</v>
      </c>
      <c r="X151" s="36"/>
      <c r="Y151" s="36"/>
      <c r="AA151" s="124">
        <f t="shared" si="321"/>
        <v>108</v>
      </c>
      <c r="AB151" s="128">
        <f t="shared" si="376"/>
        <v>128214.76241303099</v>
      </c>
      <c r="AC151" s="124">
        <f t="shared" si="322"/>
        <v>108</v>
      </c>
      <c r="AD151" s="130">
        <f t="shared" si="435"/>
        <v>4.2500000000000003E-2</v>
      </c>
      <c r="AE151" s="127">
        <f t="shared" si="436"/>
        <v>1362</v>
      </c>
      <c r="AF151" s="128">
        <f t="shared" si="437"/>
        <v>136068.5</v>
      </c>
      <c r="AG151" s="128">
        <f t="shared" si="348"/>
        <v>136200</v>
      </c>
      <c r="AH151" s="128">
        <f t="shared" si="357"/>
        <v>136200</v>
      </c>
      <c r="AI151" s="130">
        <f t="shared" si="377"/>
        <v>4.2500000000000003E-2</v>
      </c>
      <c r="AJ151" s="128">
        <f t="shared" si="378"/>
        <v>136682.37500000003</v>
      </c>
      <c r="AK151" s="128" t="str">
        <f t="shared" si="379"/>
        <v>tak</v>
      </c>
      <c r="AL151" s="128">
        <f t="shared" si="380"/>
        <v>0</v>
      </c>
      <c r="AM151" s="128">
        <f t="shared" si="361"/>
        <v>136590.72375000003</v>
      </c>
      <c r="AN151" s="128">
        <f t="shared" si="381"/>
        <v>527.52375000001575</v>
      </c>
      <c r="AO151" s="130">
        <f t="shared" si="382"/>
        <v>4.2500000000000003E-2</v>
      </c>
      <c r="AP151" s="128">
        <f t="shared" si="383"/>
        <v>4986.9217774154067</v>
      </c>
      <c r="AQ151" s="128">
        <f t="shared" si="362"/>
        <v>141050.12177741542</v>
      </c>
      <c r="AS151" s="124">
        <f t="shared" si="327"/>
        <v>108</v>
      </c>
      <c r="AT151" s="130">
        <f t="shared" si="328"/>
        <v>4.2500000000000003E-2</v>
      </c>
      <c r="AU151" s="127">
        <f t="shared" si="438"/>
        <v>1350</v>
      </c>
      <c r="AV151" s="128">
        <f t="shared" si="439"/>
        <v>134874.40000000002</v>
      </c>
      <c r="AW151" s="128">
        <f t="shared" si="363"/>
        <v>135000</v>
      </c>
      <c r="AX151" s="128">
        <f t="shared" si="358"/>
        <v>135000</v>
      </c>
      <c r="AY151" s="130">
        <f t="shared" si="384"/>
        <v>4.4000000000000004E-2</v>
      </c>
      <c r="AZ151" s="128">
        <f t="shared" si="385"/>
        <v>135495</v>
      </c>
      <c r="BA151" s="128" t="str">
        <f t="shared" si="386"/>
        <v>nie</v>
      </c>
      <c r="BB151" s="128">
        <f t="shared" si="387"/>
        <v>944.99999999999989</v>
      </c>
      <c r="BC151" s="128">
        <f t="shared" si="367"/>
        <v>134635.5</v>
      </c>
      <c r="BD151" s="128">
        <f t="shared" si="388"/>
        <v>400.95000000000005</v>
      </c>
      <c r="BE151" s="130">
        <f t="shared" si="264"/>
        <v>4.2500000000000003E-2</v>
      </c>
      <c r="BF151" s="128">
        <f t="shared" si="389"/>
        <v>4944.4496742616757</v>
      </c>
      <c r="BG151" s="128">
        <f t="shared" si="368"/>
        <v>139178.99967426166</v>
      </c>
      <c r="BI151" s="124">
        <f t="shared" si="332"/>
        <v>108</v>
      </c>
      <c r="BJ151" s="130">
        <f t="shared" si="451"/>
        <v>4.1300000000000003E-2</v>
      </c>
      <c r="BK151" s="127">
        <f t="shared" si="440"/>
        <v>1252</v>
      </c>
      <c r="BL151" s="128">
        <f t="shared" si="441"/>
        <v>125074.8</v>
      </c>
      <c r="BM151" s="128">
        <f t="shared" si="349"/>
        <v>125200</v>
      </c>
      <c r="BN151" s="128">
        <f t="shared" si="442"/>
        <v>137114.3137</v>
      </c>
      <c r="BO151" s="130">
        <f t="shared" si="390"/>
        <v>4.65E-2</v>
      </c>
      <c r="BP151" s="128">
        <f t="shared" si="391"/>
        <v>143490.12928704999</v>
      </c>
      <c r="BQ151" s="128" t="str">
        <f t="shared" si="392"/>
        <v>tak</v>
      </c>
      <c r="BR151" s="128">
        <f t="shared" si="393"/>
        <v>0</v>
      </c>
      <c r="BS151" s="128">
        <f t="shared" si="364"/>
        <v>140015.00472251049</v>
      </c>
      <c r="BT151" s="128">
        <f t="shared" si="443"/>
        <v>55.104722510499414</v>
      </c>
      <c r="BU151" s="130">
        <f t="shared" si="394"/>
        <v>4.2500000000000003E-2</v>
      </c>
      <c r="BV151" s="128">
        <f t="shared" si="271"/>
        <v>183.9970405010682</v>
      </c>
      <c r="BW151" s="128">
        <f t="shared" si="365"/>
        <v>140143.89704050106</v>
      </c>
      <c r="BY151" s="130">
        <f t="shared" si="360"/>
        <v>2.8000000000000001E-2</v>
      </c>
      <c r="BZ151" s="127">
        <f t="shared" si="444"/>
        <v>1331</v>
      </c>
      <c r="CA151" s="128">
        <f t="shared" si="445"/>
        <v>132980.5</v>
      </c>
      <c r="CB151" s="128">
        <f t="shared" si="366"/>
        <v>133100</v>
      </c>
      <c r="CC151" s="128">
        <f t="shared" si="359"/>
        <v>133100</v>
      </c>
      <c r="CD151" s="130">
        <f t="shared" si="395"/>
        <v>0.05</v>
      </c>
      <c r="CE151" s="128">
        <f t="shared" si="396"/>
        <v>139755</v>
      </c>
      <c r="CF151" s="128" t="str">
        <f t="shared" si="397"/>
        <v>nie</v>
      </c>
      <c r="CG151" s="128">
        <f t="shared" si="398"/>
        <v>2662</v>
      </c>
      <c r="CH151" s="128">
        <f t="shared" si="369"/>
        <v>136334.32999999999</v>
      </c>
      <c r="CI151" s="128">
        <f t="shared" si="399"/>
        <v>5390.55</v>
      </c>
      <c r="CJ151" s="130">
        <f t="shared" si="277"/>
        <v>4.2500000000000003E-2</v>
      </c>
      <c r="CK151" s="128">
        <f t="shared" si="400"/>
        <v>5493.6767492461058</v>
      </c>
      <c r="CL151" s="128">
        <f t="shared" si="401"/>
        <v>136437.45674924611</v>
      </c>
      <c r="CN151" s="127">
        <f t="shared" si="446"/>
        <v>1000</v>
      </c>
      <c r="CO151" s="128">
        <f t="shared" si="447"/>
        <v>100000</v>
      </c>
      <c r="CP151" s="128">
        <f t="shared" si="342"/>
        <v>100000</v>
      </c>
      <c r="CQ151" s="128">
        <f t="shared" si="448"/>
        <v>146619.89249366234</v>
      </c>
      <c r="CR151" s="130">
        <f t="shared" si="402"/>
        <v>4.8000000000000001E-2</v>
      </c>
      <c r="CS151" s="128">
        <f t="shared" si="403"/>
        <v>153657.64733335812</v>
      </c>
      <c r="CT151" s="128" t="str">
        <f t="shared" si="404"/>
        <v>nie</v>
      </c>
      <c r="CU151" s="128">
        <f t="shared" si="405"/>
        <v>3000</v>
      </c>
      <c r="CV151" s="128">
        <f t="shared" si="406"/>
        <v>141032.69434002007</v>
      </c>
      <c r="CW151" s="128">
        <f t="shared" si="285"/>
        <v>0</v>
      </c>
      <c r="CX151" s="130">
        <f t="shared" si="407"/>
        <v>4.2500000000000003E-2</v>
      </c>
      <c r="CY151" s="128">
        <f t="shared" si="408"/>
        <v>0</v>
      </c>
      <c r="CZ151" s="128">
        <f t="shared" si="409"/>
        <v>141032.69434002007</v>
      </c>
      <c r="DA151" s="20"/>
      <c r="DB151" s="127">
        <f t="shared" si="350"/>
        <v>1267</v>
      </c>
      <c r="DC151" s="128">
        <f t="shared" si="351"/>
        <v>126700</v>
      </c>
      <c r="DD151" s="128">
        <f t="shared" si="344"/>
        <v>126700</v>
      </c>
      <c r="DE151" s="128">
        <f t="shared" si="449"/>
        <v>139686.2432</v>
      </c>
      <c r="DF151" s="130">
        <f t="shared" si="410"/>
        <v>4.8000000000000001E-2</v>
      </c>
      <c r="DG151" s="128">
        <f t="shared" si="411"/>
        <v>146391.18287360002</v>
      </c>
      <c r="DH151" s="128" t="str">
        <f t="shared" si="412"/>
        <v>nie</v>
      </c>
      <c r="DI151" s="128">
        <f t="shared" si="413"/>
        <v>2534</v>
      </c>
      <c r="DJ151" s="128">
        <f t="shared" si="355"/>
        <v>140597.31812761602</v>
      </c>
      <c r="DK151" s="128">
        <f t="shared" si="294"/>
        <v>0</v>
      </c>
      <c r="DL151" s="130">
        <f t="shared" si="414"/>
        <v>4.2500000000000003E-2</v>
      </c>
      <c r="DM151" s="128">
        <f t="shared" si="415"/>
        <v>25.149936074291809</v>
      </c>
      <c r="DN151" s="128">
        <f t="shared" si="416"/>
        <v>140622.46806369032</v>
      </c>
      <c r="DP151" s="127">
        <f t="shared" si="352"/>
        <v>1000</v>
      </c>
      <c r="DQ151" s="128">
        <f t="shared" si="353"/>
        <v>100000</v>
      </c>
      <c r="DR151" s="128">
        <f t="shared" si="346"/>
        <v>100000</v>
      </c>
      <c r="DS151" s="128">
        <f t="shared" si="450"/>
        <v>151946.06610811283</v>
      </c>
      <c r="DT151" s="130">
        <f t="shared" si="417"/>
        <v>5.3000000000000005E-2</v>
      </c>
      <c r="DU151" s="128">
        <f t="shared" si="418"/>
        <v>159999.20761184281</v>
      </c>
      <c r="DV151" s="128" t="str">
        <f t="shared" si="419"/>
        <v>nie</v>
      </c>
      <c r="DW151" s="128">
        <f t="shared" si="420"/>
        <v>3000</v>
      </c>
      <c r="DX151" s="128">
        <f t="shared" si="302"/>
        <v>146169.35816559268</v>
      </c>
      <c r="DY151" s="128">
        <f t="shared" si="303"/>
        <v>0</v>
      </c>
      <c r="DZ151" s="130">
        <f t="shared" si="421"/>
        <v>4.2500000000000003E-2</v>
      </c>
      <c r="EA151" s="128">
        <f t="shared" si="422"/>
        <v>0</v>
      </c>
      <c r="EB151" s="128">
        <f t="shared" si="423"/>
        <v>146169.35816559268</v>
      </c>
    </row>
    <row r="152" spans="1:132">
      <c r="A152" s="224"/>
      <c r="B152" s="188">
        <f t="shared" si="424"/>
        <v>108</v>
      </c>
      <c r="C152" s="128">
        <f t="shared" si="425"/>
        <v>141050.12177741542</v>
      </c>
      <c r="D152" s="128">
        <f t="shared" si="426"/>
        <v>139178.99967426166</v>
      </c>
      <c r="E152" s="128">
        <f t="shared" si="427"/>
        <v>140143.89704050106</v>
      </c>
      <c r="F152" s="128">
        <f t="shared" si="428"/>
        <v>136437.45674924611</v>
      </c>
      <c r="G152" s="128">
        <f t="shared" si="429"/>
        <v>141032.69434002007</v>
      </c>
      <c r="H152" s="128">
        <f t="shared" si="430"/>
        <v>140622.46806369032</v>
      </c>
      <c r="I152" s="128">
        <f t="shared" si="431"/>
        <v>146169.35816559268</v>
      </c>
      <c r="J152" s="128">
        <f t="shared" si="432"/>
        <v>136258.20185796305</v>
      </c>
      <c r="K152" s="128">
        <f t="shared" si="433"/>
        <v>128214.76241303099</v>
      </c>
      <c r="M152" s="36"/>
      <c r="N152" s="32">
        <f t="shared" si="434"/>
        <v>108</v>
      </c>
      <c r="O152" s="25">
        <f t="shared" si="318"/>
        <v>0.41050121777415427</v>
      </c>
      <c r="P152" s="25">
        <f t="shared" si="319"/>
        <v>0.39178999674261661</v>
      </c>
      <c r="Q152" s="25">
        <f t="shared" si="320"/>
        <v>0.40143897040501053</v>
      </c>
      <c r="R152" s="25">
        <f t="shared" si="370"/>
        <v>0.364374567492461</v>
      </c>
      <c r="S152" s="25">
        <f t="shared" si="371"/>
        <v>0.41032694340020059</v>
      </c>
      <c r="T152" s="25">
        <f t="shared" si="372"/>
        <v>0.4062246806369032</v>
      </c>
      <c r="U152" s="25">
        <f t="shared" si="373"/>
        <v>0.46169358165592689</v>
      </c>
      <c r="V152" s="25">
        <f t="shared" si="374"/>
        <v>0.36258201857963046</v>
      </c>
      <c r="W152" s="25">
        <f t="shared" si="375"/>
        <v>0.2821476241303098</v>
      </c>
      <c r="X152" s="36"/>
      <c r="Y152" s="36"/>
      <c r="AA152" s="124">
        <f t="shared" si="321"/>
        <v>109</v>
      </c>
      <c r="AB152" s="128">
        <f t="shared" si="376"/>
        <v>128513.93019199472</v>
      </c>
      <c r="AC152" s="124">
        <f t="shared" si="322"/>
        <v>109</v>
      </c>
      <c r="AD152" s="130">
        <f t="shared" si="435"/>
        <v>4.2500000000000003E-2</v>
      </c>
      <c r="AE152" s="127">
        <f t="shared" si="436"/>
        <v>1416</v>
      </c>
      <c r="AF152" s="128">
        <f t="shared" si="437"/>
        <v>141463.30000000002</v>
      </c>
      <c r="AG152" s="128">
        <f t="shared" si="348"/>
        <v>141600</v>
      </c>
      <c r="AH152" s="128">
        <f t="shared" si="357"/>
        <v>141600</v>
      </c>
      <c r="AI152" s="130">
        <f t="shared" si="377"/>
        <v>4.2500000000000003E-2</v>
      </c>
      <c r="AJ152" s="128">
        <f t="shared" si="378"/>
        <v>142101.50000000003</v>
      </c>
      <c r="AK152" s="128" t="str">
        <f t="shared" si="379"/>
        <v>nie</v>
      </c>
      <c r="AL152" s="128">
        <f t="shared" si="380"/>
        <v>501.5000000000291</v>
      </c>
      <c r="AM152" s="128">
        <f t="shared" si="361"/>
        <v>141600</v>
      </c>
      <c r="AN152" s="128">
        <f t="shared" si="381"/>
        <v>406.21500000002362</v>
      </c>
      <c r="AO152" s="130">
        <f t="shared" si="382"/>
        <v>4.2500000000000003E-2</v>
      </c>
      <c r="AP152" s="128">
        <f t="shared" si="383"/>
        <v>493.38613426439076</v>
      </c>
      <c r="AQ152" s="128">
        <f t="shared" si="362"/>
        <v>146601.22800926436</v>
      </c>
      <c r="AS152" s="124">
        <f t="shared" si="327"/>
        <v>109</v>
      </c>
      <c r="AT152" s="130">
        <f t="shared" si="328"/>
        <v>4.2500000000000003E-2</v>
      </c>
      <c r="AU152" s="127">
        <f t="shared" si="438"/>
        <v>1350</v>
      </c>
      <c r="AV152" s="128">
        <f t="shared" si="439"/>
        <v>134874.40000000002</v>
      </c>
      <c r="AW152" s="128">
        <f t="shared" si="363"/>
        <v>135000</v>
      </c>
      <c r="AX152" s="128">
        <f t="shared" si="358"/>
        <v>135000</v>
      </c>
      <c r="AY152" s="130">
        <f t="shared" si="384"/>
        <v>4.4000000000000004E-2</v>
      </c>
      <c r="AZ152" s="128">
        <f t="shared" si="385"/>
        <v>135495</v>
      </c>
      <c r="BA152" s="128" t="str">
        <f t="shared" si="386"/>
        <v>nie</v>
      </c>
      <c r="BB152" s="128">
        <f t="shared" si="387"/>
        <v>944.99999999999989</v>
      </c>
      <c r="BC152" s="128">
        <f t="shared" si="367"/>
        <v>134635.5</v>
      </c>
      <c r="BD152" s="128">
        <f t="shared" si="388"/>
        <v>400.95000000000005</v>
      </c>
      <c r="BE152" s="130">
        <f t="shared" si="264"/>
        <v>4.2500000000000003E-2</v>
      </c>
      <c r="BF152" s="128">
        <f t="shared" si="389"/>
        <v>5359.5840642647136</v>
      </c>
      <c r="BG152" s="128">
        <f t="shared" si="368"/>
        <v>139594.13406426471</v>
      </c>
      <c r="BI152" s="124">
        <f t="shared" si="332"/>
        <v>109</v>
      </c>
      <c r="BJ152" s="130">
        <f t="shared" si="451"/>
        <v>4.1300000000000003E-2</v>
      </c>
      <c r="BK152" s="127">
        <f t="shared" si="440"/>
        <v>1401</v>
      </c>
      <c r="BL152" s="128">
        <f t="shared" si="441"/>
        <v>139959.9</v>
      </c>
      <c r="BM152" s="128">
        <f t="shared" si="349"/>
        <v>140100</v>
      </c>
      <c r="BN152" s="128">
        <f t="shared" si="442"/>
        <v>140100</v>
      </c>
      <c r="BO152" s="130">
        <f t="shared" si="390"/>
        <v>4.65E-2</v>
      </c>
      <c r="BP152" s="128">
        <f t="shared" si="391"/>
        <v>140642.88750000001</v>
      </c>
      <c r="BQ152" s="128" t="str">
        <f t="shared" si="392"/>
        <v>nie</v>
      </c>
      <c r="BR152" s="128">
        <f t="shared" si="393"/>
        <v>542.88750000001164</v>
      </c>
      <c r="BS152" s="128">
        <f t="shared" si="364"/>
        <v>140100</v>
      </c>
      <c r="BT152" s="128">
        <f t="shared" si="443"/>
        <v>0</v>
      </c>
      <c r="BU152" s="130">
        <f t="shared" si="394"/>
        <v>4.2500000000000003E-2</v>
      </c>
      <c r="BV152" s="128">
        <f t="shared" si="271"/>
        <v>184.52488201100564</v>
      </c>
      <c r="BW152" s="128">
        <f t="shared" si="365"/>
        <v>140284.524882011</v>
      </c>
      <c r="BY152" s="130">
        <f t="shared" ref="BY152:BY187" si="452">MAX(INDEX(scenariusz_I_inflacja,MATCH(ROUNDUP(AA152/12,0)-1,scenariusz_I_rok,0)),0)</f>
        <v>2.8000000000000001E-2</v>
      </c>
      <c r="BZ152" s="127">
        <f t="shared" si="444"/>
        <v>1331</v>
      </c>
      <c r="CA152" s="128">
        <f t="shared" si="445"/>
        <v>132980.5</v>
      </c>
      <c r="CB152" s="128">
        <f t="shared" si="366"/>
        <v>133100</v>
      </c>
      <c r="CC152" s="128">
        <f t="shared" si="359"/>
        <v>133100</v>
      </c>
      <c r="CD152" s="130">
        <f t="shared" si="395"/>
        <v>4.2999999999999997E-2</v>
      </c>
      <c r="CE152" s="128">
        <f t="shared" si="396"/>
        <v>133576.94166666665</v>
      </c>
      <c r="CF152" s="128" t="str">
        <f t="shared" si="397"/>
        <v>nie</v>
      </c>
      <c r="CG152" s="128">
        <f t="shared" si="398"/>
        <v>2662</v>
      </c>
      <c r="CH152" s="128">
        <f t="shared" si="369"/>
        <v>131330.10274999999</v>
      </c>
      <c r="CI152" s="128">
        <f t="shared" si="399"/>
        <v>0</v>
      </c>
      <c r="CJ152" s="130">
        <f t="shared" si="277"/>
        <v>4.2500000000000003E-2</v>
      </c>
      <c r="CK152" s="128">
        <f t="shared" si="400"/>
        <v>5509.4367344205057</v>
      </c>
      <c r="CL152" s="128">
        <f t="shared" si="401"/>
        <v>136839.5394844205</v>
      </c>
      <c r="CN152" s="127">
        <f t="shared" si="446"/>
        <v>1000</v>
      </c>
      <c r="CO152" s="128">
        <f t="shared" si="447"/>
        <v>100000</v>
      </c>
      <c r="CP152" s="128">
        <f t="shared" si="342"/>
        <v>100000</v>
      </c>
      <c r="CQ152" s="128">
        <f t="shared" si="448"/>
        <v>153657.64733335812</v>
      </c>
      <c r="CR152" s="130">
        <f t="shared" si="402"/>
        <v>4.8000000000000001E-2</v>
      </c>
      <c r="CS152" s="128">
        <f t="shared" si="403"/>
        <v>154272.27792269154</v>
      </c>
      <c r="CT152" s="128" t="str">
        <f t="shared" si="404"/>
        <v>nie</v>
      </c>
      <c r="CU152" s="128">
        <f t="shared" si="405"/>
        <v>3000</v>
      </c>
      <c r="CV152" s="128">
        <f t="shared" si="406"/>
        <v>141530.54511738016</v>
      </c>
      <c r="CW152" s="128">
        <f t="shared" si="285"/>
        <v>0</v>
      </c>
      <c r="CX152" s="130">
        <f t="shared" si="407"/>
        <v>4.2500000000000003E-2</v>
      </c>
      <c r="CY152" s="128">
        <f t="shared" si="408"/>
        <v>0</v>
      </c>
      <c r="CZ152" s="128">
        <f t="shared" si="409"/>
        <v>141530.54511738016</v>
      </c>
      <c r="DA152" s="20"/>
      <c r="DB152" s="127">
        <f t="shared" si="350"/>
        <v>1267</v>
      </c>
      <c r="DC152" s="128">
        <f t="shared" si="351"/>
        <v>126700</v>
      </c>
      <c r="DD152" s="128">
        <f t="shared" si="344"/>
        <v>126700</v>
      </c>
      <c r="DE152" s="128">
        <f t="shared" si="449"/>
        <v>146391.18287360002</v>
      </c>
      <c r="DF152" s="130">
        <f t="shared" si="410"/>
        <v>4.8000000000000001E-2</v>
      </c>
      <c r="DG152" s="128">
        <f t="shared" si="411"/>
        <v>146976.74760509442</v>
      </c>
      <c r="DH152" s="128" t="str">
        <f t="shared" si="412"/>
        <v>nie</v>
      </c>
      <c r="DI152" s="128">
        <f t="shared" si="413"/>
        <v>2534</v>
      </c>
      <c r="DJ152" s="128">
        <f t="shared" si="355"/>
        <v>141071.62556012647</v>
      </c>
      <c r="DK152" s="128">
        <f t="shared" si="294"/>
        <v>0</v>
      </c>
      <c r="DL152" s="130">
        <f t="shared" si="414"/>
        <v>4.2500000000000003E-2</v>
      </c>
      <c r="DM152" s="128">
        <f t="shared" si="415"/>
        <v>25.222084953404934</v>
      </c>
      <c r="DN152" s="128">
        <f t="shared" si="416"/>
        <v>141096.84764507986</v>
      </c>
      <c r="DP152" s="127">
        <f t="shared" si="352"/>
        <v>1000</v>
      </c>
      <c r="DQ152" s="128">
        <f t="shared" si="353"/>
        <v>100000</v>
      </c>
      <c r="DR152" s="128">
        <f t="shared" si="346"/>
        <v>100000</v>
      </c>
      <c r="DS152" s="128">
        <f t="shared" si="450"/>
        <v>159999.20761184281</v>
      </c>
      <c r="DT152" s="130">
        <f t="shared" si="417"/>
        <v>5.3000000000000005E-2</v>
      </c>
      <c r="DU152" s="128">
        <f t="shared" si="418"/>
        <v>160705.87077879513</v>
      </c>
      <c r="DV152" s="128" t="str">
        <f t="shared" si="419"/>
        <v>nie</v>
      </c>
      <c r="DW152" s="128">
        <f t="shared" si="420"/>
        <v>3000</v>
      </c>
      <c r="DX152" s="128">
        <f t="shared" si="302"/>
        <v>146741.75533082406</v>
      </c>
      <c r="DY152" s="128">
        <f t="shared" si="303"/>
        <v>0</v>
      </c>
      <c r="DZ152" s="130">
        <f t="shared" si="421"/>
        <v>4.2500000000000003E-2</v>
      </c>
      <c r="EA152" s="128">
        <f t="shared" si="422"/>
        <v>0</v>
      </c>
      <c r="EB152" s="128">
        <f t="shared" si="423"/>
        <v>146741.75533082406</v>
      </c>
    </row>
    <row r="153" spans="1:132">
      <c r="A153" s="224">
        <f>ROUNDUP(B164/12,0)</f>
        <v>10</v>
      </c>
      <c r="B153" s="188">
        <f t="shared" si="424"/>
        <v>109</v>
      </c>
      <c r="C153" s="128">
        <f t="shared" si="425"/>
        <v>146601.22800926436</v>
      </c>
      <c r="D153" s="128">
        <f t="shared" si="426"/>
        <v>139594.13406426471</v>
      </c>
      <c r="E153" s="128">
        <f t="shared" si="427"/>
        <v>140284.524882011</v>
      </c>
      <c r="F153" s="128">
        <f t="shared" si="428"/>
        <v>136839.5394844205</v>
      </c>
      <c r="G153" s="128">
        <f t="shared" si="429"/>
        <v>141530.54511738016</v>
      </c>
      <c r="H153" s="128">
        <f t="shared" si="430"/>
        <v>141096.84764507986</v>
      </c>
      <c r="I153" s="128">
        <f t="shared" si="431"/>
        <v>146741.75533082406</v>
      </c>
      <c r="J153" s="128">
        <f t="shared" si="432"/>
        <v>136649.09257454309</v>
      </c>
      <c r="K153" s="128">
        <f t="shared" si="433"/>
        <v>128513.93019199472</v>
      </c>
      <c r="M153" s="36"/>
      <c r="N153" s="32">
        <f t="shared" si="434"/>
        <v>109</v>
      </c>
      <c r="O153" s="25">
        <f t="shared" si="318"/>
        <v>0.46601228009264362</v>
      </c>
      <c r="P153" s="25">
        <f t="shared" si="319"/>
        <v>0.39594134064264708</v>
      </c>
      <c r="Q153" s="25">
        <f t="shared" si="320"/>
        <v>0.40284524882010997</v>
      </c>
      <c r="R153" s="25">
        <f t="shared" si="370"/>
        <v>0.36839539484420492</v>
      </c>
      <c r="S153" s="25">
        <f t="shared" si="371"/>
        <v>0.41530545117380147</v>
      </c>
      <c r="T153" s="25">
        <f t="shared" si="372"/>
        <v>0.41096847645079859</v>
      </c>
      <c r="U153" s="25">
        <f t="shared" si="373"/>
        <v>0.46741755330824053</v>
      </c>
      <c r="V153" s="25">
        <f t="shared" si="374"/>
        <v>0.36649092574543096</v>
      </c>
      <c r="W153" s="25">
        <f t="shared" si="375"/>
        <v>0.28513930191994707</v>
      </c>
      <c r="X153" s="36"/>
      <c r="Y153" s="36"/>
      <c r="AA153" s="124">
        <f t="shared" si="321"/>
        <v>110</v>
      </c>
      <c r="AB153" s="128">
        <f t="shared" si="376"/>
        <v>128813.09797095845</v>
      </c>
      <c r="AC153" s="124">
        <f t="shared" si="322"/>
        <v>110</v>
      </c>
      <c r="AD153" s="130">
        <f t="shared" si="435"/>
        <v>4.2500000000000003E-2</v>
      </c>
      <c r="AE153" s="127">
        <f t="shared" si="436"/>
        <v>1416</v>
      </c>
      <c r="AF153" s="128">
        <f t="shared" si="437"/>
        <v>141463.30000000002</v>
      </c>
      <c r="AG153" s="128">
        <f t="shared" si="348"/>
        <v>141600</v>
      </c>
      <c r="AH153" s="128">
        <f t="shared" si="357"/>
        <v>141600</v>
      </c>
      <c r="AI153" s="130">
        <f t="shared" si="377"/>
        <v>4.2500000000000003E-2</v>
      </c>
      <c r="AJ153" s="128">
        <f t="shared" si="378"/>
        <v>142101.50000000003</v>
      </c>
      <c r="AK153" s="128" t="str">
        <f t="shared" si="379"/>
        <v>nie</v>
      </c>
      <c r="AL153" s="128">
        <f t="shared" si="380"/>
        <v>708</v>
      </c>
      <c r="AM153" s="128">
        <f t="shared" si="361"/>
        <v>141432.73500000002</v>
      </c>
      <c r="AN153" s="128">
        <f t="shared" si="381"/>
        <v>406.21500000002362</v>
      </c>
      <c r="AO153" s="130">
        <f t="shared" si="382"/>
        <v>4.2500000000000003E-2</v>
      </c>
      <c r="AP153" s="128">
        <f t="shared" si="383"/>
        <v>901.01653573708541</v>
      </c>
      <c r="AQ153" s="128">
        <f t="shared" si="362"/>
        <v>141927.53653573708</v>
      </c>
      <c r="AS153" s="124">
        <f t="shared" si="327"/>
        <v>110</v>
      </c>
      <c r="AT153" s="130">
        <f t="shared" si="328"/>
        <v>4.2500000000000003E-2</v>
      </c>
      <c r="AU153" s="127">
        <f t="shared" si="438"/>
        <v>1350</v>
      </c>
      <c r="AV153" s="128">
        <f t="shared" si="439"/>
        <v>134874.40000000002</v>
      </c>
      <c r="AW153" s="128">
        <f t="shared" si="363"/>
        <v>135000</v>
      </c>
      <c r="AX153" s="128">
        <f t="shared" si="358"/>
        <v>135000</v>
      </c>
      <c r="AY153" s="130">
        <f t="shared" si="384"/>
        <v>4.4000000000000004E-2</v>
      </c>
      <c r="AZ153" s="128">
        <f t="shared" si="385"/>
        <v>135495</v>
      </c>
      <c r="BA153" s="128" t="str">
        <f t="shared" si="386"/>
        <v>nie</v>
      </c>
      <c r="BB153" s="128">
        <f t="shared" si="387"/>
        <v>944.99999999999989</v>
      </c>
      <c r="BC153" s="128">
        <f t="shared" si="367"/>
        <v>134635.5</v>
      </c>
      <c r="BD153" s="128">
        <f t="shared" si="388"/>
        <v>400.95000000000005</v>
      </c>
      <c r="BE153" s="130">
        <f t="shared" si="264"/>
        <v>4.2500000000000003E-2</v>
      </c>
      <c r="BF153" s="128">
        <f t="shared" si="389"/>
        <v>5775.9093710490724</v>
      </c>
      <c r="BG153" s="128">
        <f t="shared" si="368"/>
        <v>140010.45937104907</v>
      </c>
      <c r="BI153" s="124">
        <f t="shared" si="332"/>
        <v>110</v>
      </c>
      <c r="BJ153" s="130">
        <f t="shared" si="451"/>
        <v>4.1300000000000003E-2</v>
      </c>
      <c r="BK153" s="127">
        <f t="shared" si="440"/>
        <v>1401</v>
      </c>
      <c r="BL153" s="128">
        <f t="shared" si="441"/>
        <v>139959.9</v>
      </c>
      <c r="BM153" s="128">
        <f t="shared" si="349"/>
        <v>140100</v>
      </c>
      <c r="BN153" s="128">
        <f t="shared" si="442"/>
        <v>140100</v>
      </c>
      <c r="BO153" s="130">
        <f t="shared" si="390"/>
        <v>4.65E-2</v>
      </c>
      <c r="BP153" s="128">
        <f t="shared" si="391"/>
        <v>141185.77499999999</v>
      </c>
      <c r="BQ153" s="128" t="str">
        <f t="shared" si="392"/>
        <v>nie</v>
      </c>
      <c r="BR153" s="128">
        <f t="shared" si="393"/>
        <v>1085.7749999999942</v>
      </c>
      <c r="BS153" s="128">
        <f t="shared" si="364"/>
        <v>140100</v>
      </c>
      <c r="BT153" s="128">
        <f t="shared" si="443"/>
        <v>0</v>
      </c>
      <c r="BU153" s="130">
        <f t="shared" si="394"/>
        <v>4.2500000000000003E-2</v>
      </c>
      <c r="BV153" s="128">
        <f t="shared" si="271"/>
        <v>185.05423776627472</v>
      </c>
      <c r="BW153" s="128">
        <f t="shared" si="365"/>
        <v>140285.05423776628</v>
      </c>
      <c r="BY153" s="130">
        <f t="shared" si="452"/>
        <v>2.8000000000000001E-2</v>
      </c>
      <c r="BZ153" s="127">
        <f t="shared" si="444"/>
        <v>1331</v>
      </c>
      <c r="CA153" s="128">
        <f t="shared" si="445"/>
        <v>132980.5</v>
      </c>
      <c r="CB153" s="128">
        <f t="shared" si="366"/>
        <v>133100</v>
      </c>
      <c r="CC153" s="128">
        <f t="shared" si="359"/>
        <v>133100</v>
      </c>
      <c r="CD153" s="130">
        <f t="shared" si="395"/>
        <v>4.2999999999999997E-2</v>
      </c>
      <c r="CE153" s="128">
        <f t="shared" si="396"/>
        <v>134053.88333333336</v>
      </c>
      <c r="CF153" s="128" t="str">
        <f t="shared" si="397"/>
        <v>nie</v>
      </c>
      <c r="CG153" s="128">
        <f t="shared" si="398"/>
        <v>2662</v>
      </c>
      <c r="CH153" s="128">
        <f t="shared" si="369"/>
        <v>131716.42550000001</v>
      </c>
      <c r="CI153" s="128">
        <f t="shared" si="399"/>
        <v>0</v>
      </c>
      <c r="CJ153" s="130">
        <f t="shared" si="277"/>
        <v>4.2500000000000003E-2</v>
      </c>
      <c r="CK153" s="128">
        <f t="shared" si="400"/>
        <v>5525.2419310523746</v>
      </c>
      <c r="CL153" s="128">
        <f t="shared" si="401"/>
        <v>137241.6674310524</v>
      </c>
      <c r="CN153" s="127">
        <f t="shared" si="446"/>
        <v>1000</v>
      </c>
      <c r="CO153" s="128">
        <f t="shared" si="447"/>
        <v>100000</v>
      </c>
      <c r="CP153" s="128">
        <f t="shared" si="342"/>
        <v>100000</v>
      </c>
      <c r="CQ153" s="128">
        <f t="shared" si="448"/>
        <v>153657.64733335812</v>
      </c>
      <c r="CR153" s="130">
        <f t="shared" si="402"/>
        <v>4.8000000000000001E-2</v>
      </c>
      <c r="CS153" s="128">
        <f t="shared" si="403"/>
        <v>154886.90851202499</v>
      </c>
      <c r="CT153" s="128" t="str">
        <f t="shared" si="404"/>
        <v>nie</v>
      </c>
      <c r="CU153" s="128">
        <f t="shared" si="405"/>
        <v>3000</v>
      </c>
      <c r="CV153" s="128">
        <f t="shared" si="406"/>
        <v>142028.39589474024</v>
      </c>
      <c r="CW153" s="128">
        <f t="shared" si="285"/>
        <v>0</v>
      </c>
      <c r="CX153" s="130">
        <f t="shared" si="407"/>
        <v>4.2500000000000003E-2</v>
      </c>
      <c r="CY153" s="128">
        <f t="shared" si="408"/>
        <v>0</v>
      </c>
      <c r="CZ153" s="128">
        <f t="shared" si="409"/>
        <v>142028.39589474024</v>
      </c>
      <c r="DA153" s="20"/>
      <c r="DB153" s="127">
        <f t="shared" si="350"/>
        <v>1267</v>
      </c>
      <c r="DC153" s="128">
        <f t="shared" si="351"/>
        <v>126700</v>
      </c>
      <c r="DD153" s="128">
        <f t="shared" si="344"/>
        <v>126700</v>
      </c>
      <c r="DE153" s="128">
        <f t="shared" si="449"/>
        <v>146391.18287360002</v>
      </c>
      <c r="DF153" s="130">
        <f t="shared" si="410"/>
        <v>4.8000000000000001E-2</v>
      </c>
      <c r="DG153" s="128">
        <f t="shared" si="411"/>
        <v>147562.31233658883</v>
      </c>
      <c r="DH153" s="128" t="str">
        <f t="shared" si="412"/>
        <v>nie</v>
      </c>
      <c r="DI153" s="128">
        <f t="shared" si="413"/>
        <v>2534</v>
      </c>
      <c r="DJ153" s="128">
        <f t="shared" si="355"/>
        <v>141545.93299263695</v>
      </c>
      <c r="DK153" s="128">
        <f t="shared" si="294"/>
        <v>0</v>
      </c>
      <c r="DL153" s="130">
        <f t="shared" si="414"/>
        <v>4.2500000000000003E-2</v>
      </c>
      <c r="DM153" s="128">
        <f t="shared" si="415"/>
        <v>25.294440809615015</v>
      </c>
      <c r="DN153" s="128">
        <f t="shared" si="416"/>
        <v>141571.22743344656</v>
      </c>
      <c r="DP153" s="127">
        <f t="shared" si="352"/>
        <v>1000</v>
      </c>
      <c r="DQ153" s="128">
        <f t="shared" si="353"/>
        <v>100000</v>
      </c>
      <c r="DR153" s="128">
        <f t="shared" si="346"/>
        <v>100000</v>
      </c>
      <c r="DS153" s="128">
        <f t="shared" si="450"/>
        <v>159999.20761184281</v>
      </c>
      <c r="DT153" s="130">
        <f t="shared" si="417"/>
        <v>5.3000000000000005E-2</v>
      </c>
      <c r="DU153" s="128">
        <f t="shared" si="418"/>
        <v>161412.53394574742</v>
      </c>
      <c r="DV153" s="128" t="str">
        <f t="shared" si="419"/>
        <v>nie</v>
      </c>
      <c r="DW153" s="128">
        <f t="shared" si="420"/>
        <v>3000</v>
      </c>
      <c r="DX153" s="128">
        <f t="shared" si="302"/>
        <v>147314.15249605541</v>
      </c>
      <c r="DY153" s="128">
        <f t="shared" si="303"/>
        <v>0</v>
      </c>
      <c r="DZ153" s="130">
        <f t="shared" si="421"/>
        <v>4.2500000000000003E-2</v>
      </c>
      <c r="EA153" s="128">
        <f t="shared" si="422"/>
        <v>0</v>
      </c>
      <c r="EB153" s="128">
        <f t="shared" si="423"/>
        <v>147314.15249605541</v>
      </c>
    </row>
    <row r="154" spans="1:132">
      <c r="A154" s="224"/>
      <c r="B154" s="188">
        <f t="shared" si="424"/>
        <v>110</v>
      </c>
      <c r="C154" s="128">
        <f t="shared" si="425"/>
        <v>141927.53653573708</v>
      </c>
      <c r="D154" s="128">
        <f t="shared" si="426"/>
        <v>140010.45937104907</v>
      </c>
      <c r="E154" s="128">
        <f t="shared" si="427"/>
        <v>140285.05423776628</v>
      </c>
      <c r="F154" s="128">
        <f t="shared" si="428"/>
        <v>137241.6674310524</v>
      </c>
      <c r="G154" s="128">
        <f t="shared" si="429"/>
        <v>142028.39589474024</v>
      </c>
      <c r="H154" s="128">
        <f t="shared" si="430"/>
        <v>141571.22743344656</v>
      </c>
      <c r="I154" s="128">
        <f t="shared" si="431"/>
        <v>147314.15249605541</v>
      </c>
      <c r="J154" s="128">
        <f t="shared" si="432"/>
        <v>137041.1046588663</v>
      </c>
      <c r="K154" s="128">
        <f t="shared" si="433"/>
        <v>128813.09797095845</v>
      </c>
      <c r="M154" s="36"/>
      <c r="N154" s="32">
        <f t="shared" si="434"/>
        <v>110</v>
      </c>
      <c r="O154" s="25">
        <f t="shared" si="318"/>
        <v>0.41927536535737087</v>
      </c>
      <c r="P154" s="25">
        <f t="shared" si="319"/>
        <v>0.40010459371049079</v>
      </c>
      <c r="Q154" s="25">
        <f t="shared" si="320"/>
        <v>0.40285054237766271</v>
      </c>
      <c r="R154" s="25">
        <f t="shared" si="370"/>
        <v>0.37241667431052394</v>
      </c>
      <c r="S154" s="25">
        <f t="shared" si="371"/>
        <v>0.42028395894740234</v>
      </c>
      <c r="T154" s="25">
        <f t="shared" si="372"/>
        <v>0.41571227433446567</v>
      </c>
      <c r="U154" s="25">
        <f t="shared" si="373"/>
        <v>0.47314152496055417</v>
      </c>
      <c r="V154" s="25">
        <f t="shared" si="374"/>
        <v>0.37041104658866297</v>
      </c>
      <c r="W154" s="25">
        <f t="shared" si="375"/>
        <v>0.28813097970958457</v>
      </c>
      <c r="X154" s="36"/>
      <c r="Y154" s="36"/>
      <c r="AA154" s="124">
        <f t="shared" si="321"/>
        <v>111</v>
      </c>
      <c r="AB154" s="128">
        <f t="shared" si="376"/>
        <v>129112.26574992218</v>
      </c>
      <c r="AC154" s="124">
        <f t="shared" si="322"/>
        <v>111</v>
      </c>
      <c r="AD154" s="130">
        <f t="shared" si="435"/>
        <v>4.2500000000000003E-2</v>
      </c>
      <c r="AE154" s="127">
        <f t="shared" si="436"/>
        <v>1416</v>
      </c>
      <c r="AF154" s="128">
        <f t="shared" si="437"/>
        <v>141463.30000000002</v>
      </c>
      <c r="AG154" s="128">
        <f t="shared" si="348"/>
        <v>141600</v>
      </c>
      <c r="AH154" s="128">
        <f t="shared" si="357"/>
        <v>141600</v>
      </c>
      <c r="AI154" s="130">
        <f t="shared" si="377"/>
        <v>4.2500000000000003E-2</v>
      </c>
      <c r="AJ154" s="128">
        <f t="shared" si="378"/>
        <v>142101.50000000003</v>
      </c>
      <c r="AK154" s="128" t="str">
        <f t="shared" si="379"/>
        <v>nie</v>
      </c>
      <c r="AL154" s="128">
        <f t="shared" si="380"/>
        <v>708</v>
      </c>
      <c r="AM154" s="128">
        <f t="shared" si="361"/>
        <v>141432.73500000002</v>
      </c>
      <c r="AN154" s="128">
        <f t="shared" si="381"/>
        <v>406.21500000002362</v>
      </c>
      <c r="AO154" s="130">
        <f t="shared" si="382"/>
        <v>4.2500000000000003E-2</v>
      </c>
      <c r="AP154" s="128">
        <f t="shared" si="383"/>
        <v>1309.8163269240047</v>
      </c>
      <c r="AQ154" s="128">
        <f t="shared" si="362"/>
        <v>142336.33632692401</v>
      </c>
      <c r="AS154" s="124">
        <f t="shared" si="327"/>
        <v>111</v>
      </c>
      <c r="AT154" s="130">
        <f t="shared" si="328"/>
        <v>4.2500000000000003E-2</v>
      </c>
      <c r="AU154" s="127">
        <f t="shared" si="438"/>
        <v>1350</v>
      </c>
      <c r="AV154" s="128">
        <f t="shared" si="439"/>
        <v>134874.40000000002</v>
      </c>
      <c r="AW154" s="128">
        <f t="shared" si="363"/>
        <v>135000</v>
      </c>
      <c r="AX154" s="128">
        <f t="shared" si="358"/>
        <v>135000</v>
      </c>
      <c r="AY154" s="130">
        <f t="shared" si="384"/>
        <v>4.4000000000000004E-2</v>
      </c>
      <c r="AZ154" s="128">
        <f t="shared" si="385"/>
        <v>135495</v>
      </c>
      <c r="BA154" s="128" t="str">
        <f t="shared" si="386"/>
        <v>nie</v>
      </c>
      <c r="BB154" s="128">
        <f t="shared" si="387"/>
        <v>944.99999999999989</v>
      </c>
      <c r="BC154" s="128">
        <f t="shared" si="367"/>
        <v>134635.5</v>
      </c>
      <c r="BD154" s="128">
        <f t="shared" si="388"/>
        <v>400.95000000000005</v>
      </c>
      <c r="BE154" s="130">
        <f t="shared" si="264"/>
        <v>4.2500000000000003E-2</v>
      </c>
      <c r="BF154" s="128">
        <f t="shared" si="389"/>
        <v>6193.4290110572692</v>
      </c>
      <c r="BG154" s="128">
        <f t="shared" si="368"/>
        <v>140427.97901105726</v>
      </c>
      <c r="BI154" s="124">
        <f t="shared" si="332"/>
        <v>111</v>
      </c>
      <c r="BJ154" s="130">
        <f t="shared" si="451"/>
        <v>4.1300000000000003E-2</v>
      </c>
      <c r="BK154" s="127">
        <f t="shared" si="440"/>
        <v>1401</v>
      </c>
      <c r="BL154" s="128">
        <f t="shared" si="441"/>
        <v>139959.9</v>
      </c>
      <c r="BM154" s="128">
        <f t="shared" si="349"/>
        <v>140100</v>
      </c>
      <c r="BN154" s="128">
        <f t="shared" si="442"/>
        <v>140100</v>
      </c>
      <c r="BO154" s="130">
        <f t="shared" si="390"/>
        <v>4.65E-2</v>
      </c>
      <c r="BP154" s="128">
        <f t="shared" si="391"/>
        <v>141728.66250000001</v>
      </c>
      <c r="BQ154" s="128" t="str">
        <f t="shared" si="392"/>
        <v>nie</v>
      </c>
      <c r="BR154" s="128">
        <f t="shared" si="393"/>
        <v>1401</v>
      </c>
      <c r="BS154" s="128">
        <f t="shared" si="364"/>
        <v>140284.406625</v>
      </c>
      <c r="BT154" s="128">
        <f t="shared" si="443"/>
        <v>0</v>
      </c>
      <c r="BU154" s="130">
        <f t="shared" si="394"/>
        <v>4.2500000000000003E-2</v>
      </c>
      <c r="BV154" s="128">
        <f t="shared" si="271"/>
        <v>185.58511211086673</v>
      </c>
      <c r="BW154" s="128">
        <f t="shared" si="365"/>
        <v>140469.99173711086</v>
      </c>
      <c r="BY154" s="130">
        <f t="shared" si="452"/>
        <v>2.8000000000000001E-2</v>
      </c>
      <c r="BZ154" s="127">
        <f t="shared" si="444"/>
        <v>1331</v>
      </c>
      <c r="CA154" s="128">
        <f t="shared" si="445"/>
        <v>132980.5</v>
      </c>
      <c r="CB154" s="128">
        <f t="shared" si="366"/>
        <v>133100</v>
      </c>
      <c r="CC154" s="128">
        <f t="shared" si="359"/>
        <v>133100</v>
      </c>
      <c r="CD154" s="130">
        <f t="shared" si="395"/>
        <v>4.2999999999999997E-2</v>
      </c>
      <c r="CE154" s="128">
        <f t="shared" si="396"/>
        <v>134530.82500000001</v>
      </c>
      <c r="CF154" s="128" t="str">
        <f t="shared" si="397"/>
        <v>nie</v>
      </c>
      <c r="CG154" s="128">
        <f t="shared" si="398"/>
        <v>2662</v>
      </c>
      <c r="CH154" s="128">
        <f t="shared" si="369"/>
        <v>132102.74825</v>
      </c>
      <c r="CI154" s="128">
        <f t="shared" si="399"/>
        <v>0</v>
      </c>
      <c r="CJ154" s="130">
        <f t="shared" si="277"/>
        <v>4.2500000000000003E-2</v>
      </c>
      <c r="CK154" s="128">
        <f t="shared" si="400"/>
        <v>5541.092468842081</v>
      </c>
      <c r="CL154" s="128">
        <f t="shared" si="401"/>
        <v>137643.84071884208</v>
      </c>
      <c r="CN154" s="127">
        <f t="shared" si="446"/>
        <v>1000</v>
      </c>
      <c r="CO154" s="128">
        <f t="shared" si="447"/>
        <v>100000</v>
      </c>
      <c r="CP154" s="128">
        <f t="shared" si="342"/>
        <v>100000</v>
      </c>
      <c r="CQ154" s="128">
        <f t="shared" si="448"/>
        <v>153657.64733335812</v>
      </c>
      <c r="CR154" s="130">
        <f t="shared" si="402"/>
        <v>4.8000000000000001E-2</v>
      </c>
      <c r="CS154" s="128">
        <f t="shared" si="403"/>
        <v>155501.53910135842</v>
      </c>
      <c r="CT154" s="128" t="str">
        <f t="shared" si="404"/>
        <v>nie</v>
      </c>
      <c r="CU154" s="128">
        <f t="shared" si="405"/>
        <v>3000</v>
      </c>
      <c r="CV154" s="128">
        <f t="shared" si="406"/>
        <v>142526.24667210033</v>
      </c>
      <c r="CW154" s="128">
        <f t="shared" si="285"/>
        <v>0</v>
      </c>
      <c r="CX154" s="130">
        <f t="shared" si="407"/>
        <v>4.2500000000000003E-2</v>
      </c>
      <c r="CY154" s="128">
        <f t="shared" si="408"/>
        <v>0</v>
      </c>
      <c r="CZ154" s="128">
        <f t="shared" si="409"/>
        <v>142526.24667210033</v>
      </c>
      <c r="DA154" s="20"/>
      <c r="DB154" s="127">
        <f t="shared" si="350"/>
        <v>1267</v>
      </c>
      <c r="DC154" s="128">
        <f t="shared" si="351"/>
        <v>126700</v>
      </c>
      <c r="DD154" s="128">
        <f t="shared" si="344"/>
        <v>126700</v>
      </c>
      <c r="DE154" s="128">
        <f t="shared" si="449"/>
        <v>146391.18287360002</v>
      </c>
      <c r="DF154" s="130">
        <f t="shared" si="410"/>
        <v>4.8000000000000001E-2</v>
      </c>
      <c r="DG154" s="128">
        <f t="shared" si="411"/>
        <v>148147.87706808321</v>
      </c>
      <c r="DH154" s="128" t="str">
        <f t="shared" si="412"/>
        <v>nie</v>
      </c>
      <c r="DI154" s="128">
        <f t="shared" si="413"/>
        <v>2534</v>
      </c>
      <c r="DJ154" s="128">
        <f t="shared" si="355"/>
        <v>142020.24042514741</v>
      </c>
      <c r="DK154" s="128">
        <f t="shared" si="294"/>
        <v>0</v>
      </c>
      <c r="DL154" s="130">
        <f t="shared" si="414"/>
        <v>4.2500000000000003E-2</v>
      </c>
      <c r="DM154" s="128">
        <f t="shared" si="415"/>
        <v>25.367004236687599</v>
      </c>
      <c r="DN154" s="128">
        <f t="shared" si="416"/>
        <v>142045.60742938411</v>
      </c>
      <c r="DP154" s="127">
        <f t="shared" si="352"/>
        <v>1000</v>
      </c>
      <c r="DQ154" s="128">
        <f t="shared" si="353"/>
        <v>100000</v>
      </c>
      <c r="DR154" s="128">
        <f t="shared" si="346"/>
        <v>100000</v>
      </c>
      <c r="DS154" s="128">
        <f t="shared" si="450"/>
        <v>159999.20761184281</v>
      </c>
      <c r="DT154" s="130">
        <f t="shared" si="417"/>
        <v>5.3000000000000005E-2</v>
      </c>
      <c r="DU154" s="128">
        <f t="shared" si="418"/>
        <v>162119.19711269971</v>
      </c>
      <c r="DV154" s="128" t="str">
        <f t="shared" si="419"/>
        <v>nie</v>
      </c>
      <c r="DW154" s="128">
        <f t="shared" si="420"/>
        <v>3000</v>
      </c>
      <c r="DX154" s="128">
        <f t="shared" si="302"/>
        <v>147886.54966128676</v>
      </c>
      <c r="DY154" s="128">
        <f t="shared" si="303"/>
        <v>0</v>
      </c>
      <c r="DZ154" s="130">
        <f t="shared" si="421"/>
        <v>4.2500000000000003E-2</v>
      </c>
      <c r="EA154" s="128">
        <f t="shared" si="422"/>
        <v>0</v>
      </c>
      <c r="EB154" s="128">
        <f t="shared" si="423"/>
        <v>147886.54966128676</v>
      </c>
    </row>
    <row r="155" spans="1:132">
      <c r="A155" s="224"/>
      <c r="B155" s="188">
        <f t="shared" si="424"/>
        <v>111</v>
      </c>
      <c r="C155" s="128">
        <f t="shared" si="425"/>
        <v>142336.33632692401</v>
      </c>
      <c r="D155" s="128">
        <f t="shared" si="426"/>
        <v>140427.97901105726</v>
      </c>
      <c r="E155" s="128">
        <f t="shared" si="427"/>
        <v>140469.99173711086</v>
      </c>
      <c r="F155" s="128">
        <f t="shared" si="428"/>
        <v>137643.84071884208</v>
      </c>
      <c r="G155" s="128">
        <f t="shared" si="429"/>
        <v>142526.24667210033</v>
      </c>
      <c r="H155" s="128">
        <f t="shared" si="430"/>
        <v>142045.60742938411</v>
      </c>
      <c r="I155" s="128">
        <f t="shared" si="431"/>
        <v>147886.54966128676</v>
      </c>
      <c r="J155" s="128">
        <f t="shared" si="432"/>
        <v>137434.24132785643</v>
      </c>
      <c r="K155" s="128">
        <f t="shared" si="433"/>
        <v>129112.26574992218</v>
      </c>
      <c r="M155" s="36"/>
      <c r="N155" s="32">
        <f t="shared" si="434"/>
        <v>111</v>
      </c>
      <c r="O155" s="25">
        <f t="shared" si="318"/>
        <v>0.42336336326924018</v>
      </c>
      <c r="P155" s="25">
        <f t="shared" si="319"/>
        <v>0.40427979011057258</v>
      </c>
      <c r="Q155" s="25">
        <f t="shared" si="320"/>
        <v>0.40469991737110855</v>
      </c>
      <c r="R155" s="25">
        <f t="shared" si="370"/>
        <v>0.37643840718842081</v>
      </c>
      <c r="S155" s="25">
        <f t="shared" si="371"/>
        <v>0.42526246672100321</v>
      </c>
      <c r="T155" s="25">
        <f t="shared" si="372"/>
        <v>0.42045607429384102</v>
      </c>
      <c r="U155" s="25">
        <f t="shared" si="373"/>
        <v>0.47886549661286759</v>
      </c>
      <c r="V155" s="25">
        <f t="shared" si="374"/>
        <v>0.37434241327856443</v>
      </c>
      <c r="W155" s="25">
        <f t="shared" si="375"/>
        <v>0.29112265749922184</v>
      </c>
      <c r="X155" s="36"/>
      <c r="Y155" s="36"/>
      <c r="AA155" s="124">
        <f t="shared" si="321"/>
        <v>112</v>
      </c>
      <c r="AB155" s="128">
        <f t="shared" si="376"/>
        <v>129411.43352888596</v>
      </c>
      <c r="AC155" s="124">
        <f t="shared" si="322"/>
        <v>112</v>
      </c>
      <c r="AD155" s="130">
        <f t="shared" si="435"/>
        <v>4.2500000000000003E-2</v>
      </c>
      <c r="AE155" s="127">
        <f t="shared" si="436"/>
        <v>1416</v>
      </c>
      <c r="AF155" s="128">
        <f t="shared" si="437"/>
        <v>141463.30000000002</v>
      </c>
      <c r="AG155" s="128">
        <f t="shared" si="348"/>
        <v>141600</v>
      </c>
      <c r="AH155" s="128">
        <f t="shared" si="357"/>
        <v>141600</v>
      </c>
      <c r="AI155" s="130">
        <f t="shared" si="377"/>
        <v>4.2500000000000003E-2</v>
      </c>
      <c r="AJ155" s="128">
        <f t="shared" si="378"/>
        <v>142101.50000000003</v>
      </c>
      <c r="AK155" s="128" t="str">
        <f t="shared" si="379"/>
        <v>nie</v>
      </c>
      <c r="AL155" s="128">
        <f t="shared" si="380"/>
        <v>708</v>
      </c>
      <c r="AM155" s="128">
        <f t="shared" si="361"/>
        <v>141432.73500000002</v>
      </c>
      <c r="AN155" s="128">
        <f t="shared" si="381"/>
        <v>406.21500000002362</v>
      </c>
      <c r="AO155" s="130">
        <f t="shared" si="382"/>
        <v>4.2500000000000003E-2</v>
      </c>
      <c r="AP155" s="128">
        <f t="shared" si="383"/>
        <v>1719.7888625118915</v>
      </c>
      <c r="AQ155" s="128">
        <f t="shared" si="362"/>
        <v>142746.30886251188</v>
      </c>
      <c r="AS155" s="124">
        <f t="shared" si="327"/>
        <v>112</v>
      </c>
      <c r="AT155" s="130">
        <f t="shared" si="328"/>
        <v>4.2500000000000003E-2</v>
      </c>
      <c r="AU155" s="127">
        <f t="shared" si="438"/>
        <v>1350</v>
      </c>
      <c r="AV155" s="128">
        <f t="shared" si="439"/>
        <v>134874.40000000002</v>
      </c>
      <c r="AW155" s="128">
        <f t="shared" si="363"/>
        <v>135000</v>
      </c>
      <c r="AX155" s="128">
        <f t="shared" si="358"/>
        <v>135000</v>
      </c>
      <c r="AY155" s="130">
        <f t="shared" si="384"/>
        <v>4.4000000000000004E-2</v>
      </c>
      <c r="AZ155" s="128">
        <f t="shared" si="385"/>
        <v>135495</v>
      </c>
      <c r="BA155" s="128" t="str">
        <f t="shared" si="386"/>
        <v>nie</v>
      </c>
      <c r="BB155" s="128">
        <f t="shared" si="387"/>
        <v>944.99999999999989</v>
      </c>
      <c r="BC155" s="128">
        <f t="shared" si="367"/>
        <v>134635.5</v>
      </c>
      <c r="BD155" s="128">
        <f t="shared" si="388"/>
        <v>400.95000000000005</v>
      </c>
      <c r="BE155" s="130">
        <f t="shared" si="264"/>
        <v>4.2500000000000003E-2</v>
      </c>
      <c r="BF155" s="128">
        <f t="shared" si="389"/>
        <v>6612.1464105327395</v>
      </c>
      <c r="BG155" s="128">
        <f t="shared" si="368"/>
        <v>140846.69641053275</v>
      </c>
      <c r="BI155" s="124">
        <f t="shared" si="332"/>
        <v>112</v>
      </c>
      <c r="BJ155" s="130">
        <f t="shared" si="451"/>
        <v>4.1300000000000003E-2</v>
      </c>
      <c r="BK155" s="127">
        <f t="shared" si="440"/>
        <v>1401</v>
      </c>
      <c r="BL155" s="128">
        <f t="shared" si="441"/>
        <v>139959.9</v>
      </c>
      <c r="BM155" s="128">
        <f t="shared" si="349"/>
        <v>140100</v>
      </c>
      <c r="BN155" s="128">
        <f t="shared" si="442"/>
        <v>140100</v>
      </c>
      <c r="BO155" s="130">
        <f t="shared" si="390"/>
        <v>4.65E-2</v>
      </c>
      <c r="BP155" s="128">
        <f t="shared" si="391"/>
        <v>142271.55000000002</v>
      </c>
      <c r="BQ155" s="128" t="str">
        <f t="shared" si="392"/>
        <v>nie</v>
      </c>
      <c r="BR155" s="128">
        <f t="shared" si="393"/>
        <v>1401</v>
      </c>
      <c r="BS155" s="128">
        <f t="shared" si="364"/>
        <v>140724.14550000001</v>
      </c>
      <c r="BT155" s="128">
        <f t="shared" si="443"/>
        <v>0</v>
      </c>
      <c r="BU155" s="130">
        <f t="shared" si="394"/>
        <v>4.2500000000000003E-2</v>
      </c>
      <c r="BV155" s="128">
        <f t="shared" si="271"/>
        <v>186.11750940123477</v>
      </c>
      <c r="BW155" s="128">
        <f t="shared" si="365"/>
        <v>140910.26300940124</v>
      </c>
      <c r="BY155" s="130">
        <f t="shared" si="452"/>
        <v>2.8000000000000001E-2</v>
      </c>
      <c r="BZ155" s="127">
        <f t="shared" si="444"/>
        <v>1331</v>
      </c>
      <c r="CA155" s="128">
        <f t="shared" si="445"/>
        <v>132980.5</v>
      </c>
      <c r="CB155" s="128">
        <f t="shared" si="366"/>
        <v>133100</v>
      </c>
      <c r="CC155" s="128">
        <f t="shared" si="359"/>
        <v>133100</v>
      </c>
      <c r="CD155" s="130">
        <f t="shared" si="395"/>
        <v>4.2999999999999997E-2</v>
      </c>
      <c r="CE155" s="128">
        <f t="shared" si="396"/>
        <v>135007.76666666666</v>
      </c>
      <c r="CF155" s="128" t="str">
        <f t="shared" si="397"/>
        <v>nie</v>
      </c>
      <c r="CG155" s="128">
        <f t="shared" si="398"/>
        <v>2662</v>
      </c>
      <c r="CH155" s="128">
        <f t="shared" si="369"/>
        <v>132489.071</v>
      </c>
      <c r="CI155" s="128">
        <f t="shared" si="399"/>
        <v>0</v>
      </c>
      <c r="CJ155" s="130">
        <f t="shared" si="277"/>
        <v>4.2500000000000003E-2</v>
      </c>
      <c r="CK155" s="128">
        <f t="shared" si="400"/>
        <v>5556.9884778620717</v>
      </c>
      <c r="CL155" s="128">
        <f t="shared" si="401"/>
        <v>138046.05947786206</v>
      </c>
      <c r="CN155" s="127">
        <f t="shared" si="446"/>
        <v>1000</v>
      </c>
      <c r="CO155" s="128">
        <f t="shared" si="447"/>
        <v>100000</v>
      </c>
      <c r="CP155" s="128">
        <f t="shared" si="342"/>
        <v>100000</v>
      </c>
      <c r="CQ155" s="128">
        <f t="shared" si="448"/>
        <v>153657.64733335812</v>
      </c>
      <c r="CR155" s="130">
        <f t="shared" si="402"/>
        <v>4.8000000000000001E-2</v>
      </c>
      <c r="CS155" s="128">
        <f t="shared" si="403"/>
        <v>156116.16969069187</v>
      </c>
      <c r="CT155" s="128" t="str">
        <f t="shared" si="404"/>
        <v>nie</v>
      </c>
      <c r="CU155" s="128">
        <f t="shared" si="405"/>
        <v>3000</v>
      </c>
      <c r="CV155" s="128">
        <f t="shared" si="406"/>
        <v>143024.09744946042</v>
      </c>
      <c r="CW155" s="128">
        <f t="shared" si="285"/>
        <v>0</v>
      </c>
      <c r="CX155" s="130">
        <f t="shared" si="407"/>
        <v>4.2500000000000003E-2</v>
      </c>
      <c r="CY155" s="128">
        <f t="shared" si="408"/>
        <v>0</v>
      </c>
      <c r="CZ155" s="128">
        <f t="shared" si="409"/>
        <v>143024.09744946042</v>
      </c>
      <c r="DA155" s="20"/>
      <c r="DB155" s="127">
        <f t="shared" si="350"/>
        <v>1267</v>
      </c>
      <c r="DC155" s="128">
        <f t="shared" si="351"/>
        <v>126700</v>
      </c>
      <c r="DD155" s="128">
        <f t="shared" si="344"/>
        <v>126700</v>
      </c>
      <c r="DE155" s="128">
        <f t="shared" si="449"/>
        <v>146391.18287360002</v>
      </c>
      <c r="DF155" s="130">
        <f t="shared" si="410"/>
        <v>4.8000000000000001E-2</v>
      </c>
      <c r="DG155" s="128">
        <f t="shared" si="411"/>
        <v>148733.44179957762</v>
      </c>
      <c r="DH155" s="128" t="str">
        <f t="shared" si="412"/>
        <v>nie</v>
      </c>
      <c r="DI155" s="128">
        <f t="shared" si="413"/>
        <v>2534</v>
      </c>
      <c r="DJ155" s="128">
        <f t="shared" si="355"/>
        <v>142494.54785765786</v>
      </c>
      <c r="DK155" s="128">
        <f t="shared" si="294"/>
        <v>0</v>
      </c>
      <c r="DL155" s="130">
        <f t="shared" si="414"/>
        <v>4.2500000000000003E-2</v>
      </c>
      <c r="DM155" s="128">
        <f t="shared" si="415"/>
        <v>25.439775830091595</v>
      </c>
      <c r="DN155" s="128">
        <f t="shared" si="416"/>
        <v>142519.98763348797</v>
      </c>
      <c r="DP155" s="127">
        <f t="shared" si="352"/>
        <v>1000</v>
      </c>
      <c r="DQ155" s="128">
        <f t="shared" si="353"/>
        <v>100000</v>
      </c>
      <c r="DR155" s="128">
        <f t="shared" si="346"/>
        <v>100000</v>
      </c>
      <c r="DS155" s="128">
        <f t="shared" si="450"/>
        <v>159999.20761184281</v>
      </c>
      <c r="DT155" s="130">
        <f t="shared" si="417"/>
        <v>5.3000000000000005E-2</v>
      </c>
      <c r="DU155" s="128">
        <f t="shared" si="418"/>
        <v>162825.86027965203</v>
      </c>
      <c r="DV155" s="128" t="str">
        <f t="shared" si="419"/>
        <v>nie</v>
      </c>
      <c r="DW155" s="128">
        <f t="shared" si="420"/>
        <v>3000</v>
      </c>
      <c r="DX155" s="128">
        <f t="shared" si="302"/>
        <v>148458.94682651813</v>
      </c>
      <c r="DY155" s="128">
        <f t="shared" si="303"/>
        <v>0</v>
      </c>
      <c r="DZ155" s="130">
        <f t="shared" si="421"/>
        <v>4.2500000000000003E-2</v>
      </c>
      <c r="EA155" s="128">
        <f t="shared" si="422"/>
        <v>0</v>
      </c>
      <c r="EB155" s="128">
        <f t="shared" si="423"/>
        <v>148458.94682651813</v>
      </c>
    </row>
    <row r="156" spans="1:132">
      <c r="A156" s="224"/>
      <c r="B156" s="188">
        <f t="shared" si="424"/>
        <v>112</v>
      </c>
      <c r="C156" s="128">
        <f t="shared" si="425"/>
        <v>142746.30886251188</v>
      </c>
      <c r="D156" s="128">
        <f t="shared" si="426"/>
        <v>140846.69641053275</v>
      </c>
      <c r="E156" s="128">
        <f t="shared" si="427"/>
        <v>140910.26300940124</v>
      </c>
      <c r="F156" s="128">
        <f t="shared" si="428"/>
        <v>138046.05947786206</v>
      </c>
      <c r="G156" s="128">
        <f t="shared" si="429"/>
        <v>143024.09744946042</v>
      </c>
      <c r="H156" s="128">
        <f t="shared" si="430"/>
        <v>142519.98763348797</v>
      </c>
      <c r="I156" s="128">
        <f t="shared" si="431"/>
        <v>148458.94682651813</v>
      </c>
      <c r="J156" s="128">
        <f t="shared" si="432"/>
        <v>137828.50580766573</v>
      </c>
      <c r="K156" s="128">
        <f t="shared" si="433"/>
        <v>129411.43352888596</v>
      </c>
      <c r="M156" s="36"/>
      <c r="N156" s="32">
        <f t="shared" si="434"/>
        <v>112</v>
      </c>
      <c r="O156" s="25">
        <f t="shared" si="318"/>
        <v>0.42746308862511873</v>
      </c>
      <c r="P156" s="25">
        <f t="shared" si="319"/>
        <v>0.40846696410532757</v>
      </c>
      <c r="Q156" s="25">
        <f t="shared" si="320"/>
        <v>0.40910263009401238</v>
      </c>
      <c r="R156" s="25">
        <f t="shared" si="370"/>
        <v>0.3804605947786206</v>
      </c>
      <c r="S156" s="25">
        <f t="shared" si="371"/>
        <v>0.43024097449460408</v>
      </c>
      <c r="T156" s="25">
        <f t="shared" si="372"/>
        <v>0.42519987633487966</v>
      </c>
      <c r="U156" s="25">
        <f t="shared" si="373"/>
        <v>0.48458946826518146</v>
      </c>
      <c r="V156" s="25">
        <f t="shared" si="374"/>
        <v>0.37828505807665724</v>
      </c>
      <c r="W156" s="25">
        <f t="shared" si="375"/>
        <v>0.29411433528885955</v>
      </c>
      <c r="X156" s="36"/>
      <c r="Y156" s="36"/>
      <c r="AA156" s="124">
        <f t="shared" si="321"/>
        <v>113</v>
      </c>
      <c r="AB156" s="128">
        <f t="shared" si="376"/>
        <v>129710.60130784969</v>
      </c>
      <c r="AC156" s="124">
        <f t="shared" si="322"/>
        <v>113</v>
      </c>
      <c r="AD156" s="130">
        <f t="shared" si="435"/>
        <v>4.2500000000000003E-2</v>
      </c>
      <c r="AE156" s="127">
        <f t="shared" si="436"/>
        <v>1416</v>
      </c>
      <c r="AF156" s="128">
        <f t="shared" si="437"/>
        <v>141463.30000000002</v>
      </c>
      <c r="AG156" s="128">
        <f t="shared" si="348"/>
        <v>141600</v>
      </c>
      <c r="AH156" s="128">
        <f t="shared" si="357"/>
        <v>141600</v>
      </c>
      <c r="AI156" s="130">
        <f t="shared" si="377"/>
        <v>4.2500000000000003E-2</v>
      </c>
      <c r="AJ156" s="128">
        <f t="shared" si="378"/>
        <v>142101.50000000003</v>
      </c>
      <c r="AK156" s="128" t="str">
        <f t="shared" si="379"/>
        <v>nie</v>
      </c>
      <c r="AL156" s="128">
        <f t="shared" si="380"/>
        <v>708</v>
      </c>
      <c r="AM156" s="128">
        <f t="shared" si="361"/>
        <v>141432.73500000002</v>
      </c>
      <c r="AN156" s="128">
        <f t="shared" si="381"/>
        <v>406.21500000002362</v>
      </c>
      <c r="AO156" s="130">
        <f t="shared" si="382"/>
        <v>4.2500000000000003E-2</v>
      </c>
      <c r="AP156" s="128">
        <f t="shared" si="383"/>
        <v>2130.9375068112463</v>
      </c>
      <c r="AQ156" s="128">
        <f t="shared" si="362"/>
        <v>143157.45750681125</v>
      </c>
      <c r="AS156" s="124">
        <f t="shared" si="327"/>
        <v>113</v>
      </c>
      <c r="AT156" s="130">
        <f t="shared" si="328"/>
        <v>4.2500000000000003E-2</v>
      </c>
      <c r="AU156" s="127">
        <f t="shared" si="438"/>
        <v>1350</v>
      </c>
      <c r="AV156" s="128">
        <f t="shared" si="439"/>
        <v>134874.40000000002</v>
      </c>
      <c r="AW156" s="128">
        <f t="shared" si="363"/>
        <v>135000</v>
      </c>
      <c r="AX156" s="128">
        <f t="shared" si="358"/>
        <v>135000</v>
      </c>
      <c r="AY156" s="130">
        <f t="shared" si="384"/>
        <v>4.4000000000000004E-2</v>
      </c>
      <c r="AZ156" s="128">
        <f t="shared" si="385"/>
        <v>135495</v>
      </c>
      <c r="BA156" s="128" t="str">
        <f t="shared" si="386"/>
        <v>nie</v>
      </c>
      <c r="BB156" s="128">
        <f t="shared" si="387"/>
        <v>944.99999999999989</v>
      </c>
      <c r="BC156" s="128">
        <f t="shared" si="367"/>
        <v>134635.5</v>
      </c>
      <c r="BD156" s="128">
        <f t="shared" si="388"/>
        <v>400.95000000000005</v>
      </c>
      <c r="BE156" s="130">
        <f t="shared" si="264"/>
        <v>4.2500000000000003E-2</v>
      </c>
      <c r="BF156" s="128">
        <f t="shared" si="389"/>
        <v>7032.0650055479546</v>
      </c>
      <c r="BG156" s="128">
        <f t="shared" si="368"/>
        <v>141266.61500554797</v>
      </c>
      <c r="BI156" s="124">
        <f t="shared" si="332"/>
        <v>113</v>
      </c>
      <c r="BJ156" s="130">
        <f t="shared" si="451"/>
        <v>4.1300000000000003E-2</v>
      </c>
      <c r="BK156" s="127">
        <f t="shared" si="440"/>
        <v>1401</v>
      </c>
      <c r="BL156" s="128">
        <f t="shared" si="441"/>
        <v>139959.9</v>
      </c>
      <c r="BM156" s="128">
        <f t="shared" si="349"/>
        <v>140100</v>
      </c>
      <c r="BN156" s="128">
        <f t="shared" si="442"/>
        <v>140100</v>
      </c>
      <c r="BO156" s="130">
        <f t="shared" si="390"/>
        <v>4.65E-2</v>
      </c>
      <c r="BP156" s="128">
        <f t="shared" si="391"/>
        <v>142814.4375</v>
      </c>
      <c r="BQ156" s="128" t="str">
        <f t="shared" si="392"/>
        <v>nie</v>
      </c>
      <c r="BR156" s="128">
        <f t="shared" si="393"/>
        <v>1401</v>
      </c>
      <c r="BS156" s="128">
        <f t="shared" si="364"/>
        <v>141163.88437499999</v>
      </c>
      <c r="BT156" s="128">
        <f t="shared" si="443"/>
        <v>0</v>
      </c>
      <c r="BU156" s="130">
        <f t="shared" si="394"/>
        <v>4.2500000000000003E-2</v>
      </c>
      <c r="BV156" s="128">
        <f t="shared" si="271"/>
        <v>186.65143400632957</v>
      </c>
      <c r="BW156" s="128">
        <f t="shared" si="365"/>
        <v>141350.53580900634</v>
      </c>
      <c r="BY156" s="130">
        <f t="shared" si="452"/>
        <v>2.8000000000000001E-2</v>
      </c>
      <c r="BZ156" s="127">
        <f t="shared" si="444"/>
        <v>1331</v>
      </c>
      <c r="CA156" s="128">
        <f t="shared" si="445"/>
        <v>132980.5</v>
      </c>
      <c r="CB156" s="128">
        <f t="shared" si="366"/>
        <v>133100</v>
      </c>
      <c r="CC156" s="128">
        <f t="shared" si="359"/>
        <v>133100</v>
      </c>
      <c r="CD156" s="130">
        <f t="shared" si="395"/>
        <v>4.2999999999999997E-2</v>
      </c>
      <c r="CE156" s="128">
        <f t="shared" si="396"/>
        <v>135484.70833333331</v>
      </c>
      <c r="CF156" s="128" t="str">
        <f t="shared" si="397"/>
        <v>nie</v>
      </c>
      <c r="CG156" s="128">
        <f t="shared" si="398"/>
        <v>2662</v>
      </c>
      <c r="CH156" s="128">
        <f t="shared" si="369"/>
        <v>132875.39374999999</v>
      </c>
      <c r="CI156" s="128">
        <f t="shared" si="399"/>
        <v>0</v>
      </c>
      <c r="CJ156" s="130">
        <f t="shared" si="277"/>
        <v>4.2500000000000003E-2</v>
      </c>
      <c r="CK156" s="128">
        <f t="shared" si="400"/>
        <v>5572.9300885579387</v>
      </c>
      <c r="CL156" s="128">
        <f t="shared" si="401"/>
        <v>138448.32383855793</v>
      </c>
      <c r="CN156" s="127">
        <f t="shared" si="446"/>
        <v>1000</v>
      </c>
      <c r="CO156" s="128">
        <f t="shared" si="447"/>
        <v>100000</v>
      </c>
      <c r="CP156" s="128">
        <f t="shared" si="342"/>
        <v>100000</v>
      </c>
      <c r="CQ156" s="128">
        <f t="shared" si="448"/>
        <v>153657.64733335812</v>
      </c>
      <c r="CR156" s="130">
        <f t="shared" si="402"/>
        <v>4.8000000000000001E-2</v>
      </c>
      <c r="CS156" s="128">
        <f t="shared" si="403"/>
        <v>156730.80028002529</v>
      </c>
      <c r="CT156" s="128" t="str">
        <f t="shared" si="404"/>
        <v>nie</v>
      </c>
      <c r="CU156" s="128">
        <f t="shared" si="405"/>
        <v>3000</v>
      </c>
      <c r="CV156" s="128">
        <f t="shared" si="406"/>
        <v>143521.94822682047</v>
      </c>
      <c r="CW156" s="128">
        <f t="shared" si="285"/>
        <v>0</v>
      </c>
      <c r="CX156" s="130">
        <f t="shared" si="407"/>
        <v>4.2500000000000003E-2</v>
      </c>
      <c r="CY156" s="128">
        <f t="shared" si="408"/>
        <v>0</v>
      </c>
      <c r="CZ156" s="128">
        <f t="shared" si="409"/>
        <v>143521.94822682047</v>
      </c>
      <c r="DA156" s="20"/>
      <c r="DB156" s="127">
        <f t="shared" si="350"/>
        <v>1267</v>
      </c>
      <c r="DC156" s="128">
        <f t="shared" si="351"/>
        <v>126700</v>
      </c>
      <c r="DD156" s="128">
        <f t="shared" si="344"/>
        <v>126700</v>
      </c>
      <c r="DE156" s="128">
        <f t="shared" si="449"/>
        <v>146391.18287360002</v>
      </c>
      <c r="DF156" s="130">
        <f t="shared" si="410"/>
        <v>4.8000000000000001E-2</v>
      </c>
      <c r="DG156" s="128">
        <f t="shared" si="411"/>
        <v>149319.00653107202</v>
      </c>
      <c r="DH156" s="128" t="str">
        <f t="shared" si="412"/>
        <v>nie</v>
      </c>
      <c r="DI156" s="128">
        <f t="shared" si="413"/>
        <v>2534</v>
      </c>
      <c r="DJ156" s="128">
        <f t="shared" si="355"/>
        <v>142968.85529016834</v>
      </c>
      <c r="DK156" s="128">
        <f t="shared" si="294"/>
        <v>0</v>
      </c>
      <c r="DL156" s="130">
        <f t="shared" si="414"/>
        <v>4.2500000000000003E-2</v>
      </c>
      <c r="DM156" s="128">
        <f t="shared" si="415"/>
        <v>25.512756187004168</v>
      </c>
      <c r="DN156" s="128">
        <f t="shared" si="416"/>
        <v>142994.36804635535</v>
      </c>
      <c r="DP156" s="127">
        <f t="shared" si="352"/>
        <v>1000</v>
      </c>
      <c r="DQ156" s="128">
        <f t="shared" si="353"/>
        <v>100000</v>
      </c>
      <c r="DR156" s="128">
        <f t="shared" si="346"/>
        <v>100000</v>
      </c>
      <c r="DS156" s="128">
        <f t="shared" si="450"/>
        <v>159999.20761184281</v>
      </c>
      <c r="DT156" s="130">
        <f t="shared" si="417"/>
        <v>5.3000000000000005E-2</v>
      </c>
      <c r="DU156" s="128">
        <f t="shared" si="418"/>
        <v>163532.52344660432</v>
      </c>
      <c r="DV156" s="128" t="str">
        <f t="shared" si="419"/>
        <v>nie</v>
      </c>
      <c r="DW156" s="128">
        <f t="shared" si="420"/>
        <v>3000</v>
      </c>
      <c r="DX156" s="128">
        <f t="shared" si="302"/>
        <v>149031.34399174951</v>
      </c>
      <c r="DY156" s="128">
        <f t="shared" si="303"/>
        <v>0</v>
      </c>
      <c r="DZ156" s="130">
        <f t="shared" si="421"/>
        <v>4.2500000000000003E-2</v>
      </c>
      <c r="EA156" s="128">
        <f t="shared" si="422"/>
        <v>0</v>
      </c>
      <c r="EB156" s="128">
        <f t="shared" si="423"/>
        <v>149031.34399174951</v>
      </c>
    </row>
    <row r="157" spans="1:132">
      <c r="A157" s="224"/>
      <c r="B157" s="188">
        <f t="shared" si="424"/>
        <v>113</v>
      </c>
      <c r="C157" s="128">
        <f t="shared" si="425"/>
        <v>143157.45750681125</v>
      </c>
      <c r="D157" s="128">
        <f t="shared" si="426"/>
        <v>141266.61500554797</v>
      </c>
      <c r="E157" s="128">
        <f t="shared" si="427"/>
        <v>141350.53580900634</v>
      </c>
      <c r="F157" s="128">
        <f t="shared" si="428"/>
        <v>138448.32383855793</v>
      </c>
      <c r="G157" s="128">
        <f t="shared" si="429"/>
        <v>143521.94822682047</v>
      </c>
      <c r="H157" s="128">
        <f t="shared" si="430"/>
        <v>142994.36804635535</v>
      </c>
      <c r="I157" s="128">
        <f t="shared" si="431"/>
        <v>149031.34399174951</v>
      </c>
      <c r="J157" s="128">
        <f t="shared" si="432"/>
        <v>138223.90133370148</v>
      </c>
      <c r="K157" s="128">
        <f t="shared" si="433"/>
        <v>129710.60130784969</v>
      </c>
      <c r="M157" s="36"/>
      <c r="N157" s="32">
        <f t="shared" si="434"/>
        <v>113</v>
      </c>
      <c r="O157" s="25">
        <f t="shared" si="318"/>
        <v>0.43157457506811236</v>
      </c>
      <c r="P157" s="25">
        <f t="shared" si="319"/>
        <v>0.41266615005547957</v>
      </c>
      <c r="Q157" s="25">
        <f t="shared" si="320"/>
        <v>0.41350535809006339</v>
      </c>
      <c r="R157" s="25">
        <f t="shared" si="370"/>
        <v>0.38448323838557941</v>
      </c>
      <c r="S157" s="25">
        <f t="shared" si="371"/>
        <v>0.43521948226820473</v>
      </c>
      <c r="T157" s="25">
        <f t="shared" si="372"/>
        <v>0.42994368046355347</v>
      </c>
      <c r="U157" s="25">
        <f t="shared" si="373"/>
        <v>0.4903134399174951</v>
      </c>
      <c r="V157" s="25">
        <f t="shared" si="374"/>
        <v>0.38223901333701482</v>
      </c>
      <c r="W157" s="25">
        <f t="shared" si="375"/>
        <v>0.29710601307849682</v>
      </c>
      <c r="X157" s="36"/>
      <c r="Y157" s="36"/>
      <c r="AA157" s="124">
        <f t="shared" si="321"/>
        <v>114</v>
      </c>
      <c r="AB157" s="128">
        <f t="shared" si="376"/>
        <v>130009.76908681342</v>
      </c>
      <c r="AC157" s="124">
        <f t="shared" si="322"/>
        <v>114</v>
      </c>
      <c r="AD157" s="130">
        <f t="shared" si="435"/>
        <v>4.2500000000000003E-2</v>
      </c>
      <c r="AE157" s="127">
        <f t="shared" si="436"/>
        <v>1416</v>
      </c>
      <c r="AF157" s="128">
        <f t="shared" si="437"/>
        <v>141463.30000000002</v>
      </c>
      <c r="AG157" s="128">
        <f t="shared" si="348"/>
        <v>141600</v>
      </c>
      <c r="AH157" s="128">
        <f t="shared" si="357"/>
        <v>141600</v>
      </c>
      <c r="AI157" s="130">
        <f t="shared" si="377"/>
        <v>4.2500000000000003E-2</v>
      </c>
      <c r="AJ157" s="128">
        <f t="shared" si="378"/>
        <v>142101.50000000003</v>
      </c>
      <c r="AK157" s="128" t="str">
        <f t="shared" si="379"/>
        <v>nie</v>
      </c>
      <c r="AL157" s="128">
        <f t="shared" si="380"/>
        <v>708</v>
      </c>
      <c r="AM157" s="128">
        <f t="shared" si="361"/>
        <v>141432.73500000002</v>
      </c>
      <c r="AN157" s="128">
        <f t="shared" si="381"/>
        <v>406.21500000002362</v>
      </c>
      <c r="AO157" s="130">
        <f t="shared" si="382"/>
        <v>4.2500000000000003E-2</v>
      </c>
      <c r="AP157" s="128">
        <f t="shared" si="383"/>
        <v>2543.2656337839348</v>
      </c>
      <c r="AQ157" s="128">
        <f t="shared" si="362"/>
        <v>143569.78563378393</v>
      </c>
      <c r="AS157" s="124">
        <f t="shared" si="327"/>
        <v>114</v>
      </c>
      <c r="AT157" s="130">
        <f t="shared" si="328"/>
        <v>4.2500000000000003E-2</v>
      </c>
      <c r="AU157" s="127">
        <f t="shared" si="438"/>
        <v>1350</v>
      </c>
      <c r="AV157" s="128">
        <f t="shared" si="439"/>
        <v>134874.40000000002</v>
      </c>
      <c r="AW157" s="128">
        <f t="shared" si="363"/>
        <v>135000</v>
      </c>
      <c r="AX157" s="128">
        <f t="shared" si="358"/>
        <v>135000</v>
      </c>
      <c r="AY157" s="130">
        <f t="shared" si="384"/>
        <v>4.4000000000000004E-2</v>
      </c>
      <c r="AZ157" s="128">
        <f t="shared" si="385"/>
        <v>135495</v>
      </c>
      <c r="BA157" s="128" t="str">
        <f t="shared" si="386"/>
        <v>nie</v>
      </c>
      <c r="BB157" s="128">
        <f t="shared" si="387"/>
        <v>944.99999999999989</v>
      </c>
      <c r="BC157" s="128">
        <f t="shared" si="367"/>
        <v>134635.5</v>
      </c>
      <c r="BD157" s="128">
        <f t="shared" si="388"/>
        <v>400.95000000000005</v>
      </c>
      <c r="BE157" s="130">
        <f t="shared" si="264"/>
        <v>4.2500000000000003E-2</v>
      </c>
      <c r="BF157" s="128">
        <f t="shared" si="389"/>
        <v>7453.1882420326201</v>
      </c>
      <c r="BG157" s="128">
        <f t="shared" si="368"/>
        <v>141687.73824203262</v>
      </c>
      <c r="BI157" s="124">
        <f t="shared" si="332"/>
        <v>114</v>
      </c>
      <c r="BJ157" s="130">
        <f t="shared" si="451"/>
        <v>4.1300000000000003E-2</v>
      </c>
      <c r="BK157" s="127">
        <f t="shared" si="440"/>
        <v>1401</v>
      </c>
      <c r="BL157" s="128">
        <f t="shared" si="441"/>
        <v>139959.9</v>
      </c>
      <c r="BM157" s="128">
        <f t="shared" si="349"/>
        <v>140100</v>
      </c>
      <c r="BN157" s="128">
        <f t="shared" si="442"/>
        <v>140100</v>
      </c>
      <c r="BO157" s="130">
        <f t="shared" si="390"/>
        <v>4.65E-2</v>
      </c>
      <c r="BP157" s="128">
        <f t="shared" si="391"/>
        <v>143357.32500000001</v>
      </c>
      <c r="BQ157" s="128" t="str">
        <f t="shared" si="392"/>
        <v>nie</v>
      </c>
      <c r="BR157" s="128">
        <f t="shared" si="393"/>
        <v>1401</v>
      </c>
      <c r="BS157" s="128">
        <f t="shared" si="364"/>
        <v>141603.62325</v>
      </c>
      <c r="BT157" s="128">
        <f t="shared" si="443"/>
        <v>0</v>
      </c>
      <c r="BU157" s="130">
        <f t="shared" si="394"/>
        <v>4.2500000000000003E-2</v>
      </c>
      <c r="BV157" s="128">
        <f t="shared" si="271"/>
        <v>187.18689030763522</v>
      </c>
      <c r="BW157" s="128">
        <f t="shared" si="365"/>
        <v>141790.81014030764</v>
      </c>
      <c r="BY157" s="130">
        <f t="shared" si="452"/>
        <v>2.8000000000000001E-2</v>
      </c>
      <c r="BZ157" s="127">
        <f t="shared" si="444"/>
        <v>1331</v>
      </c>
      <c r="CA157" s="128">
        <f t="shared" si="445"/>
        <v>132980.5</v>
      </c>
      <c r="CB157" s="128">
        <f t="shared" si="366"/>
        <v>133100</v>
      </c>
      <c r="CC157" s="128">
        <f t="shared" si="359"/>
        <v>133100</v>
      </c>
      <c r="CD157" s="130">
        <f t="shared" si="395"/>
        <v>4.2999999999999997E-2</v>
      </c>
      <c r="CE157" s="128">
        <f t="shared" si="396"/>
        <v>135961.65000000002</v>
      </c>
      <c r="CF157" s="128" t="str">
        <f t="shared" si="397"/>
        <v>nie</v>
      </c>
      <c r="CG157" s="128">
        <f t="shared" si="398"/>
        <v>2662</v>
      </c>
      <c r="CH157" s="128">
        <f t="shared" si="369"/>
        <v>133261.71650000001</v>
      </c>
      <c r="CI157" s="128">
        <f t="shared" si="399"/>
        <v>0</v>
      </c>
      <c r="CJ157" s="130">
        <f t="shared" si="277"/>
        <v>4.2500000000000003E-2</v>
      </c>
      <c r="CK157" s="128">
        <f t="shared" si="400"/>
        <v>5588.917431749489</v>
      </c>
      <c r="CL157" s="128">
        <f t="shared" si="401"/>
        <v>138850.6339317495</v>
      </c>
      <c r="CN157" s="127">
        <f t="shared" si="446"/>
        <v>1000</v>
      </c>
      <c r="CO157" s="128">
        <f t="shared" si="447"/>
        <v>100000</v>
      </c>
      <c r="CP157" s="128">
        <f t="shared" si="342"/>
        <v>100000</v>
      </c>
      <c r="CQ157" s="128">
        <f t="shared" si="448"/>
        <v>153657.64733335812</v>
      </c>
      <c r="CR157" s="130">
        <f t="shared" si="402"/>
        <v>4.8000000000000001E-2</v>
      </c>
      <c r="CS157" s="128">
        <f t="shared" si="403"/>
        <v>157345.43086935871</v>
      </c>
      <c r="CT157" s="128" t="str">
        <f t="shared" si="404"/>
        <v>nie</v>
      </c>
      <c r="CU157" s="128">
        <f t="shared" si="405"/>
        <v>3000</v>
      </c>
      <c r="CV157" s="128">
        <f t="shared" si="406"/>
        <v>144019.79900418056</v>
      </c>
      <c r="CW157" s="128">
        <f t="shared" si="285"/>
        <v>0</v>
      </c>
      <c r="CX157" s="130">
        <f t="shared" si="407"/>
        <v>4.2500000000000003E-2</v>
      </c>
      <c r="CY157" s="128">
        <f t="shared" si="408"/>
        <v>0</v>
      </c>
      <c r="CZ157" s="128">
        <f t="shared" si="409"/>
        <v>144019.79900418056</v>
      </c>
      <c r="DA157" s="20"/>
      <c r="DB157" s="127">
        <f t="shared" si="350"/>
        <v>1267</v>
      </c>
      <c r="DC157" s="128">
        <f t="shared" si="351"/>
        <v>126700</v>
      </c>
      <c r="DD157" s="128">
        <f t="shared" si="344"/>
        <v>126700</v>
      </c>
      <c r="DE157" s="128">
        <f t="shared" si="449"/>
        <v>146391.18287360002</v>
      </c>
      <c r="DF157" s="130">
        <f t="shared" si="410"/>
        <v>4.8000000000000001E-2</v>
      </c>
      <c r="DG157" s="128">
        <f t="shared" si="411"/>
        <v>149904.57126256643</v>
      </c>
      <c r="DH157" s="128" t="str">
        <f t="shared" si="412"/>
        <v>nie</v>
      </c>
      <c r="DI157" s="128">
        <f t="shared" si="413"/>
        <v>2534</v>
      </c>
      <c r="DJ157" s="128">
        <f t="shared" si="355"/>
        <v>143443.1627226788</v>
      </c>
      <c r="DK157" s="128">
        <f t="shared" si="294"/>
        <v>0</v>
      </c>
      <c r="DL157" s="130">
        <f t="shared" si="414"/>
        <v>4.2500000000000003E-2</v>
      </c>
      <c r="DM157" s="128">
        <f t="shared" si="415"/>
        <v>25.585945906315636</v>
      </c>
      <c r="DN157" s="128">
        <f t="shared" si="416"/>
        <v>143468.74866858512</v>
      </c>
      <c r="DP157" s="127">
        <f t="shared" si="352"/>
        <v>1000</v>
      </c>
      <c r="DQ157" s="128">
        <f t="shared" si="353"/>
        <v>100000</v>
      </c>
      <c r="DR157" s="128">
        <f t="shared" si="346"/>
        <v>100000</v>
      </c>
      <c r="DS157" s="128">
        <f t="shared" si="450"/>
        <v>159999.20761184281</v>
      </c>
      <c r="DT157" s="130">
        <f t="shared" si="417"/>
        <v>5.3000000000000005E-2</v>
      </c>
      <c r="DU157" s="128">
        <f t="shared" si="418"/>
        <v>164239.18661355664</v>
      </c>
      <c r="DV157" s="128" t="str">
        <f t="shared" si="419"/>
        <v>nie</v>
      </c>
      <c r="DW157" s="128">
        <f t="shared" si="420"/>
        <v>3000</v>
      </c>
      <c r="DX157" s="128">
        <f t="shared" si="302"/>
        <v>149603.74115698089</v>
      </c>
      <c r="DY157" s="128">
        <f t="shared" si="303"/>
        <v>0</v>
      </c>
      <c r="DZ157" s="130">
        <f t="shared" si="421"/>
        <v>4.2500000000000003E-2</v>
      </c>
      <c r="EA157" s="128">
        <f t="shared" si="422"/>
        <v>0</v>
      </c>
      <c r="EB157" s="128">
        <f t="shared" si="423"/>
        <v>149603.74115698089</v>
      </c>
    </row>
    <row r="158" spans="1:132">
      <c r="A158" s="224"/>
      <c r="B158" s="188">
        <f t="shared" si="424"/>
        <v>114</v>
      </c>
      <c r="C158" s="128">
        <f t="shared" si="425"/>
        <v>143569.78563378393</v>
      </c>
      <c r="D158" s="128">
        <f t="shared" si="426"/>
        <v>141687.73824203262</v>
      </c>
      <c r="E158" s="128">
        <f t="shared" si="427"/>
        <v>141790.81014030764</v>
      </c>
      <c r="F158" s="128">
        <f t="shared" si="428"/>
        <v>138850.6339317495</v>
      </c>
      <c r="G158" s="128">
        <f t="shared" si="429"/>
        <v>144019.79900418056</v>
      </c>
      <c r="H158" s="128">
        <f t="shared" si="430"/>
        <v>143468.74866858512</v>
      </c>
      <c r="I158" s="128">
        <f t="shared" si="431"/>
        <v>149603.74115698089</v>
      </c>
      <c r="J158" s="128">
        <f t="shared" si="432"/>
        <v>138620.43115065253</v>
      </c>
      <c r="K158" s="128">
        <f t="shared" si="433"/>
        <v>130009.76908681342</v>
      </c>
      <c r="M158" s="36"/>
      <c r="N158" s="32">
        <f t="shared" si="434"/>
        <v>114</v>
      </c>
      <c r="O158" s="25">
        <f t="shared" si="318"/>
        <v>0.43569785633783931</v>
      </c>
      <c r="P158" s="25">
        <f t="shared" si="319"/>
        <v>0.41687738242032624</v>
      </c>
      <c r="Q158" s="25">
        <f t="shared" si="320"/>
        <v>0.41790810140307633</v>
      </c>
      <c r="R158" s="25">
        <f t="shared" si="370"/>
        <v>0.38850633931749501</v>
      </c>
      <c r="S158" s="25">
        <f t="shared" si="371"/>
        <v>0.4401979900418056</v>
      </c>
      <c r="T158" s="25">
        <f t="shared" si="372"/>
        <v>0.43468748668585122</v>
      </c>
      <c r="U158" s="25">
        <f t="shared" si="373"/>
        <v>0.49603741156980896</v>
      </c>
      <c r="V158" s="25">
        <f t="shared" si="374"/>
        <v>0.38620431150652523</v>
      </c>
      <c r="W158" s="25">
        <f t="shared" si="375"/>
        <v>0.30009769086813431</v>
      </c>
      <c r="X158" s="36"/>
      <c r="Y158" s="36"/>
      <c r="AA158" s="124">
        <f t="shared" si="321"/>
        <v>115</v>
      </c>
      <c r="AB158" s="128">
        <f t="shared" si="376"/>
        <v>130308.93686577716</v>
      </c>
      <c r="AC158" s="124">
        <f t="shared" si="322"/>
        <v>115</v>
      </c>
      <c r="AD158" s="130">
        <f t="shared" si="435"/>
        <v>4.2500000000000003E-2</v>
      </c>
      <c r="AE158" s="127">
        <f t="shared" si="436"/>
        <v>1416</v>
      </c>
      <c r="AF158" s="128">
        <f t="shared" si="437"/>
        <v>141463.30000000002</v>
      </c>
      <c r="AG158" s="128">
        <f t="shared" si="348"/>
        <v>141600</v>
      </c>
      <c r="AH158" s="128">
        <f t="shared" si="357"/>
        <v>141600</v>
      </c>
      <c r="AI158" s="130">
        <f t="shared" si="377"/>
        <v>4.2500000000000003E-2</v>
      </c>
      <c r="AJ158" s="128">
        <f t="shared" si="378"/>
        <v>142101.50000000003</v>
      </c>
      <c r="AK158" s="128" t="str">
        <f t="shared" si="379"/>
        <v>nie</v>
      </c>
      <c r="AL158" s="128">
        <f t="shared" si="380"/>
        <v>708</v>
      </c>
      <c r="AM158" s="128">
        <f t="shared" si="361"/>
        <v>141432.73500000002</v>
      </c>
      <c r="AN158" s="128">
        <f t="shared" si="381"/>
        <v>406.21500000002362</v>
      </c>
      <c r="AO158" s="130">
        <f t="shared" si="382"/>
        <v>4.2500000000000003E-2</v>
      </c>
      <c r="AP158" s="128">
        <f t="shared" si="383"/>
        <v>2956.7766270708762</v>
      </c>
      <c r="AQ158" s="128">
        <f t="shared" si="362"/>
        <v>143983.29662707087</v>
      </c>
      <c r="AS158" s="124">
        <f t="shared" si="327"/>
        <v>115</v>
      </c>
      <c r="AT158" s="130">
        <f t="shared" si="328"/>
        <v>4.2500000000000003E-2</v>
      </c>
      <c r="AU158" s="127">
        <f t="shared" si="438"/>
        <v>1350</v>
      </c>
      <c r="AV158" s="128">
        <f t="shared" si="439"/>
        <v>134874.40000000002</v>
      </c>
      <c r="AW158" s="128">
        <f t="shared" si="363"/>
        <v>135000</v>
      </c>
      <c r="AX158" s="128">
        <f t="shared" si="358"/>
        <v>135000</v>
      </c>
      <c r="AY158" s="130">
        <f t="shared" si="384"/>
        <v>4.4000000000000004E-2</v>
      </c>
      <c r="AZ158" s="128">
        <f t="shared" si="385"/>
        <v>135495</v>
      </c>
      <c r="BA158" s="128" t="str">
        <f t="shared" si="386"/>
        <v>nie</v>
      </c>
      <c r="BB158" s="128">
        <f t="shared" si="387"/>
        <v>944.99999999999989</v>
      </c>
      <c r="BC158" s="128">
        <f t="shared" si="367"/>
        <v>134635.5</v>
      </c>
      <c r="BD158" s="128">
        <f t="shared" si="388"/>
        <v>400.95000000000005</v>
      </c>
      <c r="BE158" s="130">
        <f t="shared" si="264"/>
        <v>4.2500000000000003E-2</v>
      </c>
      <c r="BF158" s="128">
        <f t="shared" si="389"/>
        <v>7875.5195758019509</v>
      </c>
      <c r="BG158" s="128">
        <f t="shared" si="368"/>
        <v>142110.06957580196</v>
      </c>
      <c r="BI158" s="124">
        <f t="shared" si="332"/>
        <v>115</v>
      </c>
      <c r="BJ158" s="130">
        <f t="shared" si="451"/>
        <v>4.1300000000000003E-2</v>
      </c>
      <c r="BK158" s="127">
        <f t="shared" si="440"/>
        <v>1401</v>
      </c>
      <c r="BL158" s="128">
        <f t="shared" si="441"/>
        <v>139959.9</v>
      </c>
      <c r="BM158" s="128">
        <f t="shared" si="349"/>
        <v>140100</v>
      </c>
      <c r="BN158" s="128">
        <f t="shared" si="442"/>
        <v>140100</v>
      </c>
      <c r="BO158" s="130">
        <f t="shared" si="390"/>
        <v>4.65E-2</v>
      </c>
      <c r="BP158" s="128">
        <f t="shared" si="391"/>
        <v>143900.21250000002</v>
      </c>
      <c r="BQ158" s="128" t="str">
        <f t="shared" si="392"/>
        <v>nie</v>
      </c>
      <c r="BR158" s="128">
        <f t="shared" si="393"/>
        <v>1401</v>
      </c>
      <c r="BS158" s="128">
        <f t="shared" si="364"/>
        <v>142043.36212500001</v>
      </c>
      <c r="BT158" s="128">
        <f t="shared" si="443"/>
        <v>0</v>
      </c>
      <c r="BU158" s="130">
        <f t="shared" si="394"/>
        <v>4.2500000000000003E-2</v>
      </c>
      <c r="BV158" s="128">
        <f t="shared" si="271"/>
        <v>187.72388269920523</v>
      </c>
      <c r="BW158" s="128">
        <f t="shared" si="365"/>
        <v>142231.08600769922</v>
      </c>
      <c r="BY158" s="130">
        <f t="shared" si="452"/>
        <v>2.8000000000000001E-2</v>
      </c>
      <c r="BZ158" s="127">
        <f t="shared" si="444"/>
        <v>1331</v>
      </c>
      <c r="CA158" s="128">
        <f t="shared" si="445"/>
        <v>132980.5</v>
      </c>
      <c r="CB158" s="128">
        <f t="shared" si="366"/>
        <v>133100</v>
      </c>
      <c r="CC158" s="128">
        <f t="shared" si="359"/>
        <v>133100</v>
      </c>
      <c r="CD158" s="130">
        <f t="shared" si="395"/>
        <v>4.2999999999999997E-2</v>
      </c>
      <c r="CE158" s="128">
        <f t="shared" si="396"/>
        <v>136438.59166666667</v>
      </c>
      <c r="CF158" s="128" t="str">
        <f t="shared" si="397"/>
        <v>nie</v>
      </c>
      <c r="CG158" s="128">
        <f t="shared" si="398"/>
        <v>2662</v>
      </c>
      <c r="CH158" s="128">
        <f t="shared" si="369"/>
        <v>133648.03925</v>
      </c>
      <c r="CI158" s="128">
        <f t="shared" si="399"/>
        <v>0</v>
      </c>
      <c r="CJ158" s="130">
        <f t="shared" si="277"/>
        <v>4.2500000000000003E-2</v>
      </c>
      <c r="CK158" s="128">
        <f t="shared" si="400"/>
        <v>5604.9506386318199</v>
      </c>
      <c r="CL158" s="128">
        <f t="shared" si="401"/>
        <v>139252.98988863183</v>
      </c>
      <c r="CN158" s="127">
        <f t="shared" si="446"/>
        <v>1000</v>
      </c>
      <c r="CO158" s="128">
        <f t="shared" si="447"/>
        <v>100000</v>
      </c>
      <c r="CP158" s="128">
        <f t="shared" si="342"/>
        <v>100000</v>
      </c>
      <c r="CQ158" s="128">
        <f t="shared" si="448"/>
        <v>153657.64733335812</v>
      </c>
      <c r="CR158" s="130">
        <f t="shared" si="402"/>
        <v>4.8000000000000001E-2</v>
      </c>
      <c r="CS158" s="128">
        <f t="shared" si="403"/>
        <v>157960.06145869216</v>
      </c>
      <c r="CT158" s="128" t="str">
        <f t="shared" si="404"/>
        <v>nie</v>
      </c>
      <c r="CU158" s="128">
        <f t="shared" si="405"/>
        <v>3000</v>
      </c>
      <c r="CV158" s="128">
        <f t="shared" si="406"/>
        <v>144517.64978154065</v>
      </c>
      <c r="CW158" s="128">
        <f t="shared" si="285"/>
        <v>0</v>
      </c>
      <c r="CX158" s="130">
        <f t="shared" si="407"/>
        <v>4.2500000000000003E-2</v>
      </c>
      <c r="CY158" s="128">
        <f t="shared" si="408"/>
        <v>0</v>
      </c>
      <c r="CZ158" s="128">
        <f t="shared" si="409"/>
        <v>144517.64978154065</v>
      </c>
      <c r="DA158" s="20"/>
      <c r="DB158" s="127">
        <f t="shared" si="350"/>
        <v>1267</v>
      </c>
      <c r="DC158" s="128">
        <f t="shared" si="351"/>
        <v>126700</v>
      </c>
      <c r="DD158" s="128">
        <f t="shared" si="344"/>
        <v>126700</v>
      </c>
      <c r="DE158" s="128">
        <f t="shared" si="449"/>
        <v>146391.18287360002</v>
      </c>
      <c r="DF158" s="130">
        <f t="shared" si="410"/>
        <v>4.8000000000000001E-2</v>
      </c>
      <c r="DG158" s="128">
        <f t="shared" si="411"/>
        <v>150490.13599406081</v>
      </c>
      <c r="DH158" s="128" t="str">
        <f t="shared" si="412"/>
        <v>nie</v>
      </c>
      <c r="DI158" s="128">
        <f t="shared" si="413"/>
        <v>2534</v>
      </c>
      <c r="DJ158" s="128">
        <f t="shared" si="355"/>
        <v>143917.47015518925</v>
      </c>
      <c r="DK158" s="128">
        <f t="shared" si="294"/>
        <v>0</v>
      </c>
      <c r="DL158" s="130">
        <f t="shared" si="414"/>
        <v>4.2500000000000003E-2</v>
      </c>
      <c r="DM158" s="128">
        <f t="shared" si="415"/>
        <v>25.65934558863438</v>
      </c>
      <c r="DN158" s="128">
        <f t="shared" si="416"/>
        <v>143943.1295007779</v>
      </c>
      <c r="DP158" s="127">
        <f t="shared" si="352"/>
        <v>1000</v>
      </c>
      <c r="DQ158" s="128">
        <f t="shared" si="353"/>
        <v>100000</v>
      </c>
      <c r="DR158" s="128">
        <f t="shared" si="346"/>
        <v>100000</v>
      </c>
      <c r="DS158" s="128">
        <f t="shared" si="450"/>
        <v>159999.20761184281</v>
      </c>
      <c r="DT158" s="130">
        <f t="shared" si="417"/>
        <v>5.3000000000000005E-2</v>
      </c>
      <c r="DU158" s="128">
        <f t="shared" si="418"/>
        <v>164945.84978050896</v>
      </c>
      <c r="DV158" s="128" t="str">
        <f t="shared" si="419"/>
        <v>nie</v>
      </c>
      <c r="DW158" s="128">
        <f t="shared" si="420"/>
        <v>3000</v>
      </c>
      <c r="DX158" s="128">
        <f t="shared" si="302"/>
        <v>150176.13832221227</v>
      </c>
      <c r="DY158" s="128">
        <f t="shared" si="303"/>
        <v>0</v>
      </c>
      <c r="DZ158" s="130">
        <f t="shared" si="421"/>
        <v>4.2500000000000003E-2</v>
      </c>
      <c r="EA158" s="128">
        <f t="shared" si="422"/>
        <v>0</v>
      </c>
      <c r="EB158" s="128">
        <f t="shared" si="423"/>
        <v>150176.13832221227</v>
      </c>
    </row>
    <row r="159" spans="1:132">
      <c r="A159" s="224"/>
      <c r="B159" s="188">
        <f t="shared" si="424"/>
        <v>115</v>
      </c>
      <c r="C159" s="128">
        <f t="shared" si="425"/>
        <v>143983.29662707087</v>
      </c>
      <c r="D159" s="128">
        <f t="shared" si="426"/>
        <v>142110.06957580196</v>
      </c>
      <c r="E159" s="128">
        <f t="shared" si="427"/>
        <v>142231.08600769922</v>
      </c>
      <c r="F159" s="128">
        <f t="shared" si="428"/>
        <v>139252.98988863183</v>
      </c>
      <c r="G159" s="128">
        <f t="shared" si="429"/>
        <v>144517.64978154065</v>
      </c>
      <c r="H159" s="128">
        <f t="shared" si="430"/>
        <v>143943.1295007779</v>
      </c>
      <c r="I159" s="128">
        <f t="shared" si="431"/>
        <v>150176.13832221227</v>
      </c>
      <c r="J159" s="128">
        <f t="shared" si="432"/>
        <v>139018.09851251595</v>
      </c>
      <c r="K159" s="128">
        <f t="shared" si="433"/>
        <v>130308.93686577716</v>
      </c>
      <c r="M159" s="36"/>
      <c r="N159" s="32">
        <f t="shared" si="434"/>
        <v>115</v>
      </c>
      <c r="O159" s="25">
        <f t="shared" si="318"/>
        <v>0.43983296627070878</v>
      </c>
      <c r="P159" s="25">
        <f t="shared" si="319"/>
        <v>0.42110069575801967</v>
      </c>
      <c r="Q159" s="25">
        <f t="shared" si="320"/>
        <v>0.42231086007699226</v>
      </c>
      <c r="R159" s="25">
        <f t="shared" si="370"/>
        <v>0.39252989888631817</v>
      </c>
      <c r="S159" s="25">
        <f t="shared" si="371"/>
        <v>0.44517649781540647</v>
      </c>
      <c r="T159" s="25">
        <f t="shared" si="372"/>
        <v>0.439431295007779</v>
      </c>
      <c r="U159" s="25">
        <f t="shared" si="373"/>
        <v>0.5017613832221226</v>
      </c>
      <c r="V159" s="25">
        <f t="shared" si="374"/>
        <v>0.39018098512515942</v>
      </c>
      <c r="W159" s="25">
        <f t="shared" si="375"/>
        <v>0.30308936865777159</v>
      </c>
      <c r="X159" s="36"/>
      <c r="Y159" s="36"/>
      <c r="AA159" s="124">
        <f t="shared" si="321"/>
        <v>116</v>
      </c>
      <c r="AB159" s="128">
        <f t="shared" si="376"/>
        <v>130608.10464474089</v>
      </c>
      <c r="AC159" s="124">
        <f t="shared" si="322"/>
        <v>116</v>
      </c>
      <c r="AD159" s="130">
        <f t="shared" si="435"/>
        <v>4.2500000000000003E-2</v>
      </c>
      <c r="AE159" s="127">
        <f t="shared" si="436"/>
        <v>1416</v>
      </c>
      <c r="AF159" s="128">
        <f t="shared" si="437"/>
        <v>141463.30000000002</v>
      </c>
      <c r="AG159" s="128">
        <f t="shared" si="348"/>
        <v>141600</v>
      </c>
      <c r="AH159" s="128">
        <f t="shared" si="357"/>
        <v>141600</v>
      </c>
      <c r="AI159" s="130">
        <f t="shared" si="377"/>
        <v>4.2500000000000003E-2</v>
      </c>
      <c r="AJ159" s="128">
        <f t="shared" si="378"/>
        <v>142101.50000000003</v>
      </c>
      <c r="AK159" s="128" t="str">
        <f t="shared" si="379"/>
        <v>nie</v>
      </c>
      <c r="AL159" s="128">
        <f t="shared" si="380"/>
        <v>708</v>
      </c>
      <c r="AM159" s="128">
        <f t="shared" si="361"/>
        <v>141432.73500000002</v>
      </c>
      <c r="AN159" s="128">
        <f t="shared" si="381"/>
        <v>406.21500000002362</v>
      </c>
      <c r="AO159" s="130">
        <f t="shared" si="382"/>
        <v>4.2500000000000003E-2</v>
      </c>
      <c r="AP159" s="128">
        <f t="shared" si="383"/>
        <v>3371.4738800198097</v>
      </c>
      <c r="AQ159" s="128">
        <f t="shared" si="362"/>
        <v>144397.99388001981</v>
      </c>
      <c r="AS159" s="124">
        <f t="shared" si="327"/>
        <v>116</v>
      </c>
      <c r="AT159" s="130">
        <f t="shared" si="328"/>
        <v>4.2500000000000003E-2</v>
      </c>
      <c r="AU159" s="127">
        <f t="shared" si="438"/>
        <v>1350</v>
      </c>
      <c r="AV159" s="128">
        <f t="shared" si="439"/>
        <v>134874.40000000002</v>
      </c>
      <c r="AW159" s="128">
        <f t="shared" si="363"/>
        <v>135000</v>
      </c>
      <c r="AX159" s="128">
        <f t="shared" si="358"/>
        <v>135000</v>
      </c>
      <c r="AY159" s="130">
        <f t="shared" si="384"/>
        <v>4.4000000000000004E-2</v>
      </c>
      <c r="AZ159" s="128">
        <f t="shared" si="385"/>
        <v>135495</v>
      </c>
      <c r="BA159" s="128" t="str">
        <f t="shared" si="386"/>
        <v>nie</v>
      </c>
      <c r="BB159" s="128">
        <f t="shared" si="387"/>
        <v>944.99999999999989</v>
      </c>
      <c r="BC159" s="128">
        <f t="shared" si="367"/>
        <v>134635.5</v>
      </c>
      <c r="BD159" s="128">
        <f t="shared" si="388"/>
        <v>400.95000000000005</v>
      </c>
      <c r="BE159" s="130">
        <f t="shared" si="264"/>
        <v>4.2500000000000003E-2</v>
      </c>
      <c r="BF159" s="128">
        <f t="shared" si="389"/>
        <v>8299.0624725850321</v>
      </c>
      <c r="BG159" s="128">
        <f t="shared" si="368"/>
        <v>142533.61247258502</v>
      </c>
      <c r="BI159" s="124">
        <f t="shared" si="332"/>
        <v>116</v>
      </c>
      <c r="BJ159" s="130">
        <f t="shared" si="451"/>
        <v>4.1300000000000003E-2</v>
      </c>
      <c r="BK159" s="127">
        <f t="shared" si="440"/>
        <v>1401</v>
      </c>
      <c r="BL159" s="128">
        <f t="shared" si="441"/>
        <v>139959.9</v>
      </c>
      <c r="BM159" s="128">
        <f t="shared" si="349"/>
        <v>140100</v>
      </c>
      <c r="BN159" s="128">
        <f t="shared" si="442"/>
        <v>140100</v>
      </c>
      <c r="BO159" s="130">
        <f t="shared" si="390"/>
        <v>4.65E-2</v>
      </c>
      <c r="BP159" s="128">
        <f t="shared" si="391"/>
        <v>144443.09999999998</v>
      </c>
      <c r="BQ159" s="128" t="str">
        <f t="shared" si="392"/>
        <v>nie</v>
      </c>
      <c r="BR159" s="128">
        <f t="shared" si="393"/>
        <v>1401</v>
      </c>
      <c r="BS159" s="128">
        <f t="shared" si="364"/>
        <v>142483.101</v>
      </c>
      <c r="BT159" s="128">
        <f t="shared" si="443"/>
        <v>0</v>
      </c>
      <c r="BU159" s="130">
        <f t="shared" si="394"/>
        <v>4.2500000000000003E-2</v>
      </c>
      <c r="BV159" s="128">
        <f t="shared" si="271"/>
        <v>188.26241558769857</v>
      </c>
      <c r="BW159" s="128">
        <f t="shared" si="365"/>
        <v>142671.36341558769</v>
      </c>
      <c r="BY159" s="130">
        <f t="shared" si="452"/>
        <v>2.8000000000000001E-2</v>
      </c>
      <c r="BZ159" s="127">
        <f t="shared" si="444"/>
        <v>1331</v>
      </c>
      <c r="CA159" s="128">
        <f t="shared" si="445"/>
        <v>132980.5</v>
      </c>
      <c r="CB159" s="128">
        <f t="shared" si="366"/>
        <v>133100</v>
      </c>
      <c r="CC159" s="128">
        <f t="shared" si="359"/>
        <v>133100</v>
      </c>
      <c r="CD159" s="130">
        <f t="shared" si="395"/>
        <v>4.2999999999999997E-2</v>
      </c>
      <c r="CE159" s="128">
        <f t="shared" si="396"/>
        <v>136915.53333333333</v>
      </c>
      <c r="CF159" s="128" t="str">
        <f t="shared" si="397"/>
        <v>nie</v>
      </c>
      <c r="CG159" s="128">
        <f t="shared" si="398"/>
        <v>2662</v>
      </c>
      <c r="CH159" s="128">
        <f t="shared" si="369"/>
        <v>134034.36199999999</v>
      </c>
      <c r="CI159" s="128">
        <f t="shared" si="399"/>
        <v>0</v>
      </c>
      <c r="CJ159" s="130">
        <f t="shared" si="277"/>
        <v>4.2500000000000003E-2</v>
      </c>
      <c r="CK159" s="128">
        <f t="shared" si="400"/>
        <v>5621.0298407763948</v>
      </c>
      <c r="CL159" s="128">
        <f t="shared" si="401"/>
        <v>139655.3918407764</v>
      </c>
      <c r="CN159" s="127">
        <f t="shared" si="446"/>
        <v>1000</v>
      </c>
      <c r="CO159" s="128">
        <f t="shared" si="447"/>
        <v>100000</v>
      </c>
      <c r="CP159" s="128">
        <f t="shared" si="342"/>
        <v>100000</v>
      </c>
      <c r="CQ159" s="128">
        <f t="shared" si="448"/>
        <v>153657.64733335812</v>
      </c>
      <c r="CR159" s="130">
        <f t="shared" si="402"/>
        <v>4.8000000000000001E-2</v>
      </c>
      <c r="CS159" s="128">
        <f t="shared" si="403"/>
        <v>158574.69204802558</v>
      </c>
      <c r="CT159" s="128" t="str">
        <f t="shared" si="404"/>
        <v>nie</v>
      </c>
      <c r="CU159" s="128">
        <f t="shared" si="405"/>
        <v>3000</v>
      </c>
      <c r="CV159" s="128">
        <f t="shared" si="406"/>
        <v>145015.50055890071</v>
      </c>
      <c r="CW159" s="128">
        <f t="shared" si="285"/>
        <v>0</v>
      </c>
      <c r="CX159" s="130">
        <f t="shared" si="407"/>
        <v>4.2500000000000003E-2</v>
      </c>
      <c r="CY159" s="128">
        <f t="shared" si="408"/>
        <v>0</v>
      </c>
      <c r="CZ159" s="128">
        <f t="shared" si="409"/>
        <v>145015.50055890071</v>
      </c>
      <c r="DA159" s="20"/>
      <c r="DB159" s="127">
        <f t="shared" si="350"/>
        <v>1267</v>
      </c>
      <c r="DC159" s="128">
        <f t="shared" si="351"/>
        <v>126700</v>
      </c>
      <c r="DD159" s="128">
        <f t="shared" si="344"/>
        <v>126700</v>
      </c>
      <c r="DE159" s="128">
        <f t="shared" si="449"/>
        <v>146391.18287360002</v>
      </c>
      <c r="DF159" s="130">
        <f t="shared" si="410"/>
        <v>4.8000000000000001E-2</v>
      </c>
      <c r="DG159" s="128">
        <f t="shared" si="411"/>
        <v>151075.70072555522</v>
      </c>
      <c r="DH159" s="128" t="str">
        <f t="shared" si="412"/>
        <v>nie</v>
      </c>
      <c r="DI159" s="128">
        <f t="shared" si="413"/>
        <v>2534</v>
      </c>
      <c r="DJ159" s="128">
        <f t="shared" si="355"/>
        <v>144391.77758769973</v>
      </c>
      <c r="DK159" s="128">
        <f t="shared" si="294"/>
        <v>0</v>
      </c>
      <c r="DL159" s="130">
        <f t="shared" si="414"/>
        <v>4.2500000000000003E-2</v>
      </c>
      <c r="DM159" s="128">
        <f t="shared" si="415"/>
        <v>25.732955836291776</v>
      </c>
      <c r="DN159" s="128">
        <f t="shared" si="416"/>
        <v>144417.51054353602</v>
      </c>
      <c r="DP159" s="127">
        <f t="shared" si="352"/>
        <v>1000</v>
      </c>
      <c r="DQ159" s="128">
        <f t="shared" si="353"/>
        <v>100000</v>
      </c>
      <c r="DR159" s="128">
        <f t="shared" si="346"/>
        <v>100000</v>
      </c>
      <c r="DS159" s="128">
        <f t="shared" si="450"/>
        <v>159999.20761184281</v>
      </c>
      <c r="DT159" s="130">
        <f t="shared" si="417"/>
        <v>5.3000000000000005E-2</v>
      </c>
      <c r="DU159" s="128">
        <f t="shared" si="418"/>
        <v>165652.51294746128</v>
      </c>
      <c r="DV159" s="128" t="str">
        <f t="shared" si="419"/>
        <v>nie</v>
      </c>
      <c r="DW159" s="128">
        <f t="shared" si="420"/>
        <v>3000</v>
      </c>
      <c r="DX159" s="128">
        <f t="shared" si="302"/>
        <v>150748.53548744365</v>
      </c>
      <c r="DY159" s="128">
        <f t="shared" si="303"/>
        <v>0</v>
      </c>
      <c r="DZ159" s="130">
        <f t="shared" si="421"/>
        <v>4.2500000000000003E-2</v>
      </c>
      <c r="EA159" s="128">
        <f t="shared" si="422"/>
        <v>0</v>
      </c>
      <c r="EB159" s="128">
        <f t="shared" si="423"/>
        <v>150748.53548744365</v>
      </c>
    </row>
    <row r="160" spans="1:132">
      <c r="A160" s="224"/>
      <c r="B160" s="188">
        <f t="shared" si="424"/>
        <v>116</v>
      </c>
      <c r="C160" s="128">
        <f t="shared" si="425"/>
        <v>144397.99388001981</v>
      </c>
      <c r="D160" s="128">
        <f t="shared" si="426"/>
        <v>142533.61247258502</v>
      </c>
      <c r="E160" s="128">
        <f t="shared" si="427"/>
        <v>142671.36341558769</v>
      </c>
      <c r="F160" s="128">
        <f t="shared" si="428"/>
        <v>139655.3918407764</v>
      </c>
      <c r="G160" s="128">
        <f t="shared" si="429"/>
        <v>145015.50055890071</v>
      </c>
      <c r="H160" s="128">
        <f t="shared" si="430"/>
        <v>144417.51054353602</v>
      </c>
      <c r="I160" s="128">
        <f t="shared" si="431"/>
        <v>150748.53548744365</v>
      </c>
      <c r="J160" s="128">
        <f t="shared" si="432"/>
        <v>139416.90668262372</v>
      </c>
      <c r="K160" s="128">
        <f t="shared" si="433"/>
        <v>130608.10464474089</v>
      </c>
      <c r="M160" s="36"/>
      <c r="N160" s="32">
        <f t="shared" si="434"/>
        <v>116</v>
      </c>
      <c r="O160" s="25">
        <f t="shared" si="318"/>
        <v>0.44397993880019815</v>
      </c>
      <c r="P160" s="25">
        <f t="shared" si="319"/>
        <v>0.42533612472585025</v>
      </c>
      <c r="Q160" s="25">
        <f t="shared" si="320"/>
        <v>0.42671363415587704</v>
      </c>
      <c r="R160" s="25">
        <f t="shared" si="370"/>
        <v>0.39655391840776399</v>
      </c>
      <c r="S160" s="25">
        <f t="shared" si="371"/>
        <v>0.45015500558900712</v>
      </c>
      <c r="T160" s="25">
        <f t="shared" si="372"/>
        <v>0.44417510543536021</v>
      </c>
      <c r="U160" s="25">
        <f t="shared" si="373"/>
        <v>0.50748535487443647</v>
      </c>
      <c r="V160" s="25">
        <f t="shared" si="374"/>
        <v>0.3941690668262372</v>
      </c>
      <c r="W160" s="25">
        <f t="shared" si="375"/>
        <v>0.30608104644740886</v>
      </c>
      <c r="X160" s="36"/>
      <c r="Y160" s="36"/>
      <c r="AA160" s="124">
        <f t="shared" si="321"/>
        <v>117</v>
      </c>
      <c r="AB160" s="128">
        <f t="shared" si="376"/>
        <v>130907.27242370462</v>
      </c>
      <c r="AC160" s="124">
        <f t="shared" si="322"/>
        <v>117</v>
      </c>
      <c r="AD160" s="130">
        <f t="shared" si="435"/>
        <v>4.2500000000000003E-2</v>
      </c>
      <c r="AE160" s="127">
        <f t="shared" si="436"/>
        <v>1416</v>
      </c>
      <c r="AF160" s="128">
        <f t="shared" si="437"/>
        <v>141463.30000000002</v>
      </c>
      <c r="AG160" s="128">
        <f t="shared" si="348"/>
        <v>141600</v>
      </c>
      <c r="AH160" s="128">
        <f t="shared" si="357"/>
        <v>141600</v>
      </c>
      <c r="AI160" s="130">
        <f t="shared" si="377"/>
        <v>4.2500000000000003E-2</v>
      </c>
      <c r="AJ160" s="128">
        <f t="shared" si="378"/>
        <v>142101.50000000003</v>
      </c>
      <c r="AK160" s="128" t="str">
        <f t="shared" si="379"/>
        <v>nie</v>
      </c>
      <c r="AL160" s="128">
        <f t="shared" si="380"/>
        <v>708</v>
      </c>
      <c r="AM160" s="128">
        <f t="shared" si="361"/>
        <v>141432.73500000002</v>
      </c>
      <c r="AN160" s="128">
        <f t="shared" si="381"/>
        <v>406.21500000002362</v>
      </c>
      <c r="AO160" s="130">
        <f t="shared" si="382"/>
        <v>4.2500000000000003E-2</v>
      </c>
      <c r="AP160" s="128">
        <f t="shared" si="383"/>
        <v>3787.3607957131403</v>
      </c>
      <c r="AQ160" s="128">
        <f t="shared" si="362"/>
        <v>144813.88079571314</v>
      </c>
      <c r="AS160" s="124">
        <f t="shared" si="327"/>
        <v>117</v>
      </c>
      <c r="AT160" s="130">
        <f t="shared" si="328"/>
        <v>4.2500000000000003E-2</v>
      </c>
      <c r="AU160" s="127">
        <f t="shared" si="438"/>
        <v>1350</v>
      </c>
      <c r="AV160" s="128">
        <f t="shared" si="439"/>
        <v>134874.40000000002</v>
      </c>
      <c r="AW160" s="128">
        <f t="shared" si="363"/>
        <v>135000</v>
      </c>
      <c r="AX160" s="128">
        <f t="shared" si="358"/>
        <v>135000</v>
      </c>
      <c r="AY160" s="130">
        <f t="shared" si="384"/>
        <v>4.4000000000000004E-2</v>
      </c>
      <c r="AZ160" s="128">
        <f t="shared" si="385"/>
        <v>135495</v>
      </c>
      <c r="BA160" s="128" t="str">
        <f t="shared" si="386"/>
        <v>nie</v>
      </c>
      <c r="BB160" s="128">
        <f t="shared" si="387"/>
        <v>944.99999999999989</v>
      </c>
      <c r="BC160" s="128">
        <f t="shared" si="367"/>
        <v>134635.5</v>
      </c>
      <c r="BD160" s="128">
        <f t="shared" si="388"/>
        <v>400.95000000000005</v>
      </c>
      <c r="BE160" s="130">
        <f t="shared" si="264"/>
        <v>4.2500000000000003E-2</v>
      </c>
      <c r="BF160" s="128">
        <f t="shared" si="389"/>
        <v>8723.8204080532614</v>
      </c>
      <c r="BG160" s="128">
        <f t="shared" si="368"/>
        <v>142958.37040805325</v>
      </c>
      <c r="BI160" s="124">
        <f t="shared" si="332"/>
        <v>117</v>
      </c>
      <c r="BJ160" s="130">
        <f t="shared" si="451"/>
        <v>4.1300000000000003E-2</v>
      </c>
      <c r="BK160" s="127">
        <f t="shared" si="440"/>
        <v>1401</v>
      </c>
      <c r="BL160" s="128">
        <f t="shared" si="441"/>
        <v>139959.9</v>
      </c>
      <c r="BM160" s="128">
        <f t="shared" si="349"/>
        <v>140100</v>
      </c>
      <c r="BN160" s="128">
        <f t="shared" si="442"/>
        <v>140100</v>
      </c>
      <c r="BO160" s="130">
        <f t="shared" si="390"/>
        <v>4.65E-2</v>
      </c>
      <c r="BP160" s="128">
        <f t="shared" si="391"/>
        <v>144985.98749999999</v>
      </c>
      <c r="BQ160" s="128" t="str">
        <f t="shared" si="392"/>
        <v>nie</v>
      </c>
      <c r="BR160" s="128">
        <f t="shared" si="393"/>
        <v>1401</v>
      </c>
      <c r="BS160" s="128">
        <f t="shared" si="364"/>
        <v>142922.83987500001</v>
      </c>
      <c r="BT160" s="128">
        <f t="shared" si="443"/>
        <v>0</v>
      </c>
      <c r="BU160" s="130">
        <f t="shared" si="394"/>
        <v>4.2500000000000003E-2</v>
      </c>
      <c r="BV160" s="128">
        <f t="shared" si="271"/>
        <v>188.80249339241578</v>
      </c>
      <c r="BW160" s="128">
        <f t="shared" si="365"/>
        <v>143111.64236839241</v>
      </c>
      <c r="BY160" s="130">
        <f t="shared" si="452"/>
        <v>2.8000000000000001E-2</v>
      </c>
      <c r="BZ160" s="127">
        <f t="shared" si="444"/>
        <v>1331</v>
      </c>
      <c r="CA160" s="128">
        <f t="shared" si="445"/>
        <v>132980.5</v>
      </c>
      <c r="CB160" s="128">
        <f t="shared" si="366"/>
        <v>133100</v>
      </c>
      <c r="CC160" s="128">
        <f t="shared" si="359"/>
        <v>133100</v>
      </c>
      <c r="CD160" s="130">
        <f t="shared" si="395"/>
        <v>4.2999999999999997E-2</v>
      </c>
      <c r="CE160" s="128">
        <f t="shared" si="396"/>
        <v>137392.47499999998</v>
      </c>
      <c r="CF160" s="128" t="str">
        <f t="shared" si="397"/>
        <v>nie</v>
      </c>
      <c r="CG160" s="128">
        <f t="shared" si="398"/>
        <v>2662</v>
      </c>
      <c r="CH160" s="128">
        <f t="shared" si="369"/>
        <v>134420.68474999999</v>
      </c>
      <c r="CI160" s="128">
        <f t="shared" si="399"/>
        <v>0</v>
      </c>
      <c r="CJ160" s="130">
        <f t="shared" si="277"/>
        <v>4.2500000000000003E-2</v>
      </c>
      <c r="CK160" s="128">
        <f t="shared" si="400"/>
        <v>5637.1551701321223</v>
      </c>
      <c r="CL160" s="128">
        <f t="shared" si="401"/>
        <v>140057.8399201321</v>
      </c>
      <c r="CN160" s="127">
        <f t="shared" si="446"/>
        <v>1000</v>
      </c>
      <c r="CO160" s="128">
        <f t="shared" si="447"/>
        <v>100000</v>
      </c>
      <c r="CP160" s="128">
        <f t="shared" si="342"/>
        <v>100000</v>
      </c>
      <c r="CQ160" s="128">
        <f t="shared" si="448"/>
        <v>153657.64733335812</v>
      </c>
      <c r="CR160" s="130">
        <f t="shared" si="402"/>
        <v>4.8000000000000001E-2</v>
      </c>
      <c r="CS160" s="128">
        <f t="shared" si="403"/>
        <v>159189.32263735903</v>
      </c>
      <c r="CT160" s="128" t="str">
        <f t="shared" si="404"/>
        <v>nie</v>
      </c>
      <c r="CU160" s="128">
        <f t="shared" si="405"/>
        <v>3000</v>
      </c>
      <c r="CV160" s="128">
        <f t="shared" si="406"/>
        <v>145513.35133626082</v>
      </c>
      <c r="CW160" s="128">
        <f t="shared" si="285"/>
        <v>0</v>
      </c>
      <c r="CX160" s="130">
        <f t="shared" si="407"/>
        <v>4.2500000000000003E-2</v>
      </c>
      <c r="CY160" s="128">
        <f t="shared" si="408"/>
        <v>0</v>
      </c>
      <c r="CZ160" s="128">
        <f t="shared" si="409"/>
        <v>145513.35133626082</v>
      </c>
      <c r="DA160" s="20"/>
      <c r="DB160" s="127">
        <f t="shared" si="350"/>
        <v>1267</v>
      </c>
      <c r="DC160" s="128">
        <f t="shared" si="351"/>
        <v>126700</v>
      </c>
      <c r="DD160" s="128">
        <f t="shared" si="344"/>
        <v>126700</v>
      </c>
      <c r="DE160" s="128">
        <f t="shared" si="449"/>
        <v>146391.18287360002</v>
      </c>
      <c r="DF160" s="130">
        <f t="shared" si="410"/>
        <v>4.8000000000000001E-2</v>
      </c>
      <c r="DG160" s="128">
        <f t="shared" si="411"/>
        <v>151661.26545704962</v>
      </c>
      <c r="DH160" s="128" t="str">
        <f t="shared" si="412"/>
        <v>nie</v>
      </c>
      <c r="DI160" s="128">
        <f t="shared" si="413"/>
        <v>2534</v>
      </c>
      <c r="DJ160" s="128">
        <f t="shared" si="355"/>
        <v>144866.08502021019</v>
      </c>
      <c r="DK160" s="128">
        <f t="shared" si="294"/>
        <v>0</v>
      </c>
      <c r="DL160" s="130">
        <f t="shared" si="414"/>
        <v>4.2500000000000003E-2</v>
      </c>
      <c r="DM160" s="128">
        <f t="shared" si="415"/>
        <v>25.806777253347136</v>
      </c>
      <c r="DN160" s="128">
        <f t="shared" si="416"/>
        <v>144891.89179746353</v>
      </c>
      <c r="DP160" s="127">
        <f t="shared" si="352"/>
        <v>1000</v>
      </c>
      <c r="DQ160" s="128">
        <f t="shared" si="353"/>
        <v>100000</v>
      </c>
      <c r="DR160" s="128">
        <f t="shared" si="346"/>
        <v>100000</v>
      </c>
      <c r="DS160" s="128">
        <f t="shared" si="450"/>
        <v>159999.20761184281</v>
      </c>
      <c r="DT160" s="130">
        <f t="shared" si="417"/>
        <v>5.3000000000000005E-2</v>
      </c>
      <c r="DU160" s="128">
        <f t="shared" si="418"/>
        <v>166359.17611441354</v>
      </c>
      <c r="DV160" s="128" t="str">
        <f t="shared" si="419"/>
        <v>nie</v>
      </c>
      <c r="DW160" s="128">
        <f t="shared" si="420"/>
        <v>3000</v>
      </c>
      <c r="DX160" s="128">
        <f t="shared" si="302"/>
        <v>151320.93265267496</v>
      </c>
      <c r="DY160" s="128">
        <f t="shared" si="303"/>
        <v>0</v>
      </c>
      <c r="DZ160" s="130">
        <f t="shared" si="421"/>
        <v>4.2500000000000003E-2</v>
      </c>
      <c r="EA160" s="128">
        <f t="shared" si="422"/>
        <v>0</v>
      </c>
      <c r="EB160" s="128">
        <f t="shared" si="423"/>
        <v>151320.93265267496</v>
      </c>
    </row>
    <row r="161" spans="1:132">
      <c r="A161" s="224"/>
      <c r="B161" s="188">
        <f t="shared" si="424"/>
        <v>117</v>
      </c>
      <c r="C161" s="128">
        <f t="shared" si="425"/>
        <v>144813.88079571314</v>
      </c>
      <c r="D161" s="128">
        <f t="shared" si="426"/>
        <v>142958.37040805325</v>
      </c>
      <c r="E161" s="128">
        <f t="shared" si="427"/>
        <v>143111.64236839241</v>
      </c>
      <c r="F161" s="128">
        <f t="shared" si="428"/>
        <v>140057.8399201321</v>
      </c>
      <c r="G161" s="128">
        <f t="shared" si="429"/>
        <v>145513.35133626082</v>
      </c>
      <c r="H161" s="128">
        <f t="shared" si="430"/>
        <v>144891.89179746353</v>
      </c>
      <c r="I161" s="128">
        <f t="shared" si="431"/>
        <v>151320.93265267496</v>
      </c>
      <c r="J161" s="128">
        <f t="shared" si="432"/>
        <v>139816.85893366949</v>
      </c>
      <c r="K161" s="128">
        <f t="shared" si="433"/>
        <v>130907.27242370462</v>
      </c>
      <c r="M161" s="36"/>
      <c r="N161" s="32">
        <f t="shared" si="434"/>
        <v>117</v>
      </c>
      <c r="O161" s="25">
        <f t="shared" si="318"/>
        <v>0.44813880795713135</v>
      </c>
      <c r="P161" s="25">
        <f t="shared" si="319"/>
        <v>0.42958370408053237</v>
      </c>
      <c r="Q161" s="25">
        <f t="shared" si="320"/>
        <v>0.431116423683924</v>
      </c>
      <c r="R161" s="25">
        <f t="shared" si="370"/>
        <v>0.40057839920132099</v>
      </c>
      <c r="S161" s="25">
        <f t="shared" si="371"/>
        <v>0.45513351336260821</v>
      </c>
      <c r="T161" s="25">
        <f t="shared" si="372"/>
        <v>0.44891891797463535</v>
      </c>
      <c r="U161" s="25">
        <f t="shared" si="373"/>
        <v>0.51320932652674967</v>
      </c>
      <c r="V161" s="25">
        <f t="shared" si="374"/>
        <v>0.39816858933669486</v>
      </c>
      <c r="W161" s="25">
        <f t="shared" si="375"/>
        <v>0.30907272423704613</v>
      </c>
      <c r="X161" s="36"/>
      <c r="Y161" s="36"/>
      <c r="AA161" s="124">
        <f t="shared" si="321"/>
        <v>118</v>
      </c>
      <c r="AB161" s="128">
        <f t="shared" si="376"/>
        <v>131206.4402026684</v>
      </c>
      <c r="AC161" s="124">
        <f t="shared" si="322"/>
        <v>118</v>
      </c>
      <c r="AD161" s="130">
        <f t="shared" si="435"/>
        <v>4.2500000000000003E-2</v>
      </c>
      <c r="AE161" s="127">
        <f t="shared" si="436"/>
        <v>1416</v>
      </c>
      <c r="AF161" s="128">
        <f t="shared" si="437"/>
        <v>141463.30000000002</v>
      </c>
      <c r="AG161" s="128">
        <f t="shared" si="348"/>
        <v>141600</v>
      </c>
      <c r="AH161" s="128">
        <f t="shared" si="357"/>
        <v>141600</v>
      </c>
      <c r="AI161" s="130">
        <f t="shared" si="377"/>
        <v>4.2500000000000003E-2</v>
      </c>
      <c r="AJ161" s="128">
        <f t="shared" si="378"/>
        <v>142101.50000000003</v>
      </c>
      <c r="AK161" s="128" t="str">
        <f t="shared" si="379"/>
        <v>nie</v>
      </c>
      <c r="AL161" s="128">
        <f t="shared" si="380"/>
        <v>708</v>
      </c>
      <c r="AM161" s="128">
        <f t="shared" si="361"/>
        <v>141432.73500000002</v>
      </c>
      <c r="AN161" s="128">
        <f t="shared" si="381"/>
        <v>406.21500000002362</v>
      </c>
      <c r="AO161" s="130">
        <f t="shared" si="382"/>
        <v>4.2500000000000003E-2</v>
      </c>
      <c r="AP161" s="128">
        <f t="shared" si="383"/>
        <v>4204.4407869958659</v>
      </c>
      <c r="AQ161" s="128">
        <f t="shared" si="362"/>
        <v>145230.96078699586</v>
      </c>
      <c r="AS161" s="124">
        <f t="shared" si="327"/>
        <v>118</v>
      </c>
      <c r="AT161" s="130">
        <f t="shared" si="328"/>
        <v>4.2500000000000003E-2</v>
      </c>
      <c r="AU161" s="127">
        <f t="shared" si="438"/>
        <v>1350</v>
      </c>
      <c r="AV161" s="128">
        <f t="shared" si="439"/>
        <v>134874.40000000002</v>
      </c>
      <c r="AW161" s="128">
        <f t="shared" si="363"/>
        <v>135000</v>
      </c>
      <c r="AX161" s="128">
        <f t="shared" si="358"/>
        <v>135000</v>
      </c>
      <c r="AY161" s="130">
        <f t="shared" si="384"/>
        <v>4.4000000000000004E-2</v>
      </c>
      <c r="AZ161" s="128">
        <f t="shared" si="385"/>
        <v>135495</v>
      </c>
      <c r="BA161" s="128" t="str">
        <f t="shared" si="386"/>
        <v>nie</v>
      </c>
      <c r="BB161" s="128">
        <f t="shared" si="387"/>
        <v>944.99999999999989</v>
      </c>
      <c r="BC161" s="128">
        <f t="shared" si="367"/>
        <v>134635.5</v>
      </c>
      <c r="BD161" s="128">
        <f t="shared" si="388"/>
        <v>400.95000000000005</v>
      </c>
      <c r="BE161" s="130">
        <f t="shared" si="264"/>
        <v>4.2500000000000003E-2</v>
      </c>
      <c r="BF161" s="128">
        <f t="shared" si="389"/>
        <v>9149.7968678488651</v>
      </c>
      <c r="BG161" s="128">
        <f t="shared" si="368"/>
        <v>143384.34686784886</v>
      </c>
      <c r="BI161" s="124">
        <f t="shared" si="332"/>
        <v>118</v>
      </c>
      <c r="BJ161" s="130">
        <f t="shared" si="451"/>
        <v>4.1300000000000003E-2</v>
      </c>
      <c r="BK161" s="127">
        <f t="shared" si="440"/>
        <v>1401</v>
      </c>
      <c r="BL161" s="128">
        <f t="shared" si="441"/>
        <v>139959.9</v>
      </c>
      <c r="BM161" s="128">
        <f t="shared" si="349"/>
        <v>140100</v>
      </c>
      <c r="BN161" s="128">
        <f t="shared" si="442"/>
        <v>140100</v>
      </c>
      <c r="BO161" s="130">
        <f t="shared" si="390"/>
        <v>4.65E-2</v>
      </c>
      <c r="BP161" s="128">
        <f t="shared" si="391"/>
        <v>145528.875</v>
      </c>
      <c r="BQ161" s="128" t="str">
        <f t="shared" si="392"/>
        <v>nie</v>
      </c>
      <c r="BR161" s="128">
        <f t="shared" si="393"/>
        <v>1401</v>
      </c>
      <c r="BS161" s="128">
        <f t="shared" si="364"/>
        <v>143362.57874999999</v>
      </c>
      <c r="BT161" s="128">
        <f t="shared" si="443"/>
        <v>0</v>
      </c>
      <c r="BU161" s="130">
        <f t="shared" si="394"/>
        <v>4.2500000000000003E-2</v>
      </c>
      <c r="BV161" s="128">
        <f t="shared" si="271"/>
        <v>189.34412054533527</v>
      </c>
      <c r="BW161" s="128">
        <f t="shared" si="365"/>
        <v>143551.92287054533</v>
      </c>
      <c r="BY161" s="130">
        <f t="shared" si="452"/>
        <v>2.8000000000000001E-2</v>
      </c>
      <c r="BZ161" s="127">
        <f t="shared" si="444"/>
        <v>1331</v>
      </c>
      <c r="CA161" s="128">
        <f t="shared" si="445"/>
        <v>132980.5</v>
      </c>
      <c r="CB161" s="128">
        <f t="shared" si="366"/>
        <v>133100</v>
      </c>
      <c r="CC161" s="128">
        <f t="shared" si="359"/>
        <v>133100</v>
      </c>
      <c r="CD161" s="130">
        <f t="shared" si="395"/>
        <v>4.2999999999999997E-2</v>
      </c>
      <c r="CE161" s="128">
        <f t="shared" si="396"/>
        <v>137869.41666666669</v>
      </c>
      <c r="CF161" s="128" t="str">
        <f t="shared" si="397"/>
        <v>nie</v>
      </c>
      <c r="CG161" s="128">
        <f t="shared" si="398"/>
        <v>2662</v>
      </c>
      <c r="CH161" s="128">
        <f t="shared" si="369"/>
        <v>134807.00750000001</v>
      </c>
      <c r="CI161" s="128">
        <f t="shared" si="399"/>
        <v>0</v>
      </c>
      <c r="CJ161" s="130">
        <f t="shared" si="277"/>
        <v>4.2500000000000003E-2</v>
      </c>
      <c r="CK161" s="128">
        <f t="shared" si="400"/>
        <v>5653.3267590264386</v>
      </c>
      <c r="CL161" s="128">
        <f t="shared" si="401"/>
        <v>140460.33425902645</v>
      </c>
      <c r="CN161" s="127">
        <f t="shared" si="446"/>
        <v>1000</v>
      </c>
      <c r="CO161" s="128">
        <f t="shared" si="447"/>
        <v>100000</v>
      </c>
      <c r="CP161" s="128">
        <f t="shared" si="342"/>
        <v>100000</v>
      </c>
      <c r="CQ161" s="128">
        <f t="shared" si="448"/>
        <v>153657.64733335812</v>
      </c>
      <c r="CR161" s="130">
        <f t="shared" si="402"/>
        <v>4.8000000000000001E-2</v>
      </c>
      <c r="CS161" s="128">
        <f t="shared" si="403"/>
        <v>159803.95322669245</v>
      </c>
      <c r="CT161" s="128" t="str">
        <f t="shared" si="404"/>
        <v>nie</v>
      </c>
      <c r="CU161" s="128">
        <f t="shared" si="405"/>
        <v>3000</v>
      </c>
      <c r="CV161" s="128">
        <f t="shared" si="406"/>
        <v>146011.20211362088</v>
      </c>
      <c r="CW161" s="128">
        <f t="shared" si="285"/>
        <v>0</v>
      </c>
      <c r="CX161" s="130">
        <f t="shared" si="407"/>
        <v>4.2500000000000003E-2</v>
      </c>
      <c r="CY161" s="128">
        <f t="shared" si="408"/>
        <v>0</v>
      </c>
      <c r="CZ161" s="128">
        <f t="shared" si="409"/>
        <v>146011.20211362088</v>
      </c>
      <c r="DA161" s="20"/>
      <c r="DB161" s="127">
        <f t="shared" si="350"/>
        <v>1267</v>
      </c>
      <c r="DC161" s="128">
        <f t="shared" si="351"/>
        <v>126700</v>
      </c>
      <c r="DD161" s="128">
        <f t="shared" si="344"/>
        <v>126700</v>
      </c>
      <c r="DE161" s="128">
        <f t="shared" si="449"/>
        <v>146391.18287360002</v>
      </c>
      <c r="DF161" s="130">
        <f t="shared" si="410"/>
        <v>4.8000000000000001E-2</v>
      </c>
      <c r="DG161" s="128">
        <f t="shared" si="411"/>
        <v>152246.83018854403</v>
      </c>
      <c r="DH161" s="128" t="str">
        <f t="shared" si="412"/>
        <v>nie</v>
      </c>
      <c r="DI161" s="128">
        <f t="shared" si="413"/>
        <v>2534</v>
      </c>
      <c r="DJ161" s="128">
        <f t="shared" si="355"/>
        <v>145340.39245272067</v>
      </c>
      <c r="DK161" s="128">
        <f t="shared" si="294"/>
        <v>0</v>
      </c>
      <c r="DL161" s="130">
        <f t="shared" si="414"/>
        <v>4.2500000000000003E-2</v>
      </c>
      <c r="DM161" s="128">
        <f t="shared" si="415"/>
        <v>25.880810445592676</v>
      </c>
      <c r="DN161" s="128">
        <f t="shared" si="416"/>
        <v>145366.27326316625</v>
      </c>
      <c r="DP161" s="127">
        <f t="shared" si="352"/>
        <v>1000</v>
      </c>
      <c r="DQ161" s="128">
        <f t="shared" si="353"/>
        <v>100000</v>
      </c>
      <c r="DR161" s="128">
        <f t="shared" si="346"/>
        <v>100000</v>
      </c>
      <c r="DS161" s="128">
        <f t="shared" si="450"/>
        <v>159999.20761184281</v>
      </c>
      <c r="DT161" s="130">
        <f t="shared" si="417"/>
        <v>5.3000000000000005E-2</v>
      </c>
      <c r="DU161" s="128">
        <f t="shared" si="418"/>
        <v>167065.83928136586</v>
      </c>
      <c r="DV161" s="128" t="str">
        <f t="shared" si="419"/>
        <v>nie</v>
      </c>
      <c r="DW161" s="128">
        <f t="shared" si="420"/>
        <v>3000</v>
      </c>
      <c r="DX161" s="128">
        <f t="shared" si="302"/>
        <v>151893.32981790634</v>
      </c>
      <c r="DY161" s="128">
        <f t="shared" si="303"/>
        <v>0</v>
      </c>
      <c r="DZ161" s="130">
        <f t="shared" si="421"/>
        <v>4.2500000000000003E-2</v>
      </c>
      <c r="EA161" s="128">
        <f t="shared" si="422"/>
        <v>0</v>
      </c>
      <c r="EB161" s="128">
        <f t="shared" si="423"/>
        <v>151893.32981790634</v>
      </c>
    </row>
    <row r="162" spans="1:132">
      <c r="A162" s="224"/>
      <c r="B162" s="188">
        <f t="shared" si="424"/>
        <v>118</v>
      </c>
      <c r="C162" s="128">
        <f t="shared" si="425"/>
        <v>145230.96078699586</v>
      </c>
      <c r="D162" s="128">
        <f t="shared" si="426"/>
        <v>143384.34686784886</v>
      </c>
      <c r="E162" s="128">
        <f t="shared" si="427"/>
        <v>143551.92287054533</v>
      </c>
      <c r="F162" s="128">
        <f t="shared" si="428"/>
        <v>140460.33425902645</v>
      </c>
      <c r="G162" s="128">
        <f t="shared" si="429"/>
        <v>146011.20211362088</v>
      </c>
      <c r="H162" s="128">
        <f t="shared" si="430"/>
        <v>145366.27326316625</v>
      </c>
      <c r="I162" s="128">
        <f t="shared" si="431"/>
        <v>151893.32981790634</v>
      </c>
      <c r="J162" s="128">
        <f t="shared" si="432"/>
        <v>140217.95854773544</v>
      </c>
      <c r="K162" s="128">
        <f t="shared" si="433"/>
        <v>131206.4402026684</v>
      </c>
      <c r="M162" s="36"/>
      <c r="N162" s="32">
        <f t="shared" si="434"/>
        <v>118</v>
      </c>
      <c r="O162" s="25">
        <f t="shared" si="318"/>
        <v>0.45230960786995866</v>
      </c>
      <c r="P162" s="25">
        <f t="shared" si="319"/>
        <v>0.43384346867848866</v>
      </c>
      <c r="Q162" s="25">
        <f t="shared" si="320"/>
        <v>0.43551922870545323</v>
      </c>
      <c r="R162" s="25">
        <f t="shared" si="370"/>
        <v>0.40460334259026443</v>
      </c>
      <c r="S162" s="25">
        <f t="shared" si="371"/>
        <v>0.46011202113620886</v>
      </c>
      <c r="T162" s="25">
        <f t="shared" si="372"/>
        <v>0.45366273263166246</v>
      </c>
      <c r="U162" s="25">
        <f t="shared" si="373"/>
        <v>0.51893329817906353</v>
      </c>
      <c r="V162" s="25">
        <f t="shared" si="374"/>
        <v>0.40217958547735444</v>
      </c>
      <c r="W162" s="25">
        <f t="shared" si="375"/>
        <v>0.31206440202668406</v>
      </c>
      <c r="X162" s="36"/>
      <c r="Y162" s="36"/>
      <c r="AA162" s="124">
        <f t="shared" si="321"/>
        <v>119</v>
      </c>
      <c r="AB162" s="128">
        <f t="shared" si="376"/>
        <v>131505.60798163211</v>
      </c>
      <c r="AC162" s="124">
        <f t="shared" si="322"/>
        <v>119</v>
      </c>
      <c r="AD162" s="130">
        <f t="shared" si="435"/>
        <v>4.2500000000000003E-2</v>
      </c>
      <c r="AE162" s="127">
        <f t="shared" si="436"/>
        <v>1416</v>
      </c>
      <c r="AF162" s="128">
        <f t="shared" si="437"/>
        <v>141463.30000000002</v>
      </c>
      <c r="AG162" s="128">
        <f t="shared" si="348"/>
        <v>141600</v>
      </c>
      <c r="AH162" s="128">
        <f t="shared" si="357"/>
        <v>141600</v>
      </c>
      <c r="AI162" s="130">
        <f t="shared" si="377"/>
        <v>4.2500000000000003E-2</v>
      </c>
      <c r="AJ162" s="128">
        <f t="shared" si="378"/>
        <v>142101.50000000003</v>
      </c>
      <c r="AK162" s="128" t="str">
        <f t="shared" si="379"/>
        <v>nie</v>
      </c>
      <c r="AL162" s="128">
        <f t="shared" si="380"/>
        <v>708</v>
      </c>
      <c r="AM162" s="128">
        <f t="shared" si="361"/>
        <v>141432.73500000002</v>
      </c>
      <c r="AN162" s="128">
        <f t="shared" si="381"/>
        <v>406.21500000002362</v>
      </c>
      <c r="AO162" s="130">
        <f t="shared" si="382"/>
        <v>4.2500000000000003E-2</v>
      </c>
      <c r="AP162" s="128">
        <f t="shared" si="383"/>
        <v>4622.7172765035839</v>
      </c>
      <c r="AQ162" s="128">
        <f t="shared" si="362"/>
        <v>145649.23727650358</v>
      </c>
      <c r="AS162" s="124">
        <f t="shared" si="327"/>
        <v>119</v>
      </c>
      <c r="AT162" s="130">
        <f t="shared" si="328"/>
        <v>4.2500000000000003E-2</v>
      </c>
      <c r="AU162" s="127">
        <f t="shared" si="438"/>
        <v>1350</v>
      </c>
      <c r="AV162" s="128">
        <f t="shared" si="439"/>
        <v>134874.40000000002</v>
      </c>
      <c r="AW162" s="128">
        <f t="shared" si="363"/>
        <v>135000</v>
      </c>
      <c r="AX162" s="128">
        <f t="shared" si="358"/>
        <v>135000</v>
      </c>
      <c r="AY162" s="130">
        <f t="shared" si="384"/>
        <v>4.4000000000000004E-2</v>
      </c>
      <c r="AZ162" s="128">
        <f t="shared" si="385"/>
        <v>135495</v>
      </c>
      <c r="BA162" s="128" t="str">
        <f t="shared" si="386"/>
        <v>nie</v>
      </c>
      <c r="BB162" s="128">
        <f t="shared" si="387"/>
        <v>944.99999999999989</v>
      </c>
      <c r="BC162" s="128">
        <f t="shared" si="367"/>
        <v>134635.5</v>
      </c>
      <c r="BD162" s="128">
        <f t="shared" si="388"/>
        <v>400.95000000000005</v>
      </c>
      <c r="BE162" s="130">
        <f t="shared" si="264"/>
        <v>4.2500000000000003E-2</v>
      </c>
      <c r="BF162" s="128">
        <f t="shared" si="389"/>
        <v>9576.995347613507</v>
      </c>
      <c r="BG162" s="128">
        <f t="shared" si="368"/>
        <v>143811.54534761352</v>
      </c>
      <c r="BI162" s="124">
        <f t="shared" si="332"/>
        <v>119</v>
      </c>
      <c r="BJ162" s="130">
        <f t="shared" si="451"/>
        <v>4.1300000000000003E-2</v>
      </c>
      <c r="BK162" s="127">
        <f t="shared" si="440"/>
        <v>1401</v>
      </c>
      <c r="BL162" s="128">
        <f t="shared" si="441"/>
        <v>139959.9</v>
      </c>
      <c r="BM162" s="128">
        <f t="shared" si="349"/>
        <v>140100</v>
      </c>
      <c r="BN162" s="128">
        <f t="shared" si="442"/>
        <v>140100</v>
      </c>
      <c r="BO162" s="130">
        <f t="shared" si="390"/>
        <v>4.65E-2</v>
      </c>
      <c r="BP162" s="128">
        <f t="shared" si="391"/>
        <v>146071.76249999998</v>
      </c>
      <c r="BQ162" s="128" t="str">
        <f t="shared" si="392"/>
        <v>nie</v>
      </c>
      <c r="BR162" s="128">
        <f t="shared" si="393"/>
        <v>1401</v>
      </c>
      <c r="BS162" s="128">
        <f t="shared" si="364"/>
        <v>143802.317625</v>
      </c>
      <c r="BT162" s="128">
        <f t="shared" si="443"/>
        <v>0</v>
      </c>
      <c r="BU162" s="130">
        <f t="shared" si="394"/>
        <v>4.2500000000000003E-2</v>
      </c>
      <c r="BV162" s="128">
        <f t="shared" si="271"/>
        <v>189.88730149114969</v>
      </c>
      <c r="BW162" s="128">
        <f t="shared" si="365"/>
        <v>143992.20492649113</v>
      </c>
      <c r="BY162" s="130">
        <f t="shared" si="452"/>
        <v>2.8000000000000001E-2</v>
      </c>
      <c r="BZ162" s="127">
        <f t="shared" si="444"/>
        <v>1331</v>
      </c>
      <c r="CA162" s="128">
        <f t="shared" si="445"/>
        <v>132980.5</v>
      </c>
      <c r="CB162" s="128">
        <f t="shared" si="366"/>
        <v>133100</v>
      </c>
      <c r="CC162" s="128">
        <f t="shared" si="359"/>
        <v>133100</v>
      </c>
      <c r="CD162" s="130">
        <f t="shared" si="395"/>
        <v>4.2999999999999997E-2</v>
      </c>
      <c r="CE162" s="128">
        <f t="shared" si="396"/>
        <v>138346.35833333334</v>
      </c>
      <c r="CF162" s="128" t="str">
        <f t="shared" si="397"/>
        <v>nie</v>
      </c>
      <c r="CG162" s="128">
        <f t="shared" si="398"/>
        <v>2662</v>
      </c>
      <c r="CH162" s="128">
        <f t="shared" si="369"/>
        <v>135193.33025</v>
      </c>
      <c r="CI162" s="128">
        <f t="shared" si="399"/>
        <v>0</v>
      </c>
      <c r="CJ162" s="130">
        <f t="shared" si="277"/>
        <v>4.2500000000000003E-2</v>
      </c>
      <c r="CK162" s="128">
        <f t="shared" si="400"/>
        <v>5669.544740166396</v>
      </c>
      <c r="CL162" s="128">
        <f t="shared" si="401"/>
        <v>140862.8749901664</v>
      </c>
      <c r="CN162" s="127">
        <f t="shared" si="446"/>
        <v>1000</v>
      </c>
      <c r="CO162" s="128">
        <f t="shared" si="447"/>
        <v>100000</v>
      </c>
      <c r="CP162" s="128">
        <f t="shared" si="342"/>
        <v>100000</v>
      </c>
      <c r="CQ162" s="128">
        <f t="shared" si="448"/>
        <v>153657.64733335812</v>
      </c>
      <c r="CR162" s="130">
        <f t="shared" si="402"/>
        <v>4.8000000000000001E-2</v>
      </c>
      <c r="CS162" s="128">
        <f t="shared" si="403"/>
        <v>160418.5838160259</v>
      </c>
      <c r="CT162" s="128" t="str">
        <f t="shared" si="404"/>
        <v>nie</v>
      </c>
      <c r="CU162" s="128">
        <f t="shared" si="405"/>
        <v>3000</v>
      </c>
      <c r="CV162" s="128">
        <f t="shared" si="406"/>
        <v>146509.05289098097</v>
      </c>
      <c r="CW162" s="128">
        <f t="shared" si="285"/>
        <v>0</v>
      </c>
      <c r="CX162" s="130">
        <f t="shared" si="407"/>
        <v>4.2500000000000003E-2</v>
      </c>
      <c r="CY162" s="128">
        <f t="shared" si="408"/>
        <v>0</v>
      </c>
      <c r="CZ162" s="128">
        <f t="shared" si="409"/>
        <v>146509.05289098097</v>
      </c>
      <c r="DA162" s="20"/>
      <c r="DB162" s="127">
        <f t="shared" si="350"/>
        <v>1267</v>
      </c>
      <c r="DC162" s="128">
        <f t="shared" si="351"/>
        <v>126700</v>
      </c>
      <c r="DD162" s="128">
        <f t="shared" si="344"/>
        <v>126700</v>
      </c>
      <c r="DE162" s="128">
        <f t="shared" si="449"/>
        <v>146391.18287360002</v>
      </c>
      <c r="DF162" s="130">
        <f t="shared" si="410"/>
        <v>4.8000000000000001E-2</v>
      </c>
      <c r="DG162" s="128">
        <f t="shared" si="411"/>
        <v>152832.39492003844</v>
      </c>
      <c r="DH162" s="128" t="str">
        <f t="shared" si="412"/>
        <v>nie</v>
      </c>
      <c r="DI162" s="128">
        <f t="shared" si="413"/>
        <v>2534</v>
      </c>
      <c r="DJ162" s="128">
        <f t="shared" si="355"/>
        <v>145814.69988523112</v>
      </c>
      <c r="DK162" s="128">
        <f t="shared" si="294"/>
        <v>0</v>
      </c>
      <c r="DL162" s="130">
        <f t="shared" si="414"/>
        <v>4.2500000000000003E-2</v>
      </c>
      <c r="DM162" s="128">
        <f t="shared" si="415"/>
        <v>25.955056020558469</v>
      </c>
      <c r="DN162" s="128">
        <f t="shared" si="416"/>
        <v>145840.65494125168</v>
      </c>
      <c r="DP162" s="127">
        <f t="shared" si="352"/>
        <v>1000</v>
      </c>
      <c r="DQ162" s="128">
        <f t="shared" si="353"/>
        <v>100000</v>
      </c>
      <c r="DR162" s="128">
        <f t="shared" si="346"/>
        <v>100000</v>
      </c>
      <c r="DS162" s="128">
        <f t="shared" si="450"/>
        <v>159999.20761184281</v>
      </c>
      <c r="DT162" s="130">
        <f t="shared" si="417"/>
        <v>5.3000000000000005E-2</v>
      </c>
      <c r="DU162" s="128">
        <f t="shared" si="418"/>
        <v>167772.50244831818</v>
      </c>
      <c r="DV162" s="128" t="str">
        <f t="shared" si="419"/>
        <v>nie</v>
      </c>
      <c r="DW162" s="128">
        <f t="shared" si="420"/>
        <v>3000</v>
      </c>
      <c r="DX162" s="128">
        <f t="shared" si="302"/>
        <v>152465.72698313772</v>
      </c>
      <c r="DY162" s="128">
        <f t="shared" si="303"/>
        <v>0</v>
      </c>
      <c r="DZ162" s="130">
        <f t="shared" si="421"/>
        <v>4.2500000000000003E-2</v>
      </c>
      <c r="EA162" s="128">
        <f t="shared" si="422"/>
        <v>0</v>
      </c>
      <c r="EB162" s="128">
        <f t="shared" si="423"/>
        <v>152465.72698313772</v>
      </c>
    </row>
    <row r="163" spans="1:132" ht="14.25" customHeight="1">
      <c r="A163" s="224"/>
      <c r="B163" s="188">
        <f t="shared" si="424"/>
        <v>119</v>
      </c>
      <c r="C163" s="128">
        <f t="shared" si="425"/>
        <v>145649.23727650358</v>
      </c>
      <c r="D163" s="128">
        <f t="shared" si="426"/>
        <v>143811.54534761352</v>
      </c>
      <c r="E163" s="128">
        <f t="shared" si="427"/>
        <v>143992.20492649113</v>
      </c>
      <c r="F163" s="128">
        <f t="shared" si="428"/>
        <v>140862.8749901664</v>
      </c>
      <c r="G163" s="128">
        <f t="shared" si="429"/>
        <v>146509.05289098097</v>
      </c>
      <c r="H163" s="128">
        <f t="shared" si="430"/>
        <v>145840.65494125168</v>
      </c>
      <c r="I163" s="128">
        <f t="shared" si="431"/>
        <v>152465.72698313772</v>
      </c>
      <c r="J163" s="128">
        <f t="shared" si="432"/>
        <v>140620.20881631927</v>
      </c>
      <c r="K163" s="128">
        <f t="shared" si="433"/>
        <v>131505.60798163211</v>
      </c>
      <c r="M163" s="36"/>
      <c r="N163" s="32">
        <f t="shared" si="434"/>
        <v>119</v>
      </c>
      <c r="O163" s="25">
        <f t="shared" si="318"/>
        <v>0.45649237276503585</v>
      </c>
      <c r="P163" s="25">
        <f t="shared" si="319"/>
        <v>0.43811545347613512</v>
      </c>
      <c r="Q163" s="25">
        <f t="shared" si="320"/>
        <v>0.43992204926491141</v>
      </c>
      <c r="R163" s="25">
        <f t="shared" si="370"/>
        <v>0.40862874990166387</v>
      </c>
      <c r="S163" s="25">
        <f t="shared" si="371"/>
        <v>0.46509052890980973</v>
      </c>
      <c r="T163" s="25">
        <f t="shared" si="372"/>
        <v>0.45840654941251668</v>
      </c>
      <c r="U163" s="25">
        <f t="shared" si="373"/>
        <v>0.52465726983137717</v>
      </c>
      <c r="V163" s="25">
        <f t="shared" si="374"/>
        <v>0.4062020881631927</v>
      </c>
      <c r="W163" s="25">
        <f t="shared" si="375"/>
        <v>0.31505607981632111</v>
      </c>
      <c r="X163" s="36"/>
      <c r="Y163" s="36"/>
      <c r="AA163" s="124">
        <f t="shared" si="321"/>
        <v>120</v>
      </c>
      <c r="AB163" s="128">
        <f t="shared" si="376"/>
        <v>131804.77576059586</v>
      </c>
      <c r="AC163" s="124">
        <f t="shared" si="322"/>
        <v>120</v>
      </c>
      <c r="AD163" s="130">
        <f t="shared" si="435"/>
        <v>4.2500000000000003E-2</v>
      </c>
      <c r="AE163" s="127">
        <f t="shared" si="436"/>
        <v>1416</v>
      </c>
      <c r="AF163" s="128">
        <f t="shared" si="437"/>
        <v>141463.30000000002</v>
      </c>
      <c r="AG163" s="128">
        <f t="shared" si="348"/>
        <v>141600</v>
      </c>
      <c r="AH163" s="128">
        <f t="shared" si="357"/>
        <v>141600</v>
      </c>
      <c r="AI163" s="130">
        <f t="shared" si="377"/>
        <v>4.2500000000000003E-2</v>
      </c>
      <c r="AJ163" s="128">
        <f t="shared" si="378"/>
        <v>142101.50000000003</v>
      </c>
      <c r="AK163" s="128" t="str">
        <f t="shared" si="379"/>
        <v>tak</v>
      </c>
      <c r="AL163" s="128">
        <f t="shared" si="380"/>
        <v>0</v>
      </c>
      <c r="AM163" s="128">
        <f t="shared" si="361"/>
        <v>142006.21500000003</v>
      </c>
      <c r="AN163" s="128">
        <f t="shared" si="381"/>
        <v>548.41500000001554</v>
      </c>
      <c r="AO163" s="130">
        <f t="shared" si="382"/>
        <v>4.2500000000000003E-2</v>
      </c>
      <c r="AP163" s="128">
        <f t="shared" si="383"/>
        <v>5184.3936966905685</v>
      </c>
      <c r="AQ163" s="128">
        <f t="shared" si="362"/>
        <v>146642.19369669058</v>
      </c>
      <c r="AS163" s="124">
        <f t="shared" si="327"/>
        <v>120</v>
      </c>
      <c r="AT163" s="130">
        <f t="shared" si="328"/>
        <v>4.2500000000000003E-2</v>
      </c>
      <c r="AU163" s="127">
        <f t="shared" si="438"/>
        <v>1350</v>
      </c>
      <c r="AV163" s="128">
        <f t="shared" si="439"/>
        <v>134874.40000000002</v>
      </c>
      <c r="AW163" s="128">
        <f t="shared" si="363"/>
        <v>135000</v>
      </c>
      <c r="AX163" s="128">
        <f t="shared" si="358"/>
        <v>135000</v>
      </c>
      <c r="AY163" s="130">
        <f t="shared" si="384"/>
        <v>4.4000000000000004E-2</v>
      </c>
      <c r="AZ163" s="128">
        <f t="shared" si="385"/>
        <v>135495</v>
      </c>
      <c r="BA163" s="128" t="str">
        <f t="shared" si="386"/>
        <v>tak</v>
      </c>
      <c r="BB163" s="128">
        <f t="shared" si="387"/>
        <v>0</v>
      </c>
      <c r="BC163" s="128">
        <f t="shared" si="367"/>
        <v>135400.95000000001</v>
      </c>
      <c r="BD163" s="128">
        <f t="shared" si="388"/>
        <v>536.54999999999234</v>
      </c>
      <c r="BE163" s="130">
        <f t="shared" si="264"/>
        <v>4.2500000000000003E-2</v>
      </c>
      <c r="BF163" s="128">
        <f t="shared" si="389"/>
        <v>10141.019353016965</v>
      </c>
      <c r="BG163" s="128">
        <f t="shared" si="368"/>
        <v>145005.41935301697</v>
      </c>
      <c r="BI163" s="124">
        <f t="shared" si="332"/>
        <v>120</v>
      </c>
      <c r="BJ163" s="130">
        <f t="shared" si="451"/>
        <v>4.1300000000000003E-2</v>
      </c>
      <c r="BK163" s="127">
        <f t="shared" si="440"/>
        <v>1401</v>
      </c>
      <c r="BL163" s="128">
        <f t="shared" si="441"/>
        <v>139959.9</v>
      </c>
      <c r="BM163" s="128">
        <f t="shared" si="349"/>
        <v>140100</v>
      </c>
      <c r="BN163" s="128">
        <f t="shared" si="442"/>
        <v>140100</v>
      </c>
      <c r="BO163" s="130">
        <f t="shared" si="390"/>
        <v>4.65E-2</v>
      </c>
      <c r="BP163" s="128">
        <f t="shared" si="391"/>
        <v>146614.65</v>
      </c>
      <c r="BQ163" s="128" t="str">
        <f t="shared" si="392"/>
        <v>nie</v>
      </c>
      <c r="BR163" s="128">
        <f t="shared" si="393"/>
        <v>1401</v>
      </c>
      <c r="BS163" s="128">
        <f t="shared" si="364"/>
        <v>144242.05650000001</v>
      </c>
      <c r="BT163" s="128">
        <f t="shared" si="443"/>
        <v>0</v>
      </c>
      <c r="BU163" s="130">
        <f t="shared" si="394"/>
        <v>4.2500000000000003E-2</v>
      </c>
      <c r="BV163" s="128">
        <f t="shared" si="271"/>
        <v>190.43204068730242</v>
      </c>
      <c r="BW163" s="128">
        <f t="shared" si="365"/>
        <v>144432.48854068731</v>
      </c>
      <c r="BY163" s="130">
        <f t="shared" si="452"/>
        <v>2.8000000000000001E-2</v>
      </c>
      <c r="BZ163" s="127">
        <f t="shared" si="444"/>
        <v>1331</v>
      </c>
      <c r="CA163" s="128">
        <f t="shared" si="445"/>
        <v>132980.5</v>
      </c>
      <c r="CB163" s="128">
        <f t="shared" si="366"/>
        <v>133100</v>
      </c>
      <c r="CC163" s="128">
        <f t="shared" si="359"/>
        <v>133100</v>
      </c>
      <c r="CD163" s="130">
        <f t="shared" si="395"/>
        <v>4.2999999999999997E-2</v>
      </c>
      <c r="CE163" s="128">
        <f t="shared" si="396"/>
        <v>138823.29999999999</v>
      </c>
      <c r="CF163" s="128" t="str">
        <f t="shared" si="397"/>
        <v>nie</v>
      </c>
      <c r="CG163" s="128">
        <f t="shared" si="398"/>
        <v>2662</v>
      </c>
      <c r="CH163" s="128">
        <f t="shared" si="369"/>
        <v>135579.65299999999</v>
      </c>
      <c r="CI163" s="128">
        <f t="shared" si="399"/>
        <v>4635.8729999999905</v>
      </c>
      <c r="CJ163" s="130">
        <f t="shared" si="277"/>
        <v>4.2500000000000003E-2</v>
      </c>
      <c r="CK163" s="128">
        <f t="shared" si="400"/>
        <v>10321.682246639739</v>
      </c>
      <c r="CL163" s="128">
        <f t="shared" si="401"/>
        <v>141265.46224663974</v>
      </c>
      <c r="CN163" s="127">
        <f t="shared" si="446"/>
        <v>1000</v>
      </c>
      <c r="CO163" s="128">
        <f t="shared" si="447"/>
        <v>100000</v>
      </c>
      <c r="CP163" s="128">
        <f t="shared" si="342"/>
        <v>100000</v>
      </c>
      <c r="CQ163" s="128">
        <f t="shared" si="448"/>
        <v>153657.64733335812</v>
      </c>
      <c r="CR163" s="130">
        <f t="shared" si="402"/>
        <v>4.8000000000000001E-2</v>
      </c>
      <c r="CS163" s="128">
        <f t="shared" si="403"/>
        <v>161033.21440535932</v>
      </c>
      <c r="CT163" s="128" t="str">
        <f t="shared" si="404"/>
        <v>tak</v>
      </c>
      <c r="CU163" s="128">
        <f t="shared" si="405"/>
        <v>0</v>
      </c>
      <c r="CV163" s="128">
        <f t="shared" si="406"/>
        <v>149436.90366834105</v>
      </c>
      <c r="CW163" s="128">
        <f t="shared" ref="CW163:CW186" si="453">IF(AND(CT163="tak",CO164&lt;&gt;""),
 CV163-CO164,
0)</f>
        <v>86.403668341052253</v>
      </c>
      <c r="CX163" s="130">
        <f t="shared" si="407"/>
        <v>4.2500000000000003E-2</v>
      </c>
      <c r="CY163" s="128">
        <f t="shared" si="408"/>
        <v>86.403668341052253</v>
      </c>
      <c r="CZ163" s="128">
        <f t="shared" si="409"/>
        <v>149436.90366834105</v>
      </c>
      <c r="DA163" s="20"/>
      <c r="DB163" s="127">
        <f t="shared" si="350"/>
        <v>1267</v>
      </c>
      <c r="DC163" s="128">
        <f t="shared" si="351"/>
        <v>126700</v>
      </c>
      <c r="DD163" s="128">
        <f t="shared" si="344"/>
        <v>126700</v>
      </c>
      <c r="DE163" s="128">
        <f t="shared" si="449"/>
        <v>146391.18287360002</v>
      </c>
      <c r="DF163" s="130">
        <f t="shared" si="410"/>
        <v>4.8000000000000001E-2</v>
      </c>
      <c r="DG163" s="128">
        <f t="shared" si="411"/>
        <v>153417.95965153282</v>
      </c>
      <c r="DH163" s="128" t="str">
        <f t="shared" si="412"/>
        <v>nie</v>
      </c>
      <c r="DI163" s="128">
        <f t="shared" si="413"/>
        <v>2534</v>
      </c>
      <c r="DJ163" s="128">
        <f t="shared" si="355"/>
        <v>146289.00731774158</v>
      </c>
      <c r="DK163" s="128">
        <f t="shared" ref="DK163:DK186" si="454">IF(AND(DH163="tak",DC164&lt;&gt;""),
 DJ163-DC164,
0)</f>
        <v>0</v>
      </c>
      <c r="DL163" s="130">
        <f t="shared" si="414"/>
        <v>4.2500000000000003E-2</v>
      </c>
      <c r="DM163" s="128">
        <f t="shared" si="415"/>
        <v>26.029514587517447</v>
      </c>
      <c r="DN163" s="128">
        <f t="shared" si="416"/>
        <v>146315.03683232909</v>
      </c>
      <c r="DP163" s="127">
        <f t="shared" si="352"/>
        <v>1000</v>
      </c>
      <c r="DQ163" s="128">
        <f t="shared" si="353"/>
        <v>100000</v>
      </c>
      <c r="DR163" s="128">
        <f t="shared" si="346"/>
        <v>100000</v>
      </c>
      <c r="DS163" s="128">
        <f t="shared" si="450"/>
        <v>159999.20761184281</v>
      </c>
      <c r="DT163" s="130">
        <f t="shared" si="417"/>
        <v>5.3000000000000005E-2</v>
      </c>
      <c r="DU163" s="128">
        <f t="shared" si="418"/>
        <v>168479.16561527047</v>
      </c>
      <c r="DV163" s="128" t="str">
        <f t="shared" si="419"/>
        <v>nie</v>
      </c>
      <c r="DW163" s="128">
        <f t="shared" si="420"/>
        <v>3000</v>
      </c>
      <c r="DX163" s="128">
        <f t="shared" si="302"/>
        <v>153038.12414836907</v>
      </c>
      <c r="DY163" s="128">
        <f t="shared" ref="DY163:DY186" si="455">IF(AND(DV163="tak",DQ164&lt;&gt;""),
 DX163-DQ164,
0)</f>
        <v>0</v>
      </c>
      <c r="DZ163" s="130">
        <f t="shared" si="421"/>
        <v>4.2500000000000003E-2</v>
      </c>
      <c r="EA163" s="128">
        <f t="shared" si="422"/>
        <v>0</v>
      </c>
      <c r="EB163" s="128">
        <f t="shared" si="423"/>
        <v>153038.12414836907</v>
      </c>
    </row>
    <row r="164" spans="1:132">
      <c r="A164" s="224"/>
      <c r="B164" s="188">
        <f t="shared" si="424"/>
        <v>120</v>
      </c>
      <c r="C164" s="128">
        <f t="shared" si="425"/>
        <v>146642.19369669058</v>
      </c>
      <c r="D164" s="128">
        <f t="shared" si="426"/>
        <v>145005.41935301697</v>
      </c>
      <c r="E164" s="128">
        <f t="shared" si="427"/>
        <v>144432.48854068731</v>
      </c>
      <c r="F164" s="128">
        <f t="shared" si="428"/>
        <v>141265.46224663974</v>
      </c>
      <c r="G164" s="128">
        <f t="shared" si="429"/>
        <v>149436.90366834105</v>
      </c>
      <c r="H164" s="128">
        <f t="shared" si="430"/>
        <v>146315.03683232909</v>
      </c>
      <c r="I164" s="128">
        <f t="shared" si="431"/>
        <v>153038.12414836907</v>
      </c>
      <c r="J164" s="128">
        <f t="shared" si="432"/>
        <v>141023.61304036109</v>
      </c>
      <c r="K164" s="128">
        <f t="shared" si="433"/>
        <v>131804.77576059586</v>
      </c>
      <c r="M164" s="36"/>
      <c r="N164" s="32">
        <f t="shared" si="434"/>
        <v>120</v>
      </c>
      <c r="O164" s="25">
        <f t="shared" si="318"/>
        <v>0.46642193696690581</v>
      </c>
      <c r="P164" s="25">
        <f t="shared" si="319"/>
        <v>0.45005419353016962</v>
      </c>
      <c r="Q164" s="25">
        <f t="shared" si="320"/>
        <v>0.44432488540687309</v>
      </c>
      <c r="R164" s="25">
        <f t="shared" si="370"/>
        <v>0.41265462246639739</v>
      </c>
      <c r="S164" s="25">
        <f t="shared" si="371"/>
        <v>0.49436903668341059</v>
      </c>
      <c r="T164" s="25">
        <f t="shared" si="372"/>
        <v>0.46315036832329093</v>
      </c>
      <c r="U164" s="25">
        <f t="shared" si="373"/>
        <v>0.53038124148369059</v>
      </c>
      <c r="V164" s="25">
        <f t="shared" si="374"/>
        <v>0.41023613040361084</v>
      </c>
      <c r="W164" s="25">
        <f t="shared" si="375"/>
        <v>0.3180477576059586</v>
      </c>
      <c r="X164" s="36"/>
      <c r="Y164" s="36"/>
      <c r="AA164" s="124">
        <f t="shared" si="321"/>
        <v>121</v>
      </c>
      <c r="AB164" s="128">
        <f t="shared" si="376"/>
        <v>132112.32023737059</v>
      </c>
      <c r="AC164" s="124">
        <f t="shared" si="322"/>
        <v>121</v>
      </c>
      <c r="AD164" s="130">
        <f t="shared" si="435"/>
        <v>4.2500000000000003E-2</v>
      </c>
      <c r="AE164" s="127">
        <f t="shared" si="436"/>
        <v>1472</v>
      </c>
      <c r="AF164" s="128">
        <f t="shared" si="437"/>
        <v>147057.9</v>
      </c>
      <c r="AG164" s="128">
        <f t="shared" si="348"/>
        <v>147200</v>
      </c>
      <c r="AH164" s="128">
        <f t="shared" si="357"/>
        <v>147200</v>
      </c>
      <c r="AI164" s="130">
        <f t="shared" si="377"/>
        <v>4.2500000000000003E-2</v>
      </c>
      <c r="AJ164" s="128">
        <f t="shared" si="378"/>
        <v>147721.33333333334</v>
      </c>
      <c r="AK164" s="128" t="str">
        <f t="shared" si="379"/>
        <v>nie</v>
      </c>
      <c r="AL164" s="128">
        <f t="shared" si="380"/>
        <v>521.33333333334303</v>
      </c>
      <c r="AM164" s="128">
        <f t="shared" si="361"/>
        <v>147200</v>
      </c>
      <c r="AN164" s="128">
        <f t="shared" si="381"/>
        <v>422.28000000000787</v>
      </c>
      <c r="AO164" s="130">
        <f t="shared" si="382"/>
        <v>4.2500000000000003E-2</v>
      </c>
      <c r="AP164" s="128">
        <f t="shared" si="383"/>
        <v>506.91580110795746</v>
      </c>
      <c r="AQ164" s="128">
        <f t="shared" si="362"/>
        <v>152399.26642610796</v>
      </c>
      <c r="AS164" s="124">
        <f t="shared" si="327"/>
        <v>121</v>
      </c>
      <c r="AT164" s="130">
        <f t="shared" si="328"/>
        <v>4.2500000000000003E-2</v>
      </c>
      <c r="AU164" s="127">
        <f t="shared" si="438"/>
        <v>1456</v>
      </c>
      <c r="AV164" s="128">
        <f t="shared" si="439"/>
        <v>145464.5</v>
      </c>
      <c r="AW164" s="128">
        <f t="shared" si="363"/>
        <v>145600</v>
      </c>
      <c r="AX164" s="128">
        <f t="shared" si="358"/>
        <v>145600</v>
      </c>
      <c r="AY164" s="130">
        <f t="shared" si="384"/>
        <v>4.3999999999999997E-2</v>
      </c>
      <c r="AZ164" s="128">
        <f t="shared" si="385"/>
        <v>146133.86666666667</v>
      </c>
      <c r="BA164" s="128" t="str">
        <f t="shared" si="386"/>
        <v>nie</v>
      </c>
      <c r="BB164" s="128">
        <f t="shared" si="387"/>
        <v>533.86666666666861</v>
      </c>
      <c r="BC164" s="128">
        <f t="shared" si="367"/>
        <v>145600</v>
      </c>
      <c r="BD164" s="128">
        <f t="shared" si="388"/>
        <v>432.43200000000161</v>
      </c>
      <c r="BE164" s="130">
        <f t="shared" si="264"/>
        <v>4.2500000000000003E-2</v>
      </c>
      <c r="BF164" s="128">
        <f t="shared" si="389"/>
        <v>473.56902728593445</v>
      </c>
      <c r="BG164" s="128">
        <f t="shared" si="368"/>
        <v>155770.11140228593</v>
      </c>
      <c r="BI164" s="124">
        <f t="shared" si="332"/>
        <v>121</v>
      </c>
      <c r="BJ164" s="130">
        <f t="shared" si="451"/>
        <v>4.1300000000000003E-2</v>
      </c>
      <c r="BK164" s="127">
        <f t="shared" si="440"/>
        <v>1401</v>
      </c>
      <c r="BL164" s="128">
        <f t="shared" si="441"/>
        <v>139959.9</v>
      </c>
      <c r="BM164" s="128">
        <f t="shared" si="349"/>
        <v>140100</v>
      </c>
      <c r="BN164" s="128">
        <f t="shared" si="442"/>
        <v>146614.65</v>
      </c>
      <c r="BO164" s="130">
        <f t="shared" si="390"/>
        <v>4.65E-2</v>
      </c>
      <c r="BP164" s="128">
        <f t="shared" si="391"/>
        <v>147182.78176874999</v>
      </c>
      <c r="BQ164" s="128" t="str">
        <f t="shared" si="392"/>
        <v>nie</v>
      </c>
      <c r="BR164" s="128">
        <f t="shared" si="393"/>
        <v>1401</v>
      </c>
      <c r="BS164" s="128">
        <f t="shared" si="364"/>
        <v>144702.2432326875</v>
      </c>
      <c r="BT164" s="128">
        <f>IF(AND(BQ164="tak",BL165&lt;&gt;""),
 BS164-BL165,
0)</f>
        <v>0</v>
      </c>
      <c r="BU164" s="130">
        <f t="shared" si="394"/>
        <v>4.2500000000000003E-2</v>
      </c>
      <c r="BV164" s="128">
        <f t="shared" si="271"/>
        <v>190.97834260402411</v>
      </c>
      <c r="BW164" s="128">
        <f t="shared" si="365"/>
        <v>144893.22157529154</v>
      </c>
      <c r="BY164" s="130">
        <f t="shared" si="452"/>
        <v>2.8000000000000001E-2</v>
      </c>
      <c r="BZ164" s="127">
        <f t="shared" si="444"/>
        <v>1331</v>
      </c>
      <c r="CA164" s="128">
        <f t="shared" si="445"/>
        <v>132980.5</v>
      </c>
      <c r="CB164" s="128">
        <f t="shared" si="366"/>
        <v>133100</v>
      </c>
      <c r="CC164" s="128">
        <f t="shared" si="359"/>
        <v>133100</v>
      </c>
      <c r="CD164" s="130">
        <f t="shared" si="395"/>
        <v>4.2999999999999997E-2</v>
      </c>
      <c r="CE164" s="128">
        <f t="shared" si="396"/>
        <v>133576.94166666665</v>
      </c>
      <c r="CF164" s="128" t="str">
        <f t="shared" si="397"/>
        <v>nie</v>
      </c>
      <c r="CG164" s="128">
        <f t="shared" si="398"/>
        <v>2662</v>
      </c>
      <c r="CH164" s="128">
        <f t="shared" si="369"/>
        <v>131330.10274999999</v>
      </c>
      <c r="CI164" s="128">
        <f t="shared" si="399"/>
        <v>0</v>
      </c>
      <c r="CJ164" s="130">
        <f t="shared" si="277"/>
        <v>4.2500000000000003E-2</v>
      </c>
      <c r="CK164" s="128">
        <f t="shared" si="400"/>
        <v>10351.292572584787</v>
      </c>
      <c r="CL164" s="128">
        <f t="shared" si="401"/>
        <v>141681.39532258478</v>
      </c>
      <c r="CN164" s="127">
        <f t="shared" si="446"/>
        <v>1495</v>
      </c>
      <c r="CO164" s="128">
        <f t="shared" si="447"/>
        <v>149350.5</v>
      </c>
      <c r="CP164" s="128">
        <f t="shared" si="342"/>
        <v>149500</v>
      </c>
      <c r="CQ164" s="128">
        <f t="shared" si="448"/>
        <v>149500</v>
      </c>
      <c r="CR164" s="130">
        <f t="shared" si="402"/>
        <v>5.6000000000000001E-2</v>
      </c>
      <c r="CS164" s="128">
        <f t="shared" si="403"/>
        <v>150197.66666666666</v>
      </c>
      <c r="CT164" s="128" t="str">
        <f t="shared" si="404"/>
        <v>nie</v>
      </c>
      <c r="CU164" s="128">
        <f t="shared" si="405"/>
        <v>697.66666666665697</v>
      </c>
      <c r="CV164" s="128">
        <f t="shared" si="406"/>
        <v>149500</v>
      </c>
      <c r="CW164" s="128">
        <f t="shared" si="453"/>
        <v>0</v>
      </c>
      <c r="CX164" s="130">
        <f t="shared" si="407"/>
        <v>4.2500000000000003E-2</v>
      </c>
      <c r="CY164" s="128">
        <f t="shared" si="408"/>
        <v>86.651538864605641</v>
      </c>
      <c r="CZ164" s="128">
        <f t="shared" si="409"/>
        <v>149586.65153886459</v>
      </c>
      <c r="DA164" s="20"/>
      <c r="DB164" s="127">
        <f t="shared" si="350"/>
        <v>1267</v>
      </c>
      <c r="DC164" s="128">
        <f t="shared" si="351"/>
        <v>126700</v>
      </c>
      <c r="DD164" s="128">
        <f t="shared" si="344"/>
        <v>126700</v>
      </c>
      <c r="DE164" s="128">
        <f t="shared" si="449"/>
        <v>153417.95965153282</v>
      </c>
      <c r="DF164" s="130">
        <f t="shared" si="410"/>
        <v>4.8000000000000001E-2</v>
      </c>
      <c r="DG164" s="128">
        <f t="shared" si="411"/>
        <v>154031.63149013894</v>
      </c>
      <c r="DH164" s="128" t="str">
        <f t="shared" si="412"/>
        <v>nie</v>
      </c>
      <c r="DI164" s="128">
        <f t="shared" si="413"/>
        <v>2534</v>
      </c>
      <c r="DJ164" s="128">
        <f t="shared" si="355"/>
        <v>146786.08150701254</v>
      </c>
      <c r="DK164" s="128">
        <f t="shared" si="454"/>
        <v>0</v>
      </c>
      <c r="DL164" s="130">
        <f t="shared" si="414"/>
        <v>4.2500000000000003E-2</v>
      </c>
      <c r="DM164" s="128">
        <f t="shared" si="415"/>
        <v>26.104186757490385</v>
      </c>
      <c r="DN164" s="128">
        <f t="shared" si="416"/>
        <v>146812.18569377004</v>
      </c>
      <c r="DP164" s="127">
        <f t="shared" si="352"/>
        <v>1000</v>
      </c>
      <c r="DQ164" s="128">
        <f t="shared" si="353"/>
        <v>100000</v>
      </c>
      <c r="DR164" s="128">
        <f t="shared" si="346"/>
        <v>100000</v>
      </c>
      <c r="DS164" s="128">
        <f t="shared" si="450"/>
        <v>168479.16561527047</v>
      </c>
      <c r="DT164" s="130">
        <f t="shared" si="417"/>
        <v>5.3000000000000005E-2</v>
      </c>
      <c r="DU164" s="128">
        <f t="shared" si="418"/>
        <v>169223.28193007124</v>
      </c>
      <c r="DV164" s="128" t="str">
        <f t="shared" si="419"/>
        <v>nie</v>
      </c>
      <c r="DW164" s="128">
        <f t="shared" si="420"/>
        <v>3000</v>
      </c>
      <c r="DX164" s="128">
        <f t="shared" si="302"/>
        <v>153640.85836335772</v>
      </c>
      <c r="DY164" s="128">
        <f t="shared" si="455"/>
        <v>0</v>
      </c>
      <c r="DZ164" s="130">
        <f t="shared" si="421"/>
        <v>4.2500000000000003E-2</v>
      </c>
      <c r="EA164" s="128">
        <f t="shared" si="422"/>
        <v>0</v>
      </c>
      <c r="EB164" s="128">
        <f t="shared" si="423"/>
        <v>153640.85836335772</v>
      </c>
    </row>
    <row r="165" spans="1:132">
      <c r="A165" s="224">
        <f>ROUNDUP(B176/12,0)</f>
        <v>11</v>
      </c>
      <c r="B165" s="188">
        <f t="shared" si="424"/>
        <v>121</v>
      </c>
      <c r="C165" s="128">
        <f t="shared" si="425"/>
        <v>152399.26642610796</v>
      </c>
      <c r="D165" s="128">
        <f t="shared" si="426"/>
        <v>155770.11140228593</v>
      </c>
      <c r="E165" s="128">
        <f t="shared" si="427"/>
        <v>144893.22157529154</v>
      </c>
      <c r="F165" s="128">
        <f t="shared" si="428"/>
        <v>141681.39532258478</v>
      </c>
      <c r="G165" s="128">
        <f t="shared" si="429"/>
        <v>149586.65153886459</v>
      </c>
      <c r="H165" s="128">
        <f t="shared" si="430"/>
        <v>146812.18569377004</v>
      </c>
      <c r="I165" s="128">
        <f t="shared" si="431"/>
        <v>153640.85836335772</v>
      </c>
      <c r="J165" s="128">
        <f t="shared" si="432"/>
        <v>141428.17453027063</v>
      </c>
      <c r="K165" s="128">
        <f t="shared" si="433"/>
        <v>132112.32023737059</v>
      </c>
      <c r="M165" s="36"/>
      <c r="N165" s="32">
        <f t="shared" si="434"/>
        <v>121</v>
      </c>
      <c r="O165" s="25">
        <f t="shared" si="318"/>
        <v>0.52399266426107971</v>
      </c>
      <c r="P165" s="25">
        <f t="shared" si="319"/>
        <v>0.55770111402285916</v>
      </c>
      <c r="Q165" s="25">
        <f t="shared" si="320"/>
        <v>0.44893221575291542</v>
      </c>
      <c r="R165" s="25">
        <f t="shared" si="370"/>
        <v>0.41681395322584769</v>
      </c>
      <c r="S165" s="25">
        <f t="shared" si="371"/>
        <v>0.4958665153886459</v>
      </c>
      <c r="T165" s="25">
        <f t="shared" si="372"/>
        <v>0.46812185693770036</v>
      </c>
      <c r="U165" s="25">
        <f t="shared" si="373"/>
        <v>0.53640858363357724</v>
      </c>
      <c r="V165" s="25">
        <f t="shared" si="374"/>
        <v>0.41428174530270634</v>
      </c>
      <c r="W165" s="25">
        <f t="shared" si="375"/>
        <v>0.32112320237370584</v>
      </c>
      <c r="X165" s="36"/>
      <c r="Y165" s="36"/>
      <c r="AA165" s="124">
        <f t="shared" si="321"/>
        <v>122</v>
      </c>
      <c r="AB165" s="128">
        <f t="shared" si="376"/>
        <v>132419.86471414531</v>
      </c>
      <c r="AC165" s="124">
        <f t="shared" si="322"/>
        <v>122</v>
      </c>
      <c r="AD165" s="130">
        <f t="shared" si="435"/>
        <v>4.2500000000000003E-2</v>
      </c>
      <c r="AE165" s="127">
        <f t="shared" si="436"/>
        <v>1472</v>
      </c>
      <c r="AF165" s="128">
        <f t="shared" si="437"/>
        <v>147057.9</v>
      </c>
      <c r="AG165" s="128">
        <f t="shared" si="348"/>
        <v>147200</v>
      </c>
      <c r="AH165" s="128">
        <f t="shared" si="357"/>
        <v>147200</v>
      </c>
      <c r="AI165" s="130">
        <f t="shared" si="377"/>
        <v>4.2500000000000003E-2</v>
      </c>
      <c r="AJ165" s="128">
        <f t="shared" si="378"/>
        <v>147721.33333333334</v>
      </c>
      <c r="AK165" s="128" t="str">
        <f t="shared" si="379"/>
        <v>nie</v>
      </c>
      <c r="AL165" s="128">
        <f t="shared" si="380"/>
        <v>736</v>
      </c>
      <c r="AM165" s="128">
        <f t="shared" si="361"/>
        <v>147026.12</v>
      </c>
      <c r="AN165" s="128">
        <f t="shared" si="381"/>
        <v>422.28000000000787</v>
      </c>
      <c r="AO165" s="130">
        <f t="shared" si="382"/>
        <v>4.2500000000000003E-2</v>
      </c>
      <c r="AP165" s="128">
        <f t="shared" si="383"/>
        <v>930.6500158123938</v>
      </c>
      <c r="AQ165" s="128">
        <f t="shared" si="362"/>
        <v>147534.49001581239</v>
      </c>
      <c r="AS165" s="124">
        <f t="shared" si="327"/>
        <v>122</v>
      </c>
      <c r="AT165" s="130">
        <f t="shared" si="328"/>
        <v>4.2500000000000003E-2</v>
      </c>
      <c r="AU165" s="127">
        <f t="shared" si="438"/>
        <v>1456</v>
      </c>
      <c r="AV165" s="128">
        <f t="shared" si="439"/>
        <v>145464.5</v>
      </c>
      <c r="AW165" s="128">
        <f t="shared" si="363"/>
        <v>145600</v>
      </c>
      <c r="AX165" s="128">
        <f t="shared" si="358"/>
        <v>145600</v>
      </c>
      <c r="AY165" s="130">
        <f t="shared" si="384"/>
        <v>4.4000000000000004E-2</v>
      </c>
      <c r="AZ165" s="128">
        <f t="shared" si="385"/>
        <v>146133.86666666667</v>
      </c>
      <c r="BA165" s="128" t="str">
        <f t="shared" si="386"/>
        <v>nie</v>
      </c>
      <c r="BB165" s="128">
        <f t="shared" si="387"/>
        <v>1019.1999999999999</v>
      </c>
      <c r="BC165" s="128">
        <f t="shared" si="367"/>
        <v>145206.87999999998</v>
      </c>
      <c r="BD165" s="128">
        <f t="shared" si="388"/>
        <v>432.43200000000161</v>
      </c>
      <c r="BE165" s="130">
        <f t="shared" si="264"/>
        <v>4.2500000000000003E-2</v>
      </c>
      <c r="BF165" s="128">
        <f t="shared" si="389"/>
        <v>907.35957843296251</v>
      </c>
      <c r="BG165" s="128">
        <f t="shared" si="368"/>
        <v>145681.80757843293</v>
      </c>
      <c r="BI165" s="124">
        <f t="shared" si="332"/>
        <v>122</v>
      </c>
      <c r="BJ165" s="130">
        <f t="shared" si="451"/>
        <v>4.1300000000000003E-2</v>
      </c>
      <c r="BK165" s="127">
        <f t="shared" si="440"/>
        <v>1401</v>
      </c>
      <c r="BL165" s="128">
        <f t="shared" si="441"/>
        <v>139959.9</v>
      </c>
      <c r="BM165" s="128">
        <f t="shared" si="349"/>
        <v>140100</v>
      </c>
      <c r="BN165" s="128">
        <f t="shared" si="442"/>
        <v>146614.65</v>
      </c>
      <c r="BO165" s="130">
        <f t="shared" si="390"/>
        <v>4.65E-2</v>
      </c>
      <c r="BP165" s="128">
        <f t="shared" si="391"/>
        <v>147750.91353749999</v>
      </c>
      <c r="BQ165" s="128" t="str">
        <f t="shared" si="392"/>
        <v>nie</v>
      </c>
      <c r="BR165" s="128">
        <f t="shared" si="393"/>
        <v>1401</v>
      </c>
      <c r="BS165" s="128">
        <f t="shared" si="364"/>
        <v>145162.42996537499</v>
      </c>
      <c r="BT165" s="128">
        <f t="shared" si="443"/>
        <v>0</v>
      </c>
      <c r="BU165" s="130">
        <f t="shared" si="394"/>
        <v>4.2500000000000003E-2</v>
      </c>
      <c r="BV165" s="128">
        <f t="shared" si="271"/>
        <v>191.5262117243694</v>
      </c>
      <c r="BW165" s="128">
        <f t="shared" si="365"/>
        <v>145353.95617709938</v>
      </c>
      <c r="BY165" s="130">
        <f t="shared" si="452"/>
        <v>2.8000000000000001E-2</v>
      </c>
      <c r="BZ165" s="127">
        <f t="shared" si="444"/>
        <v>1331</v>
      </c>
      <c r="CA165" s="128">
        <f t="shared" si="445"/>
        <v>132980.5</v>
      </c>
      <c r="CB165" s="128">
        <f t="shared" si="366"/>
        <v>133100</v>
      </c>
      <c r="CC165" s="128">
        <f t="shared" si="359"/>
        <v>133100</v>
      </c>
      <c r="CD165" s="130">
        <f t="shared" si="395"/>
        <v>4.2999999999999997E-2</v>
      </c>
      <c r="CE165" s="128">
        <f t="shared" si="396"/>
        <v>134053.88333333336</v>
      </c>
      <c r="CF165" s="128" t="str">
        <f t="shared" si="397"/>
        <v>nie</v>
      </c>
      <c r="CG165" s="128">
        <f t="shared" si="398"/>
        <v>2662</v>
      </c>
      <c r="CH165" s="128">
        <f t="shared" si="369"/>
        <v>131716.42550000001</v>
      </c>
      <c r="CI165" s="128">
        <f t="shared" si="399"/>
        <v>0</v>
      </c>
      <c r="CJ165" s="130">
        <f t="shared" si="277"/>
        <v>4.2500000000000003E-2</v>
      </c>
      <c r="CK165" s="128">
        <f t="shared" si="400"/>
        <v>10380.98784315239</v>
      </c>
      <c r="CL165" s="128">
        <f t="shared" si="401"/>
        <v>142097.41334315241</v>
      </c>
      <c r="CN165" s="127">
        <f t="shared" si="446"/>
        <v>1495</v>
      </c>
      <c r="CO165" s="128">
        <f t="shared" si="447"/>
        <v>149350.5</v>
      </c>
      <c r="CP165" s="128">
        <f t="shared" si="342"/>
        <v>149500</v>
      </c>
      <c r="CQ165" s="128">
        <f t="shared" si="448"/>
        <v>149500</v>
      </c>
      <c r="CR165" s="130">
        <f t="shared" si="402"/>
        <v>5.6000000000000001E-2</v>
      </c>
      <c r="CS165" s="128">
        <f t="shared" si="403"/>
        <v>150895.33333333334</v>
      </c>
      <c r="CT165" s="128" t="str">
        <f t="shared" si="404"/>
        <v>nie</v>
      </c>
      <c r="CU165" s="128">
        <f t="shared" si="405"/>
        <v>1395.333333333343</v>
      </c>
      <c r="CV165" s="128">
        <f t="shared" si="406"/>
        <v>149500</v>
      </c>
      <c r="CW165" s="128">
        <f t="shared" si="453"/>
        <v>0</v>
      </c>
      <c r="CX165" s="130">
        <f t="shared" si="407"/>
        <v>4.2500000000000003E-2</v>
      </c>
      <c r="CY165" s="128">
        <f t="shared" si="408"/>
        <v>86.900120466723479</v>
      </c>
      <c r="CZ165" s="128">
        <f t="shared" si="409"/>
        <v>149586.90012046671</v>
      </c>
      <c r="DA165" s="20"/>
      <c r="DB165" s="127">
        <f t="shared" si="350"/>
        <v>1267</v>
      </c>
      <c r="DC165" s="128">
        <f t="shared" si="351"/>
        <v>126700</v>
      </c>
      <c r="DD165" s="128">
        <f t="shared" si="344"/>
        <v>126700</v>
      </c>
      <c r="DE165" s="128">
        <f t="shared" si="449"/>
        <v>153417.95965153282</v>
      </c>
      <c r="DF165" s="130">
        <f t="shared" si="410"/>
        <v>4.8000000000000001E-2</v>
      </c>
      <c r="DG165" s="128">
        <f t="shared" si="411"/>
        <v>154645.30332874507</v>
      </c>
      <c r="DH165" s="128" t="str">
        <f t="shared" si="412"/>
        <v>nie</v>
      </c>
      <c r="DI165" s="128">
        <f t="shared" si="413"/>
        <v>2534</v>
      </c>
      <c r="DJ165" s="128">
        <f t="shared" si="355"/>
        <v>147283.1556962835</v>
      </c>
      <c r="DK165" s="128">
        <f t="shared" si="454"/>
        <v>0</v>
      </c>
      <c r="DL165" s="130">
        <f t="shared" si="414"/>
        <v>4.2500000000000003E-2</v>
      </c>
      <c r="DM165" s="128">
        <f t="shared" si="415"/>
        <v>26.179073143250935</v>
      </c>
      <c r="DN165" s="128">
        <f t="shared" si="416"/>
        <v>147309.33476942676</v>
      </c>
      <c r="DP165" s="127">
        <f t="shared" si="352"/>
        <v>1000</v>
      </c>
      <c r="DQ165" s="128">
        <f t="shared" si="353"/>
        <v>100000</v>
      </c>
      <c r="DR165" s="128">
        <f t="shared" si="346"/>
        <v>100000</v>
      </c>
      <c r="DS165" s="128">
        <f t="shared" si="450"/>
        <v>168479.16561527047</v>
      </c>
      <c r="DT165" s="130">
        <f t="shared" si="417"/>
        <v>5.3000000000000005E-2</v>
      </c>
      <c r="DU165" s="128">
        <f t="shared" si="418"/>
        <v>169967.39824487202</v>
      </c>
      <c r="DV165" s="128" t="str">
        <f t="shared" si="419"/>
        <v>nie</v>
      </c>
      <c r="DW165" s="128">
        <f t="shared" si="420"/>
        <v>3000</v>
      </c>
      <c r="DX165" s="128">
        <f t="shared" si="302"/>
        <v>154243.59257834635</v>
      </c>
      <c r="DY165" s="128">
        <f t="shared" si="455"/>
        <v>0</v>
      </c>
      <c r="DZ165" s="130">
        <f t="shared" si="421"/>
        <v>4.2500000000000003E-2</v>
      </c>
      <c r="EA165" s="128">
        <f t="shared" si="422"/>
        <v>0</v>
      </c>
      <c r="EB165" s="128">
        <f t="shared" si="423"/>
        <v>154243.59257834635</v>
      </c>
    </row>
    <row r="166" spans="1:132">
      <c r="A166" s="224"/>
      <c r="B166" s="188">
        <f t="shared" si="424"/>
        <v>122</v>
      </c>
      <c r="C166" s="128">
        <f t="shared" si="425"/>
        <v>147534.49001581239</v>
      </c>
      <c r="D166" s="128">
        <f t="shared" si="426"/>
        <v>145681.80757843293</v>
      </c>
      <c r="E166" s="128">
        <f t="shared" si="427"/>
        <v>145353.95617709938</v>
      </c>
      <c r="F166" s="128">
        <f t="shared" si="428"/>
        <v>142097.41334315241</v>
      </c>
      <c r="G166" s="128">
        <f t="shared" si="429"/>
        <v>149586.90012046671</v>
      </c>
      <c r="H166" s="128">
        <f t="shared" si="430"/>
        <v>147309.33476942676</v>
      </c>
      <c r="I166" s="128">
        <f t="shared" si="431"/>
        <v>154243.59257834635</v>
      </c>
      <c r="J166" s="128">
        <f t="shared" si="432"/>
        <v>141833.89660595433</v>
      </c>
      <c r="K166" s="128">
        <f t="shared" si="433"/>
        <v>132419.86471414531</v>
      </c>
      <c r="M166" s="36"/>
      <c r="N166" s="32">
        <f t="shared" si="434"/>
        <v>122</v>
      </c>
      <c r="O166" s="25">
        <f t="shared" si="318"/>
        <v>0.47534490015812403</v>
      </c>
      <c r="P166" s="25">
        <f t="shared" si="319"/>
        <v>0.4568180757843292</v>
      </c>
      <c r="Q166" s="25">
        <f t="shared" si="320"/>
        <v>0.45353956177099386</v>
      </c>
      <c r="R166" s="25">
        <f t="shared" si="370"/>
        <v>0.42097413343152401</v>
      </c>
      <c r="S166" s="25">
        <f t="shared" si="371"/>
        <v>0.49586900120466715</v>
      </c>
      <c r="T166" s="25">
        <f t="shared" si="372"/>
        <v>0.47309334769426759</v>
      </c>
      <c r="U166" s="25">
        <f t="shared" si="373"/>
        <v>0.54243592578346345</v>
      </c>
      <c r="V166" s="25">
        <f t="shared" si="374"/>
        <v>0.41833896605954335</v>
      </c>
      <c r="W166" s="25">
        <f t="shared" si="375"/>
        <v>0.32419864714145308</v>
      </c>
      <c r="X166" s="36"/>
      <c r="Y166" s="36"/>
      <c r="AA166" s="124">
        <f t="shared" si="321"/>
        <v>123</v>
      </c>
      <c r="AB166" s="128">
        <f t="shared" si="376"/>
        <v>132727.40919092001</v>
      </c>
      <c r="AC166" s="124">
        <f t="shared" si="322"/>
        <v>123</v>
      </c>
      <c r="AD166" s="130">
        <f t="shared" si="435"/>
        <v>4.2500000000000003E-2</v>
      </c>
      <c r="AE166" s="127">
        <f t="shared" si="436"/>
        <v>1472</v>
      </c>
      <c r="AF166" s="128">
        <f t="shared" si="437"/>
        <v>147057.9</v>
      </c>
      <c r="AG166" s="128">
        <f t="shared" si="348"/>
        <v>147200</v>
      </c>
      <c r="AH166" s="128">
        <f t="shared" si="357"/>
        <v>147200</v>
      </c>
      <c r="AI166" s="130">
        <f t="shared" si="377"/>
        <v>4.2500000000000003E-2</v>
      </c>
      <c r="AJ166" s="128">
        <f t="shared" si="378"/>
        <v>147721.33333333334</v>
      </c>
      <c r="AK166" s="128" t="str">
        <f t="shared" si="379"/>
        <v>nie</v>
      </c>
      <c r="AL166" s="128">
        <f t="shared" si="380"/>
        <v>736</v>
      </c>
      <c r="AM166" s="128">
        <f t="shared" si="361"/>
        <v>147026.12</v>
      </c>
      <c r="AN166" s="128">
        <f t="shared" si="381"/>
        <v>422.28000000000787</v>
      </c>
      <c r="AO166" s="130">
        <f t="shared" si="382"/>
        <v>4.2500000000000003E-2</v>
      </c>
      <c r="AP166" s="128">
        <f t="shared" si="383"/>
        <v>1355.5998180452634</v>
      </c>
      <c r="AQ166" s="128">
        <f t="shared" si="362"/>
        <v>147959.43981804524</v>
      </c>
      <c r="AS166" s="124">
        <f t="shared" si="327"/>
        <v>123</v>
      </c>
      <c r="AT166" s="130">
        <f t="shared" si="328"/>
        <v>4.2500000000000003E-2</v>
      </c>
      <c r="AU166" s="127">
        <f t="shared" si="438"/>
        <v>1456</v>
      </c>
      <c r="AV166" s="128">
        <f t="shared" si="439"/>
        <v>145464.5</v>
      </c>
      <c r="AW166" s="128">
        <f t="shared" si="363"/>
        <v>145600</v>
      </c>
      <c r="AX166" s="128">
        <f t="shared" si="358"/>
        <v>145600</v>
      </c>
      <c r="AY166" s="130">
        <f t="shared" si="384"/>
        <v>4.4000000000000004E-2</v>
      </c>
      <c r="AZ166" s="128">
        <f t="shared" si="385"/>
        <v>146133.86666666667</v>
      </c>
      <c r="BA166" s="128" t="str">
        <f t="shared" si="386"/>
        <v>nie</v>
      </c>
      <c r="BB166" s="128">
        <f t="shared" si="387"/>
        <v>1019.1999999999999</v>
      </c>
      <c r="BC166" s="128">
        <f t="shared" si="367"/>
        <v>145206.87999999998</v>
      </c>
      <c r="BD166" s="128">
        <f t="shared" si="388"/>
        <v>432.43200000000161</v>
      </c>
      <c r="BE166" s="130">
        <f t="shared" si="264"/>
        <v>4.2500000000000003E-2</v>
      </c>
      <c r="BF166" s="128">
        <f t="shared" si="389"/>
        <v>1342.3945662235938</v>
      </c>
      <c r="BG166" s="128">
        <f t="shared" si="368"/>
        <v>146116.84256622355</v>
      </c>
      <c r="BI166" s="124">
        <f t="shared" si="332"/>
        <v>123</v>
      </c>
      <c r="BJ166" s="130">
        <f t="shared" si="451"/>
        <v>4.1300000000000003E-2</v>
      </c>
      <c r="BK166" s="127">
        <f t="shared" si="440"/>
        <v>1401</v>
      </c>
      <c r="BL166" s="128">
        <f t="shared" si="441"/>
        <v>139959.9</v>
      </c>
      <c r="BM166" s="128">
        <f t="shared" si="349"/>
        <v>140100</v>
      </c>
      <c r="BN166" s="128">
        <f t="shared" si="442"/>
        <v>146614.65</v>
      </c>
      <c r="BO166" s="130">
        <f t="shared" si="390"/>
        <v>4.65E-2</v>
      </c>
      <c r="BP166" s="128">
        <f t="shared" si="391"/>
        <v>148319.04530624999</v>
      </c>
      <c r="BQ166" s="128" t="str">
        <f t="shared" si="392"/>
        <v>nie</v>
      </c>
      <c r="BR166" s="128">
        <f t="shared" si="393"/>
        <v>1401</v>
      </c>
      <c r="BS166" s="128">
        <f t="shared" si="364"/>
        <v>145622.61669806248</v>
      </c>
      <c r="BT166" s="128">
        <f t="shared" ref="BT166:BT186" si="456">IF(AND(BQ166="tak",BL167&lt;&gt;""),
 BS166-BL167,
0)</f>
        <v>0</v>
      </c>
      <c r="BU166" s="130">
        <f t="shared" si="394"/>
        <v>4.2500000000000003E-2</v>
      </c>
      <c r="BV166" s="128">
        <f t="shared" si="271"/>
        <v>192.07565254425367</v>
      </c>
      <c r="BW166" s="128">
        <f t="shared" si="365"/>
        <v>145814.69235060673</v>
      </c>
      <c r="BY166" s="130">
        <f t="shared" si="452"/>
        <v>2.8000000000000001E-2</v>
      </c>
      <c r="BZ166" s="127">
        <f t="shared" si="444"/>
        <v>1331</v>
      </c>
      <c r="CA166" s="128">
        <f t="shared" si="445"/>
        <v>132980.5</v>
      </c>
      <c r="CB166" s="128">
        <f t="shared" si="366"/>
        <v>133100</v>
      </c>
      <c r="CC166" s="128">
        <f t="shared" si="359"/>
        <v>133100</v>
      </c>
      <c r="CD166" s="130">
        <f t="shared" si="395"/>
        <v>4.2999999999999997E-2</v>
      </c>
      <c r="CE166" s="128">
        <f t="shared" si="396"/>
        <v>134530.82500000001</v>
      </c>
      <c r="CF166" s="128" t="str">
        <f t="shared" si="397"/>
        <v>nie</v>
      </c>
      <c r="CG166" s="128">
        <f t="shared" si="398"/>
        <v>2662</v>
      </c>
      <c r="CH166" s="128">
        <f t="shared" si="369"/>
        <v>132102.74825</v>
      </c>
      <c r="CI166" s="128">
        <f t="shared" si="399"/>
        <v>0</v>
      </c>
      <c r="CJ166" s="130">
        <f t="shared" si="277"/>
        <v>4.2500000000000003E-2</v>
      </c>
      <c r="CK166" s="128">
        <f t="shared" si="400"/>
        <v>10410.768302027433</v>
      </c>
      <c r="CL166" s="128">
        <f t="shared" si="401"/>
        <v>142513.51655202743</v>
      </c>
      <c r="CN166" s="127">
        <f t="shared" si="446"/>
        <v>1495</v>
      </c>
      <c r="CO166" s="128">
        <f t="shared" si="447"/>
        <v>149350.5</v>
      </c>
      <c r="CP166" s="128">
        <f t="shared" si="342"/>
        <v>149500</v>
      </c>
      <c r="CQ166" s="128">
        <f t="shared" si="448"/>
        <v>149500</v>
      </c>
      <c r="CR166" s="130">
        <f t="shared" si="402"/>
        <v>5.6000000000000001E-2</v>
      </c>
      <c r="CS166" s="128">
        <f t="shared" si="403"/>
        <v>151593</v>
      </c>
      <c r="CT166" s="128" t="str">
        <f t="shared" si="404"/>
        <v>nie</v>
      </c>
      <c r="CU166" s="128">
        <f t="shared" si="405"/>
        <v>2093</v>
      </c>
      <c r="CV166" s="128">
        <f t="shared" si="406"/>
        <v>149500</v>
      </c>
      <c r="CW166" s="128">
        <f t="shared" si="453"/>
        <v>0</v>
      </c>
      <c r="CX166" s="130">
        <f t="shared" si="407"/>
        <v>4.2500000000000003E-2</v>
      </c>
      <c r="CY166" s="128">
        <f t="shared" si="408"/>
        <v>87.149415187312385</v>
      </c>
      <c r="CZ166" s="128">
        <f t="shared" si="409"/>
        <v>149587.1494151873</v>
      </c>
      <c r="DA166" s="20"/>
      <c r="DB166" s="127">
        <f t="shared" si="350"/>
        <v>1267</v>
      </c>
      <c r="DC166" s="128">
        <f t="shared" si="351"/>
        <v>126700</v>
      </c>
      <c r="DD166" s="128">
        <f t="shared" si="344"/>
        <v>126700</v>
      </c>
      <c r="DE166" s="128">
        <f t="shared" si="449"/>
        <v>153417.95965153282</v>
      </c>
      <c r="DF166" s="130">
        <f t="shared" si="410"/>
        <v>4.8000000000000001E-2</v>
      </c>
      <c r="DG166" s="128">
        <f t="shared" si="411"/>
        <v>155258.97516735122</v>
      </c>
      <c r="DH166" s="128" t="str">
        <f t="shared" si="412"/>
        <v>nie</v>
      </c>
      <c r="DI166" s="128">
        <f t="shared" si="413"/>
        <v>2534</v>
      </c>
      <c r="DJ166" s="128">
        <f t="shared" si="355"/>
        <v>147780.22988555449</v>
      </c>
      <c r="DK166" s="128">
        <f t="shared" si="454"/>
        <v>0</v>
      </c>
      <c r="DL166" s="130">
        <f t="shared" si="414"/>
        <v>4.2500000000000003E-2</v>
      </c>
      <c r="DM166" s="128">
        <f t="shared" si="415"/>
        <v>26.254174359330637</v>
      </c>
      <c r="DN166" s="128">
        <f t="shared" si="416"/>
        <v>147806.48405991381</v>
      </c>
      <c r="DP166" s="127">
        <f t="shared" si="352"/>
        <v>1000</v>
      </c>
      <c r="DQ166" s="128">
        <f t="shared" si="353"/>
        <v>100000</v>
      </c>
      <c r="DR166" s="128">
        <f t="shared" si="346"/>
        <v>100000</v>
      </c>
      <c r="DS166" s="128">
        <f t="shared" si="450"/>
        <v>168479.16561527047</v>
      </c>
      <c r="DT166" s="130">
        <f t="shared" si="417"/>
        <v>5.3000000000000005E-2</v>
      </c>
      <c r="DU166" s="128">
        <f t="shared" si="418"/>
        <v>170711.5145596728</v>
      </c>
      <c r="DV166" s="128" t="str">
        <f t="shared" si="419"/>
        <v>nie</v>
      </c>
      <c r="DW166" s="128">
        <f t="shared" si="420"/>
        <v>3000</v>
      </c>
      <c r="DX166" s="128">
        <f t="shared" si="302"/>
        <v>154846.32679333497</v>
      </c>
      <c r="DY166" s="128">
        <f t="shared" si="455"/>
        <v>0</v>
      </c>
      <c r="DZ166" s="130">
        <f t="shared" si="421"/>
        <v>4.2500000000000003E-2</v>
      </c>
      <c r="EA166" s="128">
        <f t="shared" si="422"/>
        <v>0</v>
      </c>
      <c r="EB166" s="128">
        <f t="shared" si="423"/>
        <v>154846.32679333497</v>
      </c>
    </row>
    <row r="167" spans="1:132">
      <c r="A167" s="224"/>
      <c r="B167" s="188">
        <f t="shared" si="424"/>
        <v>123</v>
      </c>
      <c r="C167" s="128">
        <f t="shared" si="425"/>
        <v>147959.43981804524</v>
      </c>
      <c r="D167" s="128">
        <f t="shared" si="426"/>
        <v>146116.84256622355</v>
      </c>
      <c r="E167" s="128">
        <f t="shared" si="427"/>
        <v>145814.69235060673</v>
      </c>
      <c r="F167" s="128">
        <f t="shared" si="428"/>
        <v>142513.51655202743</v>
      </c>
      <c r="G167" s="128">
        <f t="shared" si="429"/>
        <v>149587.1494151873</v>
      </c>
      <c r="H167" s="128">
        <f t="shared" si="430"/>
        <v>147806.48405991381</v>
      </c>
      <c r="I167" s="128">
        <f t="shared" si="431"/>
        <v>154846.32679333497</v>
      </c>
      <c r="J167" s="128">
        <f t="shared" si="432"/>
        <v>142240.78259684265</v>
      </c>
      <c r="K167" s="128">
        <f t="shared" si="433"/>
        <v>132727.40919092001</v>
      </c>
      <c r="M167" s="36"/>
      <c r="N167" s="32">
        <f t="shared" si="434"/>
        <v>123</v>
      </c>
      <c r="O167" s="25">
        <f t="shared" si="318"/>
        <v>0.47959439818045246</v>
      </c>
      <c r="P167" s="25">
        <f t="shared" si="319"/>
        <v>0.46116842566223548</v>
      </c>
      <c r="Q167" s="25">
        <f t="shared" si="320"/>
        <v>0.45814692350606734</v>
      </c>
      <c r="R167" s="25">
        <f t="shared" si="370"/>
        <v>0.42513516552027442</v>
      </c>
      <c r="S167" s="25">
        <f t="shared" si="371"/>
        <v>0.49587149415187315</v>
      </c>
      <c r="T167" s="25">
        <f t="shared" si="372"/>
        <v>0.47806484059913812</v>
      </c>
      <c r="U167" s="25">
        <f t="shared" si="373"/>
        <v>0.54846326793334965</v>
      </c>
      <c r="V167" s="25">
        <f t="shared" si="374"/>
        <v>0.42240782596842652</v>
      </c>
      <c r="W167" s="25">
        <f t="shared" si="375"/>
        <v>0.32727409190920009</v>
      </c>
      <c r="X167" s="36"/>
      <c r="Y167" s="36"/>
      <c r="AA167" s="124">
        <f t="shared" si="321"/>
        <v>124</v>
      </c>
      <c r="AB167" s="128">
        <f t="shared" si="376"/>
        <v>133034.95366769476</v>
      </c>
      <c r="AC167" s="124">
        <f t="shared" si="322"/>
        <v>124</v>
      </c>
      <c r="AD167" s="130">
        <f t="shared" si="435"/>
        <v>4.2500000000000003E-2</v>
      </c>
      <c r="AE167" s="127">
        <f t="shared" si="436"/>
        <v>1472</v>
      </c>
      <c r="AF167" s="128">
        <f t="shared" si="437"/>
        <v>147057.9</v>
      </c>
      <c r="AG167" s="128">
        <f t="shared" si="348"/>
        <v>147200</v>
      </c>
      <c r="AH167" s="128">
        <f t="shared" si="357"/>
        <v>147200</v>
      </c>
      <c r="AI167" s="130">
        <f t="shared" si="377"/>
        <v>4.2500000000000003E-2</v>
      </c>
      <c r="AJ167" s="128">
        <f t="shared" si="378"/>
        <v>147721.33333333334</v>
      </c>
      <c r="AK167" s="128" t="str">
        <f t="shared" si="379"/>
        <v>nie</v>
      </c>
      <c r="AL167" s="128">
        <f t="shared" si="380"/>
        <v>736</v>
      </c>
      <c r="AM167" s="128">
        <f t="shared" si="361"/>
        <v>147026.12</v>
      </c>
      <c r="AN167" s="128">
        <f t="shared" si="381"/>
        <v>422.28000000000787</v>
      </c>
      <c r="AO167" s="130">
        <f t="shared" si="382"/>
        <v>4.2500000000000003E-2</v>
      </c>
      <c r="AP167" s="128">
        <f t="shared" si="383"/>
        <v>1781.7686950232887</v>
      </c>
      <c r="AQ167" s="128">
        <f t="shared" si="362"/>
        <v>148385.60869502329</v>
      </c>
      <c r="AS167" s="124">
        <f t="shared" si="327"/>
        <v>124</v>
      </c>
      <c r="AT167" s="130">
        <f t="shared" si="328"/>
        <v>4.2500000000000003E-2</v>
      </c>
      <c r="AU167" s="127">
        <f t="shared" si="438"/>
        <v>1456</v>
      </c>
      <c r="AV167" s="128">
        <f t="shared" si="439"/>
        <v>145464.5</v>
      </c>
      <c r="AW167" s="128">
        <f t="shared" si="363"/>
        <v>145600</v>
      </c>
      <c r="AX167" s="128">
        <f t="shared" si="358"/>
        <v>145600</v>
      </c>
      <c r="AY167" s="130">
        <f t="shared" si="384"/>
        <v>4.4000000000000004E-2</v>
      </c>
      <c r="AZ167" s="128">
        <f t="shared" si="385"/>
        <v>146133.86666666667</v>
      </c>
      <c r="BA167" s="128" t="str">
        <f t="shared" si="386"/>
        <v>nie</v>
      </c>
      <c r="BB167" s="128">
        <f t="shared" si="387"/>
        <v>1019.1999999999999</v>
      </c>
      <c r="BC167" s="128">
        <f t="shared" si="367"/>
        <v>145206.87999999998</v>
      </c>
      <c r="BD167" s="128">
        <f t="shared" si="388"/>
        <v>432.43200000000161</v>
      </c>
      <c r="BE167" s="130">
        <f t="shared" si="264"/>
        <v>4.2500000000000003E-2</v>
      </c>
      <c r="BF167" s="128">
        <f t="shared" si="389"/>
        <v>1778.6775606354493</v>
      </c>
      <c r="BG167" s="128">
        <f t="shared" si="368"/>
        <v>146553.12556063541</v>
      </c>
      <c r="BI167" s="124">
        <f t="shared" si="332"/>
        <v>124</v>
      </c>
      <c r="BJ167" s="130">
        <f t="shared" si="451"/>
        <v>4.1300000000000003E-2</v>
      </c>
      <c r="BK167" s="127">
        <f t="shared" si="440"/>
        <v>1401</v>
      </c>
      <c r="BL167" s="128">
        <f t="shared" si="441"/>
        <v>139959.9</v>
      </c>
      <c r="BM167" s="128">
        <f t="shared" si="349"/>
        <v>140100</v>
      </c>
      <c r="BN167" s="128">
        <f t="shared" si="442"/>
        <v>146614.65</v>
      </c>
      <c r="BO167" s="130">
        <f t="shared" si="390"/>
        <v>4.65E-2</v>
      </c>
      <c r="BP167" s="128">
        <f t="shared" si="391"/>
        <v>148887.17707500001</v>
      </c>
      <c r="BQ167" s="128" t="str">
        <f t="shared" si="392"/>
        <v>nie</v>
      </c>
      <c r="BR167" s="128">
        <f t="shared" si="393"/>
        <v>1401</v>
      </c>
      <c r="BS167" s="128">
        <f t="shared" si="364"/>
        <v>146082.80343075001</v>
      </c>
      <c r="BT167" s="128">
        <f t="shared" si="456"/>
        <v>0</v>
      </c>
      <c r="BU167" s="130">
        <f t="shared" si="394"/>
        <v>4.2500000000000003E-2</v>
      </c>
      <c r="BV167" s="128">
        <f t="shared" si="271"/>
        <v>192.62666957248999</v>
      </c>
      <c r="BW167" s="128">
        <f t="shared" si="365"/>
        <v>146275.4301003225</v>
      </c>
      <c r="BY167" s="130">
        <f t="shared" si="452"/>
        <v>2.8000000000000001E-2</v>
      </c>
      <c r="BZ167" s="127">
        <f t="shared" si="444"/>
        <v>1331</v>
      </c>
      <c r="CA167" s="128">
        <f t="shared" si="445"/>
        <v>132980.5</v>
      </c>
      <c r="CB167" s="128">
        <f t="shared" si="366"/>
        <v>133100</v>
      </c>
      <c r="CC167" s="128">
        <f t="shared" si="359"/>
        <v>133100</v>
      </c>
      <c r="CD167" s="130">
        <f t="shared" si="395"/>
        <v>4.2999999999999997E-2</v>
      </c>
      <c r="CE167" s="128">
        <f t="shared" si="396"/>
        <v>135007.76666666666</v>
      </c>
      <c r="CF167" s="128" t="str">
        <f t="shared" si="397"/>
        <v>nie</v>
      </c>
      <c r="CG167" s="128">
        <f t="shared" si="398"/>
        <v>2662</v>
      </c>
      <c r="CH167" s="128">
        <f t="shared" si="369"/>
        <v>132489.071</v>
      </c>
      <c r="CI167" s="128">
        <f t="shared" si="399"/>
        <v>0</v>
      </c>
      <c r="CJ167" s="130">
        <f t="shared" si="277"/>
        <v>4.2500000000000003E-2</v>
      </c>
      <c r="CK167" s="128">
        <f t="shared" si="400"/>
        <v>10440.634193593873</v>
      </c>
      <c r="CL167" s="128">
        <f t="shared" si="401"/>
        <v>142929.70519359387</v>
      </c>
      <c r="CN167" s="127">
        <f t="shared" si="446"/>
        <v>1495</v>
      </c>
      <c r="CO167" s="128">
        <f t="shared" si="447"/>
        <v>149350.5</v>
      </c>
      <c r="CP167" s="128">
        <f t="shared" si="342"/>
        <v>149500</v>
      </c>
      <c r="CQ167" s="128">
        <f t="shared" si="448"/>
        <v>149500</v>
      </c>
      <c r="CR167" s="130">
        <f t="shared" si="402"/>
        <v>5.6000000000000001E-2</v>
      </c>
      <c r="CS167" s="128">
        <f t="shared" si="403"/>
        <v>152290.66666666666</v>
      </c>
      <c r="CT167" s="128" t="str">
        <f t="shared" si="404"/>
        <v>nie</v>
      </c>
      <c r="CU167" s="128">
        <f t="shared" si="405"/>
        <v>2790.666666666657</v>
      </c>
      <c r="CV167" s="128">
        <f t="shared" si="406"/>
        <v>149500</v>
      </c>
      <c r="CW167" s="128">
        <f t="shared" si="453"/>
        <v>0</v>
      </c>
      <c r="CX167" s="130">
        <f t="shared" si="407"/>
        <v>4.2500000000000003E-2</v>
      </c>
      <c r="CY167" s="128">
        <f t="shared" si="408"/>
        <v>87.399425072130981</v>
      </c>
      <c r="CZ167" s="128">
        <f t="shared" si="409"/>
        <v>149587.39942507213</v>
      </c>
      <c r="DA167" s="20"/>
      <c r="DB167" s="127">
        <f t="shared" si="350"/>
        <v>1267</v>
      </c>
      <c r="DC167" s="128">
        <f t="shared" si="351"/>
        <v>126700</v>
      </c>
      <c r="DD167" s="128">
        <f t="shared" si="344"/>
        <v>126700</v>
      </c>
      <c r="DE167" s="128">
        <f t="shared" si="449"/>
        <v>153417.95965153282</v>
      </c>
      <c r="DF167" s="130">
        <f t="shared" si="410"/>
        <v>4.8000000000000001E-2</v>
      </c>
      <c r="DG167" s="128">
        <f t="shared" si="411"/>
        <v>155872.64700595735</v>
      </c>
      <c r="DH167" s="128" t="str">
        <f t="shared" si="412"/>
        <v>nie</v>
      </c>
      <c r="DI167" s="128">
        <f t="shared" si="413"/>
        <v>2534</v>
      </c>
      <c r="DJ167" s="128">
        <f t="shared" si="355"/>
        <v>148277.30407482546</v>
      </c>
      <c r="DK167" s="128">
        <f t="shared" si="454"/>
        <v>0</v>
      </c>
      <c r="DL167" s="130">
        <f t="shared" si="414"/>
        <v>4.2500000000000003E-2</v>
      </c>
      <c r="DM167" s="128">
        <f t="shared" si="415"/>
        <v>26.329491022023966</v>
      </c>
      <c r="DN167" s="128">
        <f t="shared" si="416"/>
        <v>148303.63356584747</v>
      </c>
      <c r="DP167" s="127">
        <f t="shared" si="352"/>
        <v>1000</v>
      </c>
      <c r="DQ167" s="128">
        <f t="shared" si="353"/>
        <v>100000</v>
      </c>
      <c r="DR167" s="128">
        <f t="shared" si="346"/>
        <v>100000</v>
      </c>
      <c r="DS167" s="128">
        <f t="shared" si="450"/>
        <v>168479.16561527047</v>
      </c>
      <c r="DT167" s="130">
        <f t="shared" si="417"/>
        <v>5.3000000000000005E-2</v>
      </c>
      <c r="DU167" s="128">
        <f t="shared" si="418"/>
        <v>171455.6308744736</v>
      </c>
      <c r="DV167" s="128" t="str">
        <f t="shared" si="419"/>
        <v>nie</v>
      </c>
      <c r="DW167" s="128">
        <f t="shared" si="420"/>
        <v>3000</v>
      </c>
      <c r="DX167" s="128">
        <f t="shared" si="302"/>
        <v>155449.06100832362</v>
      </c>
      <c r="DY167" s="128">
        <f t="shared" si="455"/>
        <v>0</v>
      </c>
      <c r="DZ167" s="130">
        <f t="shared" si="421"/>
        <v>4.2500000000000003E-2</v>
      </c>
      <c r="EA167" s="128">
        <f t="shared" si="422"/>
        <v>0</v>
      </c>
      <c r="EB167" s="128">
        <f t="shared" si="423"/>
        <v>155449.06100832362</v>
      </c>
    </row>
    <row r="168" spans="1:132">
      <c r="A168" s="224"/>
      <c r="B168" s="188">
        <f t="shared" si="424"/>
        <v>124</v>
      </c>
      <c r="C168" s="128">
        <f t="shared" si="425"/>
        <v>148385.60869502329</v>
      </c>
      <c r="D168" s="128">
        <f t="shared" si="426"/>
        <v>146553.12556063541</v>
      </c>
      <c r="E168" s="128">
        <f t="shared" si="427"/>
        <v>146275.4301003225</v>
      </c>
      <c r="F168" s="128">
        <f t="shared" si="428"/>
        <v>142929.70519359387</v>
      </c>
      <c r="G168" s="128">
        <f t="shared" si="429"/>
        <v>149587.39942507213</v>
      </c>
      <c r="H168" s="128">
        <f t="shared" si="430"/>
        <v>148303.63356584747</v>
      </c>
      <c r="I168" s="128">
        <f t="shared" si="431"/>
        <v>155449.06100832362</v>
      </c>
      <c r="J168" s="128">
        <f t="shared" si="432"/>
        <v>142648.83584191735</v>
      </c>
      <c r="K168" s="128">
        <f t="shared" si="433"/>
        <v>133034.95366769476</v>
      </c>
      <c r="M168" s="36"/>
      <c r="N168" s="32">
        <f t="shared" si="434"/>
        <v>124</v>
      </c>
      <c r="O168" s="25">
        <f t="shared" si="318"/>
        <v>0.48385608695023286</v>
      </c>
      <c r="P168" s="25">
        <f t="shared" si="319"/>
        <v>0.465531255606354</v>
      </c>
      <c r="Q168" s="25">
        <f t="shared" si="320"/>
        <v>0.4627543010032249</v>
      </c>
      <c r="R168" s="25">
        <f t="shared" si="370"/>
        <v>0.4292970519359387</v>
      </c>
      <c r="S168" s="25">
        <f t="shared" si="371"/>
        <v>0.49587399425072132</v>
      </c>
      <c r="T168" s="25">
        <f t="shared" si="372"/>
        <v>0.48303633565847481</v>
      </c>
      <c r="U168" s="25">
        <f t="shared" si="373"/>
        <v>0.5544906100832363</v>
      </c>
      <c r="V168" s="25">
        <f t="shared" si="374"/>
        <v>0.42648835841917343</v>
      </c>
      <c r="W168" s="25">
        <f t="shared" si="375"/>
        <v>0.33034953667694755</v>
      </c>
      <c r="X168" s="36"/>
      <c r="Y168" s="36"/>
      <c r="AA168" s="124">
        <f t="shared" si="321"/>
        <v>125</v>
      </c>
      <c r="AB168" s="128">
        <f t="shared" si="376"/>
        <v>133342.49814446949</v>
      </c>
      <c r="AC168" s="124">
        <f t="shared" si="322"/>
        <v>125</v>
      </c>
      <c r="AD168" s="130">
        <f t="shared" si="435"/>
        <v>4.2500000000000003E-2</v>
      </c>
      <c r="AE168" s="127">
        <f t="shared" si="436"/>
        <v>1472</v>
      </c>
      <c r="AF168" s="128">
        <f t="shared" si="437"/>
        <v>147057.9</v>
      </c>
      <c r="AG168" s="128">
        <f t="shared" si="348"/>
        <v>147200</v>
      </c>
      <c r="AH168" s="128">
        <f t="shared" si="357"/>
        <v>147200</v>
      </c>
      <c r="AI168" s="130">
        <f t="shared" si="377"/>
        <v>4.2500000000000003E-2</v>
      </c>
      <c r="AJ168" s="128">
        <f t="shared" si="378"/>
        <v>147721.33333333334</v>
      </c>
      <c r="AK168" s="128" t="str">
        <f t="shared" si="379"/>
        <v>nie</v>
      </c>
      <c r="AL168" s="128">
        <f t="shared" si="380"/>
        <v>736</v>
      </c>
      <c r="AM168" s="128">
        <f t="shared" si="361"/>
        <v>147026.12</v>
      </c>
      <c r="AN168" s="128">
        <f t="shared" si="381"/>
        <v>422.28000000000787</v>
      </c>
      <c r="AO168" s="130">
        <f t="shared" si="382"/>
        <v>4.2500000000000003E-2</v>
      </c>
      <c r="AP168" s="128">
        <f t="shared" si="383"/>
        <v>2209.1601439671444</v>
      </c>
      <c r="AQ168" s="128">
        <f t="shared" si="362"/>
        <v>148813.00014396713</v>
      </c>
      <c r="AS168" s="124">
        <f t="shared" si="327"/>
        <v>125</v>
      </c>
      <c r="AT168" s="130">
        <f t="shared" si="328"/>
        <v>4.2500000000000003E-2</v>
      </c>
      <c r="AU168" s="127">
        <f t="shared" si="438"/>
        <v>1456</v>
      </c>
      <c r="AV168" s="128">
        <f t="shared" si="439"/>
        <v>145464.5</v>
      </c>
      <c r="AW168" s="128">
        <f t="shared" si="363"/>
        <v>145600</v>
      </c>
      <c r="AX168" s="128">
        <f t="shared" si="358"/>
        <v>145600</v>
      </c>
      <c r="AY168" s="130">
        <f t="shared" si="384"/>
        <v>4.4000000000000004E-2</v>
      </c>
      <c r="AZ168" s="128">
        <f t="shared" si="385"/>
        <v>146133.86666666667</v>
      </c>
      <c r="BA168" s="128" t="str">
        <f t="shared" si="386"/>
        <v>nie</v>
      </c>
      <c r="BB168" s="128">
        <f t="shared" si="387"/>
        <v>1019.1999999999999</v>
      </c>
      <c r="BC168" s="128">
        <f t="shared" si="367"/>
        <v>145206.87999999998</v>
      </c>
      <c r="BD168" s="128">
        <f t="shared" si="388"/>
        <v>432.43200000000161</v>
      </c>
      <c r="BE168" s="130">
        <f t="shared" si="264"/>
        <v>4.2500000000000003E-2</v>
      </c>
      <c r="BF168" s="128">
        <f t="shared" si="389"/>
        <v>2216.212141887524</v>
      </c>
      <c r="BG168" s="128">
        <f t="shared" si="368"/>
        <v>146990.66014188749</v>
      </c>
      <c r="BI168" s="124">
        <f t="shared" si="332"/>
        <v>125</v>
      </c>
      <c r="BJ168" s="130">
        <f t="shared" si="451"/>
        <v>4.1300000000000003E-2</v>
      </c>
      <c r="BK168" s="127">
        <f t="shared" si="440"/>
        <v>1401</v>
      </c>
      <c r="BL168" s="128">
        <f t="shared" si="441"/>
        <v>139959.9</v>
      </c>
      <c r="BM168" s="128">
        <f t="shared" si="349"/>
        <v>140100</v>
      </c>
      <c r="BN168" s="128">
        <f t="shared" si="442"/>
        <v>146614.65</v>
      </c>
      <c r="BO168" s="130">
        <f t="shared" si="390"/>
        <v>4.65E-2</v>
      </c>
      <c r="BP168" s="128">
        <f t="shared" si="391"/>
        <v>149455.30884374998</v>
      </c>
      <c r="BQ168" s="128" t="str">
        <f t="shared" si="392"/>
        <v>nie</v>
      </c>
      <c r="BR168" s="128">
        <f t="shared" si="393"/>
        <v>1401</v>
      </c>
      <c r="BS168" s="128">
        <f t="shared" si="364"/>
        <v>146542.9901634375</v>
      </c>
      <c r="BT168" s="128">
        <f t="shared" si="456"/>
        <v>0</v>
      </c>
      <c r="BU168" s="130">
        <f t="shared" si="394"/>
        <v>4.2500000000000003E-2</v>
      </c>
      <c r="BV168" s="128">
        <f t="shared" si="271"/>
        <v>193.17926733082606</v>
      </c>
      <c r="BW168" s="128">
        <f t="shared" si="365"/>
        <v>146736.16943076832</v>
      </c>
      <c r="BY168" s="130">
        <f t="shared" si="452"/>
        <v>2.8000000000000001E-2</v>
      </c>
      <c r="BZ168" s="127">
        <f t="shared" si="444"/>
        <v>1331</v>
      </c>
      <c r="CA168" s="128">
        <f t="shared" si="445"/>
        <v>132980.5</v>
      </c>
      <c r="CB168" s="128">
        <f t="shared" si="366"/>
        <v>133100</v>
      </c>
      <c r="CC168" s="128">
        <f t="shared" si="359"/>
        <v>133100</v>
      </c>
      <c r="CD168" s="130">
        <f t="shared" si="395"/>
        <v>4.2999999999999997E-2</v>
      </c>
      <c r="CE168" s="128">
        <f t="shared" si="396"/>
        <v>135484.70833333331</v>
      </c>
      <c r="CF168" s="128" t="str">
        <f t="shared" si="397"/>
        <v>nie</v>
      </c>
      <c r="CG168" s="128">
        <f t="shared" si="398"/>
        <v>2662</v>
      </c>
      <c r="CH168" s="128">
        <f t="shared" si="369"/>
        <v>132875.39374999999</v>
      </c>
      <c r="CI168" s="128">
        <f t="shared" si="399"/>
        <v>0</v>
      </c>
      <c r="CJ168" s="130">
        <f t="shared" si="277"/>
        <v>4.2500000000000003E-2</v>
      </c>
      <c r="CK168" s="128">
        <f t="shared" si="400"/>
        <v>10470.585762936746</v>
      </c>
      <c r="CL168" s="128">
        <f t="shared" si="401"/>
        <v>143345.97951293673</v>
      </c>
      <c r="CN168" s="127">
        <f t="shared" si="446"/>
        <v>1495</v>
      </c>
      <c r="CO168" s="128">
        <f t="shared" si="447"/>
        <v>149350.5</v>
      </c>
      <c r="CP168" s="128">
        <f t="shared" si="342"/>
        <v>149500</v>
      </c>
      <c r="CQ168" s="128">
        <f t="shared" si="448"/>
        <v>149500</v>
      </c>
      <c r="CR168" s="130">
        <f t="shared" si="402"/>
        <v>5.6000000000000001E-2</v>
      </c>
      <c r="CS168" s="128">
        <f t="shared" si="403"/>
        <v>152988.33333333334</v>
      </c>
      <c r="CT168" s="128" t="str">
        <f t="shared" si="404"/>
        <v>nie</v>
      </c>
      <c r="CU168" s="128">
        <f t="shared" si="405"/>
        <v>3488.333333333343</v>
      </c>
      <c r="CV168" s="128">
        <f t="shared" si="406"/>
        <v>149500</v>
      </c>
      <c r="CW168" s="128">
        <f t="shared" si="453"/>
        <v>0</v>
      </c>
      <c r="CX168" s="130">
        <f t="shared" si="407"/>
        <v>4.2500000000000003E-2</v>
      </c>
      <c r="CY168" s="128">
        <f t="shared" si="408"/>
        <v>87.650152172806656</v>
      </c>
      <c r="CZ168" s="128">
        <f t="shared" si="409"/>
        <v>149587.65015217281</v>
      </c>
      <c r="DA168" s="20"/>
      <c r="DB168" s="127">
        <f t="shared" si="350"/>
        <v>1267</v>
      </c>
      <c r="DC168" s="128">
        <f t="shared" si="351"/>
        <v>126700</v>
      </c>
      <c r="DD168" s="128">
        <f t="shared" si="344"/>
        <v>126700</v>
      </c>
      <c r="DE168" s="128">
        <f t="shared" si="449"/>
        <v>153417.95965153282</v>
      </c>
      <c r="DF168" s="130">
        <f t="shared" si="410"/>
        <v>4.8000000000000001E-2</v>
      </c>
      <c r="DG168" s="128">
        <f t="shared" si="411"/>
        <v>156486.31884456347</v>
      </c>
      <c r="DH168" s="128" t="str">
        <f t="shared" si="412"/>
        <v>nie</v>
      </c>
      <c r="DI168" s="128">
        <f t="shared" si="413"/>
        <v>2534</v>
      </c>
      <c r="DJ168" s="128">
        <f t="shared" si="355"/>
        <v>148774.37826409642</v>
      </c>
      <c r="DK168" s="128">
        <f t="shared" si="454"/>
        <v>0</v>
      </c>
      <c r="DL168" s="130">
        <f t="shared" si="414"/>
        <v>4.2500000000000003E-2</v>
      </c>
      <c r="DM168" s="128">
        <f t="shared" si="415"/>
        <v>26.405023749393397</v>
      </c>
      <c r="DN168" s="128">
        <f t="shared" si="416"/>
        <v>148800.78328784581</v>
      </c>
      <c r="DP168" s="127">
        <f t="shared" si="352"/>
        <v>1000</v>
      </c>
      <c r="DQ168" s="128">
        <f t="shared" si="353"/>
        <v>100000</v>
      </c>
      <c r="DR168" s="128">
        <f t="shared" si="346"/>
        <v>100000</v>
      </c>
      <c r="DS168" s="128">
        <f t="shared" si="450"/>
        <v>168479.16561527047</v>
      </c>
      <c r="DT168" s="130">
        <f t="shared" si="417"/>
        <v>5.3000000000000005E-2</v>
      </c>
      <c r="DU168" s="128">
        <f t="shared" si="418"/>
        <v>172199.74718927435</v>
      </c>
      <c r="DV168" s="128" t="str">
        <f t="shared" si="419"/>
        <v>nie</v>
      </c>
      <c r="DW168" s="128">
        <f t="shared" si="420"/>
        <v>3000</v>
      </c>
      <c r="DX168" s="128">
        <f t="shared" si="302"/>
        <v>156051.79522331222</v>
      </c>
      <c r="DY168" s="128">
        <f t="shared" si="455"/>
        <v>0</v>
      </c>
      <c r="DZ168" s="130">
        <f t="shared" si="421"/>
        <v>4.2500000000000003E-2</v>
      </c>
      <c r="EA168" s="128">
        <f t="shared" si="422"/>
        <v>0</v>
      </c>
      <c r="EB168" s="128">
        <f t="shared" si="423"/>
        <v>156051.79522331222</v>
      </c>
    </row>
    <row r="169" spans="1:132">
      <c r="A169" s="224"/>
      <c r="B169" s="188">
        <f t="shared" si="424"/>
        <v>125</v>
      </c>
      <c r="C169" s="128">
        <f t="shared" si="425"/>
        <v>148813.00014396713</v>
      </c>
      <c r="D169" s="128">
        <f t="shared" si="426"/>
        <v>146990.66014188749</v>
      </c>
      <c r="E169" s="128">
        <f t="shared" si="427"/>
        <v>146736.16943076832</v>
      </c>
      <c r="F169" s="128">
        <f t="shared" si="428"/>
        <v>143345.97951293673</v>
      </c>
      <c r="G169" s="128">
        <f t="shared" si="429"/>
        <v>149587.65015217281</v>
      </c>
      <c r="H169" s="128">
        <f t="shared" si="430"/>
        <v>148800.78328784581</v>
      </c>
      <c r="I169" s="128">
        <f t="shared" si="431"/>
        <v>156051.79522331222</v>
      </c>
      <c r="J169" s="128">
        <f t="shared" si="432"/>
        <v>143058.05968973885</v>
      </c>
      <c r="K169" s="128">
        <f t="shared" si="433"/>
        <v>133342.49814446949</v>
      </c>
      <c r="M169" s="36"/>
      <c r="N169" s="32">
        <f t="shared" si="434"/>
        <v>125</v>
      </c>
      <c r="O169" s="25">
        <f t="shared" si="318"/>
        <v>0.48813000143967122</v>
      </c>
      <c r="P169" s="25">
        <f t="shared" si="319"/>
        <v>0.46990660141887486</v>
      </c>
      <c r="Q169" s="25">
        <f t="shared" si="320"/>
        <v>0.46736169430768326</v>
      </c>
      <c r="R169" s="25">
        <f t="shared" si="370"/>
        <v>0.43345979512936728</v>
      </c>
      <c r="S169" s="25">
        <f t="shared" si="371"/>
        <v>0.49587650152172813</v>
      </c>
      <c r="T169" s="25">
        <f t="shared" si="372"/>
        <v>0.48800783287845806</v>
      </c>
      <c r="U169" s="25">
        <f t="shared" si="373"/>
        <v>0.56051795223312229</v>
      </c>
      <c r="V169" s="25">
        <f t="shared" si="374"/>
        <v>0.43058059689738837</v>
      </c>
      <c r="W169" s="25">
        <f t="shared" si="375"/>
        <v>0.33342498144469479</v>
      </c>
      <c r="X169" s="36"/>
      <c r="Y169" s="36"/>
      <c r="AA169" s="124">
        <f t="shared" si="321"/>
        <v>126</v>
      </c>
      <c r="AB169" s="128">
        <f t="shared" si="376"/>
        <v>133650.04262124421</v>
      </c>
      <c r="AC169" s="124">
        <f t="shared" si="322"/>
        <v>126</v>
      </c>
      <c r="AD169" s="130">
        <f t="shared" si="435"/>
        <v>4.2500000000000003E-2</v>
      </c>
      <c r="AE169" s="127">
        <f t="shared" si="436"/>
        <v>1472</v>
      </c>
      <c r="AF169" s="128">
        <f t="shared" si="437"/>
        <v>147057.9</v>
      </c>
      <c r="AG169" s="128">
        <f t="shared" si="348"/>
        <v>147200</v>
      </c>
      <c r="AH169" s="128">
        <f t="shared" si="357"/>
        <v>147200</v>
      </c>
      <c r="AI169" s="130">
        <f t="shared" si="377"/>
        <v>4.2500000000000003E-2</v>
      </c>
      <c r="AJ169" s="128">
        <f t="shared" si="378"/>
        <v>147721.33333333334</v>
      </c>
      <c r="AK169" s="128" t="str">
        <f t="shared" si="379"/>
        <v>nie</v>
      </c>
      <c r="AL169" s="128">
        <f t="shared" si="380"/>
        <v>736</v>
      </c>
      <c r="AM169" s="128">
        <f t="shared" si="361"/>
        <v>147026.12</v>
      </c>
      <c r="AN169" s="128">
        <f t="shared" si="381"/>
        <v>422.28000000000787</v>
      </c>
      <c r="AO169" s="130">
        <f t="shared" si="382"/>
        <v>4.2500000000000003E-2</v>
      </c>
      <c r="AP169" s="128">
        <f t="shared" si="383"/>
        <v>2637.777672130158</v>
      </c>
      <c r="AQ169" s="128">
        <f t="shared" si="362"/>
        <v>149241.61767213015</v>
      </c>
      <c r="AS169" s="124">
        <f t="shared" si="327"/>
        <v>126</v>
      </c>
      <c r="AT169" s="130">
        <f t="shared" si="328"/>
        <v>4.2500000000000003E-2</v>
      </c>
      <c r="AU169" s="127">
        <f t="shared" si="438"/>
        <v>1456</v>
      </c>
      <c r="AV169" s="128">
        <f t="shared" si="439"/>
        <v>145464.5</v>
      </c>
      <c r="AW169" s="128">
        <f t="shared" si="363"/>
        <v>145600</v>
      </c>
      <c r="AX169" s="128">
        <f t="shared" si="358"/>
        <v>145600</v>
      </c>
      <c r="AY169" s="130">
        <f t="shared" si="384"/>
        <v>4.4000000000000004E-2</v>
      </c>
      <c r="AZ169" s="128">
        <f t="shared" si="385"/>
        <v>146133.86666666667</v>
      </c>
      <c r="BA169" s="128" t="str">
        <f t="shared" si="386"/>
        <v>nie</v>
      </c>
      <c r="BB169" s="128">
        <f t="shared" si="387"/>
        <v>1019.1999999999999</v>
      </c>
      <c r="BC169" s="128">
        <f t="shared" si="367"/>
        <v>145206.87999999998</v>
      </c>
      <c r="BD169" s="128">
        <f t="shared" si="388"/>
        <v>432.43200000000161</v>
      </c>
      <c r="BE169" s="130">
        <f t="shared" si="264"/>
        <v>4.2500000000000003E-2</v>
      </c>
      <c r="BF169" s="128">
        <f t="shared" si="389"/>
        <v>2655.0019004695655</v>
      </c>
      <c r="BG169" s="128">
        <f t="shared" si="368"/>
        <v>147429.44990046954</v>
      </c>
      <c r="BI169" s="124">
        <f t="shared" si="332"/>
        <v>126</v>
      </c>
      <c r="BJ169" s="130">
        <f t="shared" si="451"/>
        <v>4.1300000000000003E-2</v>
      </c>
      <c r="BK169" s="127">
        <f t="shared" si="440"/>
        <v>1401</v>
      </c>
      <c r="BL169" s="128">
        <f t="shared" si="441"/>
        <v>139959.9</v>
      </c>
      <c r="BM169" s="128">
        <f t="shared" si="349"/>
        <v>140100</v>
      </c>
      <c r="BN169" s="128">
        <f t="shared" si="442"/>
        <v>146614.65</v>
      </c>
      <c r="BO169" s="130">
        <f t="shared" si="390"/>
        <v>4.65E-2</v>
      </c>
      <c r="BP169" s="128">
        <f t="shared" si="391"/>
        <v>150023.44061249998</v>
      </c>
      <c r="BQ169" s="128" t="str">
        <f t="shared" si="392"/>
        <v>nie</v>
      </c>
      <c r="BR169" s="128">
        <f t="shared" si="393"/>
        <v>1401</v>
      </c>
      <c r="BS169" s="128">
        <f t="shared" si="364"/>
        <v>147003.17689612499</v>
      </c>
      <c r="BT169" s="128">
        <f t="shared" si="456"/>
        <v>0</v>
      </c>
      <c r="BU169" s="130">
        <f t="shared" si="394"/>
        <v>4.2500000000000003E-2</v>
      </c>
      <c r="BV169" s="128">
        <f t="shared" si="271"/>
        <v>193.73345035398137</v>
      </c>
      <c r="BW169" s="128">
        <f t="shared" si="365"/>
        <v>147196.91034647898</v>
      </c>
      <c r="BY169" s="130">
        <f t="shared" si="452"/>
        <v>2.8000000000000001E-2</v>
      </c>
      <c r="BZ169" s="127">
        <f t="shared" si="444"/>
        <v>1331</v>
      </c>
      <c r="CA169" s="128">
        <f t="shared" si="445"/>
        <v>132980.5</v>
      </c>
      <c r="CB169" s="128">
        <f t="shared" si="366"/>
        <v>133100</v>
      </c>
      <c r="CC169" s="128">
        <f t="shared" si="359"/>
        <v>133100</v>
      </c>
      <c r="CD169" s="130">
        <f t="shared" si="395"/>
        <v>4.2999999999999997E-2</v>
      </c>
      <c r="CE169" s="128">
        <f t="shared" si="396"/>
        <v>135961.65000000002</v>
      </c>
      <c r="CF169" s="128" t="str">
        <f t="shared" si="397"/>
        <v>nie</v>
      </c>
      <c r="CG169" s="128">
        <f t="shared" si="398"/>
        <v>2662</v>
      </c>
      <c r="CH169" s="128">
        <f t="shared" si="369"/>
        <v>133261.71650000001</v>
      </c>
      <c r="CI169" s="128">
        <f t="shared" si="399"/>
        <v>0</v>
      </c>
      <c r="CJ169" s="130">
        <f t="shared" si="277"/>
        <v>4.2500000000000003E-2</v>
      </c>
      <c r="CK169" s="128">
        <f t="shared" si="400"/>
        <v>10500.62325584417</v>
      </c>
      <c r="CL169" s="128">
        <f t="shared" si="401"/>
        <v>143762.33975584418</v>
      </c>
      <c r="CN169" s="127">
        <f t="shared" si="446"/>
        <v>1495</v>
      </c>
      <c r="CO169" s="128">
        <f t="shared" si="447"/>
        <v>149350.5</v>
      </c>
      <c r="CP169" s="128">
        <f t="shared" si="342"/>
        <v>149500</v>
      </c>
      <c r="CQ169" s="128">
        <f t="shared" si="448"/>
        <v>149500</v>
      </c>
      <c r="CR169" s="130">
        <f t="shared" si="402"/>
        <v>5.6000000000000001E-2</v>
      </c>
      <c r="CS169" s="128">
        <f t="shared" si="403"/>
        <v>153686</v>
      </c>
      <c r="CT169" s="128" t="str">
        <f t="shared" si="404"/>
        <v>nie</v>
      </c>
      <c r="CU169" s="128">
        <f t="shared" si="405"/>
        <v>4186</v>
      </c>
      <c r="CV169" s="128">
        <f t="shared" si="406"/>
        <v>149500</v>
      </c>
      <c r="CW169" s="128">
        <f t="shared" si="453"/>
        <v>0</v>
      </c>
      <c r="CX169" s="130">
        <f t="shared" si="407"/>
        <v>4.2500000000000003E-2</v>
      </c>
      <c r="CY169" s="128">
        <f t="shared" si="408"/>
        <v>87.901598546852398</v>
      </c>
      <c r="CZ169" s="128">
        <f t="shared" si="409"/>
        <v>149587.90159854686</v>
      </c>
      <c r="DA169" s="20"/>
      <c r="DB169" s="127">
        <f t="shared" si="350"/>
        <v>1267</v>
      </c>
      <c r="DC169" s="128">
        <f t="shared" si="351"/>
        <v>126700</v>
      </c>
      <c r="DD169" s="128">
        <f t="shared" si="344"/>
        <v>126700</v>
      </c>
      <c r="DE169" s="128">
        <f t="shared" si="449"/>
        <v>153417.95965153282</v>
      </c>
      <c r="DF169" s="130">
        <f t="shared" si="410"/>
        <v>4.8000000000000001E-2</v>
      </c>
      <c r="DG169" s="128">
        <f t="shared" si="411"/>
        <v>157099.9906831696</v>
      </c>
      <c r="DH169" s="128" t="str">
        <f t="shared" si="412"/>
        <v>nie</v>
      </c>
      <c r="DI169" s="128">
        <f t="shared" si="413"/>
        <v>2534</v>
      </c>
      <c r="DJ169" s="128">
        <f t="shared" si="355"/>
        <v>149271.45245336738</v>
      </c>
      <c r="DK169" s="128">
        <f t="shared" si="454"/>
        <v>0</v>
      </c>
      <c r="DL169" s="130">
        <f t="shared" si="414"/>
        <v>4.2500000000000003E-2</v>
      </c>
      <c r="DM169" s="128">
        <f t="shared" si="415"/>
        <v>26.48077316127447</v>
      </c>
      <c r="DN169" s="128">
        <f t="shared" si="416"/>
        <v>149297.93322652866</v>
      </c>
      <c r="DP169" s="127">
        <f t="shared" si="352"/>
        <v>1000</v>
      </c>
      <c r="DQ169" s="128">
        <f t="shared" si="353"/>
        <v>100000</v>
      </c>
      <c r="DR169" s="128">
        <f t="shared" si="346"/>
        <v>100000</v>
      </c>
      <c r="DS169" s="128">
        <f t="shared" si="450"/>
        <v>168479.16561527047</v>
      </c>
      <c r="DT169" s="130">
        <f t="shared" si="417"/>
        <v>5.3000000000000005E-2</v>
      </c>
      <c r="DU169" s="128">
        <f t="shared" si="418"/>
        <v>172943.86350407513</v>
      </c>
      <c r="DV169" s="128" t="str">
        <f t="shared" si="419"/>
        <v>nie</v>
      </c>
      <c r="DW169" s="128">
        <f t="shared" si="420"/>
        <v>3000</v>
      </c>
      <c r="DX169" s="128">
        <f t="shared" si="302"/>
        <v>156654.52943830084</v>
      </c>
      <c r="DY169" s="128">
        <f t="shared" si="455"/>
        <v>0</v>
      </c>
      <c r="DZ169" s="130">
        <f t="shared" si="421"/>
        <v>4.2500000000000003E-2</v>
      </c>
      <c r="EA169" s="128">
        <f t="shared" si="422"/>
        <v>0</v>
      </c>
      <c r="EB169" s="128">
        <f t="shared" si="423"/>
        <v>156654.52943830084</v>
      </c>
    </row>
    <row r="170" spans="1:132">
      <c r="A170" s="224"/>
      <c r="B170" s="188">
        <f t="shared" si="424"/>
        <v>126</v>
      </c>
      <c r="C170" s="128">
        <f t="shared" si="425"/>
        <v>149241.61767213015</v>
      </c>
      <c r="D170" s="128">
        <f t="shared" si="426"/>
        <v>147429.44990046954</v>
      </c>
      <c r="E170" s="128">
        <f t="shared" si="427"/>
        <v>147196.91034647898</v>
      </c>
      <c r="F170" s="128">
        <f t="shared" si="428"/>
        <v>143762.33975584418</v>
      </c>
      <c r="G170" s="128">
        <f t="shared" si="429"/>
        <v>149587.90159854686</v>
      </c>
      <c r="H170" s="128">
        <f t="shared" si="430"/>
        <v>149297.93322652866</v>
      </c>
      <c r="I170" s="128">
        <f t="shared" si="431"/>
        <v>156654.52943830084</v>
      </c>
      <c r="J170" s="128">
        <f t="shared" si="432"/>
        <v>143468.45749847378</v>
      </c>
      <c r="K170" s="128">
        <f t="shared" si="433"/>
        <v>133650.04262124421</v>
      </c>
      <c r="M170" s="36"/>
      <c r="N170" s="32">
        <f t="shared" si="434"/>
        <v>126</v>
      </c>
      <c r="O170" s="25">
        <f t="shared" si="318"/>
        <v>0.49241617672130156</v>
      </c>
      <c r="P170" s="25">
        <f t="shared" si="319"/>
        <v>0.47429449900469534</v>
      </c>
      <c r="Q170" s="25">
        <f t="shared" si="320"/>
        <v>0.47196910346478971</v>
      </c>
      <c r="R170" s="25">
        <f t="shared" si="370"/>
        <v>0.43762339755844182</v>
      </c>
      <c r="S170" s="25">
        <f t="shared" si="371"/>
        <v>0.49587901598546869</v>
      </c>
      <c r="T170" s="25">
        <f t="shared" si="372"/>
        <v>0.49297933226528667</v>
      </c>
      <c r="U170" s="25">
        <f t="shared" si="373"/>
        <v>0.56654529438300849</v>
      </c>
      <c r="V170" s="25">
        <f t="shared" si="374"/>
        <v>0.43468457498473789</v>
      </c>
      <c r="W170" s="25">
        <f t="shared" si="375"/>
        <v>0.33650042621244203</v>
      </c>
      <c r="X170" s="36"/>
      <c r="Y170" s="36"/>
      <c r="AA170" s="124">
        <f t="shared" si="321"/>
        <v>127</v>
      </c>
      <c r="AB170" s="128">
        <f t="shared" si="376"/>
        <v>133957.58709801894</v>
      </c>
      <c r="AC170" s="124">
        <f t="shared" si="322"/>
        <v>127</v>
      </c>
      <c r="AD170" s="130">
        <f t="shared" si="435"/>
        <v>4.2500000000000003E-2</v>
      </c>
      <c r="AE170" s="127">
        <f t="shared" si="436"/>
        <v>1472</v>
      </c>
      <c r="AF170" s="128">
        <f t="shared" si="437"/>
        <v>147057.9</v>
      </c>
      <c r="AG170" s="128">
        <f t="shared" si="348"/>
        <v>147200</v>
      </c>
      <c r="AH170" s="128">
        <f t="shared" si="357"/>
        <v>147200</v>
      </c>
      <c r="AI170" s="130">
        <f t="shared" si="377"/>
        <v>4.2500000000000003E-2</v>
      </c>
      <c r="AJ170" s="128">
        <f t="shared" si="378"/>
        <v>147721.33333333334</v>
      </c>
      <c r="AK170" s="128" t="str">
        <f t="shared" si="379"/>
        <v>nie</v>
      </c>
      <c r="AL170" s="128">
        <f t="shared" si="380"/>
        <v>736</v>
      </c>
      <c r="AM170" s="128">
        <f t="shared" si="361"/>
        <v>147026.12</v>
      </c>
      <c r="AN170" s="128">
        <f t="shared" si="381"/>
        <v>422.28000000000787</v>
      </c>
      <c r="AO170" s="130">
        <f t="shared" si="382"/>
        <v>4.2500000000000003E-2</v>
      </c>
      <c r="AP170" s="128">
        <f t="shared" si="383"/>
        <v>3067.6247968270891</v>
      </c>
      <c r="AQ170" s="128">
        <f t="shared" si="362"/>
        <v>149671.46479682709</v>
      </c>
      <c r="AS170" s="124">
        <f t="shared" si="327"/>
        <v>127</v>
      </c>
      <c r="AT170" s="130">
        <f t="shared" si="328"/>
        <v>4.2500000000000003E-2</v>
      </c>
      <c r="AU170" s="127">
        <f t="shared" si="438"/>
        <v>1456</v>
      </c>
      <c r="AV170" s="128">
        <f t="shared" si="439"/>
        <v>145464.5</v>
      </c>
      <c r="AW170" s="128">
        <f t="shared" si="363"/>
        <v>145600</v>
      </c>
      <c r="AX170" s="128">
        <f t="shared" si="358"/>
        <v>145600</v>
      </c>
      <c r="AY170" s="130">
        <f t="shared" si="384"/>
        <v>4.4000000000000004E-2</v>
      </c>
      <c r="AZ170" s="128">
        <f t="shared" si="385"/>
        <v>146133.86666666667</v>
      </c>
      <c r="BA170" s="128" t="str">
        <f t="shared" si="386"/>
        <v>nie</v>
      </c>
      <c r="BB170" s="128">
        <f t="shared" si="387"/>
        <v>1019.1999999999999</v>
      </c>
      <c r="BC170" s="128">
        <f t="shared" si="367"/>
        <v>145206.87999999998</v>
      </c>
      <c r="BD170" s="128">
        <f t="shared" si="388"/>
        <v>432.43200000000161</v>
      </c>
      <c r="BE170" s="130">
        <f t="shared" si="264"/>
        <v>4.2500000000000003E-2</v>
      </c>
      <c r="BF170" s="128">
        <f t="shared" si="389"/>
        <v>3095.0504371715392</v>
      </c>
      <c r="BG170" s="128">
        <f t="shared" si="368"/>
        <v>147869.49843717151</v>
      </c>
      <c r="BI170" s="124">
        <f t="shared" si="332"/>
        <v>127</v>
      </c>
      <c r="BJ170" s="130">
        <f t="shared" si="451"/>
        <v>4.1300000000000003E-2</v>
      </c>
      <c r="BK170" s="127">
        <f t="shared" si="440"/>
        <v>1401</v>
      </c>
      <c r="BL170" s="128">
        <f t="shared" si="441"/>
        <v>139959.9</v>
      </c>
      <c r="BM170" s="128">
        <f t="shared" si="349"/>
        <v>140100</v>
      </c>
      <c r="BN170" s="128">
        <f t="shared" si="442"/>
        <v>146614.65</v>
      </c>
      <c r="BO170" s="130">
        <f t="shared" si="390"/>
        <v>4.65E-2</v>
      </c>
      <c r="BP170" s="128">
        <f t="shared" si="391"/>
        <v>150591.57238125001</v>
      </c>
      <c r="BQ170" s="128" t="str">
        <f t="shared" si="392"/>
        <v>nie</v>
      </c>
      <c r="BR170" s="128">
        <f t="shared" si="393"/>
        <v>1401</v>
      </c>
      <c r="BS170" s="128">
        <f t="shared" si="364"/>
        <v>147463.36362881251</v>
      </c>
      <c r="BT170" s="128">
        <f t="shared" si="456"/>
        <v>0</v>
      </c>
      <c r="BU170" s="130">
        <f t="shared" si="394"/>
        <v>4.2500000000000003E-2</v>
      </c>
      <c r="BV170" s="128">
        <f t="shared" si="271"/>
        <v>194.28922318968435</v>
      </c>
      <c r="BW170" s="128">
        <f t="shared" si="365"/>
        <v>147657.65285200221</v>
      </c>
      <c r="BY170" s="130">
        <f t="shared" si="452"/>
        <v>2.8000000000000001E-2</v>
      </c>
      <c r="BZ170" s="127">
        <f t="shared" si="444"/>
        <v>1331</v>
      </c>
      <c r="CA170" s="128">
        <f t="shared" si="445"/>
        <v>132980.5</v>
      </c>
      <c r="CB170" s="128">
        <f t="shared" si="366"/>
        <v>133100</v>
      </c>
      <c r="CC170" s="128">
        <f t="shared" si="359"/>
        <v>133100</v>
      </c>
      <c r="CD170" s="130">
        <f t="shared" si="395"/>
        <v>4.2999999999999997E-2</v>
      </c>
      <c r="CE170" s="128">
        <f t="shared" si="396"/>
        <v>136438.59166666667</v>
      </c>
      <c r="CF170" s="128" t="str">
        <f t="shared" si="397"/>
        <v>nie</v>
      </c>
      <c r="CG170" s="128">
        <f t="shared" si="398"/>
        <v>2662</v>
      </c>
      <c r="CH170" s="128">
        <f t="shared" si="369"/>
        <v>133648.03925</v>
      </c>
      <c r="CI170" s="128">
        <f t="shared" si="399"/>
        <v>0</v>
      </c>
      <c r="CJ170" s="130">
        <f t="shared" si="277"/>
        <v>4.2500000000000003E-2</v>
      </c>
      <c r="CK170" s="128">
        <f t="shared" si="400"/>
        <v>10530.746918809373</v>
      </c>
      <c r="CL170" s="128">
        <f t="shared" si="401"/>
        <v>144178.78616880937</v>
      </c>
      <c r="CN170" s="127">
        <f t="shared" si="446"/>
        <v>1495</v>
      </c>
      <c r="CO170" s="128">
        <f t="shared" si="447"/>
        <v>149350.5</v>
      </c>
      <c r="CP170" s="128">
        <f t="shared" si="342"/>
        <v>149500</v>
      </c>
      <c r="CQ170" s="128">
        <f t="shared" si="448"/>
        <v>149500</v>
      </c>
      <c r="CR170" s="130">
        <f t="shared" si="402"/>
        <v>5.6000000000000001E-2</v>
      </c>
      <c r="CS170" s="128">
        <f t="shared" si="403"/>
        <v>154383.66666666666</v>
      </c>
      <c r="CT170" s="128" t="str">
        <f t="shared" si="404"/>
        <v>nie</v>
      </c>
      <c r="CU170" s="128">
        <f t="shared" si="405"/>
        <v>4485</v>
      </c>
      <c r="CV170" s="128">
        <f t="shared" si="406"/>
        <v>149822.91999999998</v>
      </c>
      <c r="CW170" s="128">
        <f t="shared" si="453"/>
        <v>0</v>
      </c>
      <c r="CX170" s="130">
        <f t="shared" si="407"/>
        <v>4.2500000000000003E-2</v>
      </c>
      <c r="CY170" s="128">
        <f t="shared" si="408"/>
        <v>88.153766257683685</v>
      </c>
      <c r="CZ170" s="128">
        <f t="shared" si="409"/>
        <v>149911.07376625767</v>
      </c>
      <c r="DA170" s="20"/>
      <c r="DB170" s="127">
        <f t="shared" si="350"/>
        <v>1267</v>
      </c>
      <c r="DC170" s="128">
        <f t="shared" si="351"/>
        <v>126700</v>
      </c>
      <c r="DD170" s="128">
        <f t="shared" si="344"/>
        <v>126700</v>
      </c>
      <c r="DE170" s="128">
        <f t="shared" si="449"/>
        <v>153417.95965153282</v>
      </c>
      <c r="DF170" s="130">
        <f t="shared" si="410"/>
        <v>4.8000000000000001E-2</v>
      </c>
      <c r="DG170" s="128">
        <f t="shared" si="411"/>
        <v>157713.66252177572</v>
      </c>
      <c r="DH170" s="128" t="str">
        <f t="shared" si="412"/>
        <v>nie</v>
      </c>
      <c r="DI170" s="128">
        <f t="shared" si="413"/>
        <v>2534</v>
      </c>
      <c r="DJ170" s="128">
        <f t="shared" si="355"/>
        <v>149768.52664263835</v>
      </c>
      <c r="DK170" s="128">
        <f t="shared" si="454"/>
        <v>0</v>
      </c>
      <c r="DL170" s="130">
        <f t="shared" si="414"/>
        <v>4.2500000000000003E-2</v>
      </c>
      <c r="DM170" s="128">
        <f t="shared" si="415"/>
        <v>26.556739879280876</v>
      </c>
      <c r="DN170" s="128">
        <f t="shared" si="416"/>
        <v>149795.08338251762</v>
      </c>
      <c r="DP170" s="127">
        <f t="shared" si="352"/>
        <v>1000</v>
      </c>
      <c r="DQ170" s="128">
        <f t="shared" si="353"/>
        <v>100000</v>
      </c>
      <c r="DR170" s="128">
        <f t="shared" si="346"/>
        <v>100000</v>
      </c>
      <c r="DS170" s="128">
        <f t="shared" si="450"/>
        <v>168479.16561527047</v>
      </c>
      <c r="DT170" s="130">
        <f t="shared" si="417"/>
        <v>5.3000000000000005E-2</v>
      </c>
      <c r="DU170" s="128">
        <f t="shared" si="418"/>
        <v>173687.97981887593</v>
      </c>
      <c r="DV170" s="128" t="str">
        <f t="shared" si="419"/>
        <v>nie</v>
      </c>
      <c r="DW170" s="128">
        <f t="shared" si="420"/>
        <v>3000</v>
      </c>
      <c r="DX170" s="128">
        <f t="shared" si="302"/>
        <v>157257.2636532895</v>
      </c>
      <c r="DY170" s="128">
        <f t="shared" si="455"/>
        <v>0</v>
      </c>
      <c r="DZ170" s="130">
        <f t="shared" si="421"/>
        <v>4.2500000000000003E-2</v>
      </c>
      <c r="EA170" s="128">
        <f t="shared" si="422"/>
        <v>0</v>
      </c>
      <c r="EB170" s="128">
        <f t="shared" si="423"/>
        <v>157257.2636532895</v>
      </c>
    </row>
    <row r="171" spans="1:132">
      <c r="A171" s="224"/>
      <c r="B171" s="188">
        <f t="shared" si="424"/>
        <v>127</v>
      </c>
      <c r="C171" s="128">
        <f t="shared" si="425"/>
        <v>149671.46479682709</v>
      </c>
      <c r="D171" s="128">
        <f t="shared" si="426"/>
        <v>147869.49843717151</v>
      </c>
      <c r="E171" s="128">
        <f t="shared" si="427"/>
        <v>147657.65285200221</v>
      </c>
      <c r="F171" s="128">
        <f t="shared" si="428"/>
        <v>144178.78616880937</v>
      </c>
      <c r="G171" s="128">
        <f t="shared" si="429"/>
        <v>149911.07376625767</v>
      </c>
      <c r="H171" s="128">
        <f t="shared" si="430"/>
        <v>149795.08338251762</v>
      </c>
      <c r="I171" s="128">
        <f t="shared" si="431"/>
        <v>157257.2636532895</v>
      </c>
      <c r="J171" s="128">
        <f t="shared" si="432"/>
        <v>143880.03263592251</v>
      </c>
      <c r="K171" s="128">
        <f t="shared" si="433"/>
        <v>133957.58709801894</v>
      </c>
      <c r="M171" s="36"/>
      <c r="N171" s="32">
        <f t="shared" si="434"/>
        <v>127</v>
      </c>
      <c r="O171" s="25">
        <f t="shared" si="318"/>
        <v>0.49671464796827092</v>
      </c>
      <c r="P171" s="25">
        <f t="shared" si="319"/>
        <v>0.4786949843717152</v>
      </c>
      <c r="Q171" s="25">
        <f t="shared" si="320"/>
        <v>0.47657652852002208</v>
      </c>
      <c r="R171" s="25">
        <f t="shared" si="370"/>
        <v>0.4417878616880937</v>
      </c>
      <c r="S171" s="25">
        <f t="shared" si="371"/>
        <v>0.49911073766257674</v>
      </c>
      <c r="T171" s="25">
        <f t="shared" si="372"/>
        <v>0.49795083382517613</v>
      </c>
      <c r="U171" s="25">
        <f t="shared" si="373"/>
        <v>0.57257263653289492</v>
      </c>
      <c r="V171" s="25">
        <f t="shared" si="374"/>
        <v>0.43880032635922506</v>
      </c>
      <c r="W171" s="25">
        <f t="shared" si="375"/>
        <v>0.33957587098018926</v>
      </c>
      <c r="X171" s="36"/>
      <c r="Y171" s="36"/>
      <c r="AA171" s="124">
        <f t="shared" si="321"/>
        <v>128</v>
      </c>
      <c r="AB171" s="128">
        <f t="shared" si="376"/>
        <v>134265.13157479363</v>
      </c>
      <c r="AC171" s="124">
        <f t="shared" si="322"/>
        <v>128</v>
      </c>
      <c r="AD171" s="130">
        <f t="shared" si="435"/>
        <v>4.2500000000000003E-2</v>
      </c>
      <c r="AE171" s="127">
        <f t="shared" si="436"/>
        <v>1472</v>
      </c>
      <c r="AF171" s="128">
        <f t="shared" si="437"/>
        <v>147057.9</v>
      </c>
      <c r="AG171" s="128">
        <f t="shared" si="348"/>
        <v>147200</v>
      </c>
      <c r="AH171" s="128">
        <f t="shared" si="357"/>
        <v>147200</v>
      </c>
      <c r="AI171" s="130">
        <f t="shared" si="377"/>
        <v>4.2500000000000003E-2</v>
      </c>
      <c r="AJ171" s="128">
        <f t="shared" si="378"/>
        <v>147721.33333333334</v>
      </c>
      <c r="AK171" s="128" t="str">
        <f t="shared" si="379"/>
        <v>nie</v>
      </c>
      <c r="AL171" s="128">
        <f t="shared" si="380"/>
        <v>736</v>
      </c>
      <c r="AM171" s="128">
        <f t="shared" si="361"/>
        <v>147026.12</v>
      </c>
      <c r="AN171" s="128">
        <f t="shared" si="381"/>
        <v>422.28000000000787</v>
      </c>
      <c r="AO171" s="130">
        <f t="shared" si="382"/>
        <v>4.2500000000000003E-2</v>
      </c>
      <c r="AP171" s="128">
        <f t="shared" si="383"/>
        <v>3498.7050454629948</v>
      </c>
      <c r="AQ171" s="128">
        <f t="shared" si="362"/>
        <v>150102.54504546299</v>
      </c>
      <c r="AS171" s="124">
        <f t="shared" si="327"/>
        <v>128</v>
      </c>
      <c r="AT171" s="130">
        <f t="shared" si="328"/>
        <v>4.2500000000000003E-2</v>
      </c>
      <c r="AU171" s="127">
        <f t="shared" si="438"/>
        <v>1456</v>
      </c>
      <c r="AV171" s="128">
        <f t="shared" si="439"/>
        <v>145464.5</v>
      </c>
      <c r="AW171" s="128">
        <f t="shared" si="363"/>
        <v>145600</v>
      </c>
      <c r="AX171" s="128">
        <f t="shared" si="358"/>
        <v>145600</v>
      </c>
      <c r="AY171" s="130">
        <f t="shared" si="384"/>
        <v>4.4000000000000004E-2</v>
      </c>
      <c r="AZ171" s="128">
        <f t="shared" si="385"/>
        <v>146133.86666666667</v>
      </c>
      <c r="BA171" s="128" t="str">
        <f t="shared" si="386"/>
        <v>nie</v>
      </c>
      <c r="BB171" s="128">
        <f t="shared" si="387"/>
        <v>1019.1999999999999</v>
      </c>
      <c r="BC171" s="128">
        <f t="shared" si="367"/>
        <v>145206.87999999998</v>
      </c>
      <c r="BD171" s="128">
        <f t="shared" si="388"/>
        <v>432.43200000000161</v>
      </c>
      <c r="BE171" s="130">
        <f t="shared" si="264"/>
        <v>4.2500000000000003E-2</v>
      </c>
      <c r="BF171" s="128">
        <f t="shared" si="389"/>
        <v>3536.3613631131766</v>
      </c>
      <c r="BG171" s="128">
        <f t="shared" si="368"/>
        <v>148310.80936311316</v>
      </c>
      <c r="BI171" s="124">
        <f t="shared" si="332"/>
        <v>128</v>
      </c>
      <c r="BJ171" s="130">
        <f t="shared" si="451"/>
        <v>4.1300000000000003E-2</v>
      </c>
      <c r="BK171" s="127">
        <f t="shared" si="440"/>
        <v>1401</v>
      </c>
      <c r="BL171" s="128">
        <f t="shared" si="441"/>
        <v>139959.9</v>
      </c>
      <c r="BM171" s="128">
        <f t="shared" si="349"/>
        <v>140100</v>
      </c>
      <c r="BN171" s="128">
        <f t="shared" si="442"/>
        <v>146614.65</v>
      </c>
      <c r="BO171" s="130">
        <f t="shared" si="390"/>
        <v>4.65E-2</v>
      </c>
      <c r="BP171" s="128">
        <f t="shared" si="391"/>
        <v>151159.70414999998</v>
      </c>
      <c r="BQ171" s="128" t="str">
        <f t="shared" si="392"/>
        <v>nie</v>
      </c>
      <c r="BR171" s="128">
        <f t="shared" si="393"/>
        <v>1401</v>
      </c>
      <c r="BS171" s="128">
        <f t="shared" si="364"/>
        <v>147923.55036149998</v>
      </c>
      <c r="BT171" s="128">
        <f t="shared" si="456"/>
        <v>0</v>
      </c>
      <c r="BU171" s="130">
        <f t="shared" si="394"/>
        <v>4.2500000000000003E-2</v>
      </c>
      <c r="BV171" s="128">
        <f t="shared" si="271"/>
        <v>194.84659039870976</v>
      </c>
      <c r="BW171" s="128">
        <f t="shared" si="365"/>
        <v>148118.3969518987</v>
      </c>
      <c r="BY171" s="130">
        <f t="shared" si="452"/>
        <v>2.8000000000000001E-2</v>
      </c>
      <c r="BZ171" s="127">
        <f t="shared" si="444"/>
        <v>1331</v>
      </c>
      <c r="CA171" s="128">
        <f t="shared" si="445"/>
        <v>132980.5</v>
      </c>
      <c r="CB171" s="128">
        <f t="shared" si="366"/>
        <v>133100</v>
      </c>
      <c r="CC171" s="128">
        <f t="shared" si="359"/>
        <v>133100</v>
      </c>
      <c r="CD171" s="130">
        <f t="shared" si="395"/>
        <v>4.2999999999999997E-2</v>
      </c>
      <c r="CE171" s="128">
        <f t="shared" si="396"/>
        <v>136915.53333333333</v>
      </c>
      <c r="CF171" s="128" t="str">
        <f t="shared" si="397"/>
        <v>nie</v>
      </c>
      <c r="CG171" s="128">
        <f t="shared" si="398"/>
        <v>2662</v>
      </c>
      <c r="CH171" s="128">
        <f t="shared" si="369"/>
        <v>134034.36199999999</v>
      </c>
      <c r="CI171" s="128">
        <f t="shared" si="399"/>
        <v>0</v>
      </c>
      <c r="CJ171" s="130">
        <f t="shared" si="277"/>
        <v>4.2500000000000003E-2</v>
      </c>
      <c r="CK171" s="128">
        <f t="shared" si="400"/>
        <v>10560.956999032707</v>
      </c>
      <c r="CL171" s="128">
        <f t="shared" si="401"/>
        <v>144595.31899903269</v>
      </c>
      <c r="CN171" s="127">
        <f t="shared" si="446"/>
        <v>1495</v>
      </c>
      <c r="CO171" s="128">
        <f t="shared" si="447"/>
        <v>149350.5</v>
      </c>
      <c r="CP171" s="128">
        <f t="shared" si="342"/>
        <v>149500</v>
      </c>
      <c r="CQ171" s="128">
        <f t="shared" si="448"/>
        <v>149500</v>
      </c>
      <c r="CR171" s="130">
        <f t="shared" si="402"/>
        <v>5.6000000000000001E-2</v>
      </c>
      <c r="CS171" s="128">
        <f t="shared" si="403"/>
        <v>155081.33333333334</v>
      </c>
      <c r="CT171" s="128" t="str">
        <f t="shared" si="404"/>
        <v>nie</v>
      </c>
      <c r="CU171" s="128">
        <f t="shared" si="405"/>
        <v>4485</v>
      </c>
      <c r="CV171" s="128">
        <f t="shared" si="406"/>
        <v>150388.03</v>
      </c>
      <c r="CW171" s="128">
        <f t="shared" si="453"/>
        <v>0</v>
      </c>
      <c r="CX171" s="130">
        <f t="shared" si="407"/>
        <v>4.2500000000000003E-2</v>
      </c>
      <c r="CY171" s="128">
        <f t="shared" si="408"/>
        <v>88.406657374635415</v>
      </c>
      <c r="CZ171" s="128">
        <f t="shared" si="409"/>
        <v>150476.43665737464</v>
      </c>
      <c r="DA171" s="20"/>
      <c r="DB171" s="127">
        <f t="shared" si="350"/>
        <v>1267</v>
      </c>
      <c r="DC171" s="128">
        <f t="shared" si="351"/>
        <v>126700</v>
      </c>
      <c r="DD171" s="128">
        <f t="shared" si="344"/>
        <v>126700</v>
      </c>
      <c r="DE171" s="128">
        <f t="shared" si="449"/>
        <v>153417.95965153282</v>
      </c>
      <c r="DF171" s="130">
        <f t="shared" si="410"/>
        <v>4.8000000000000001E-2</v>
      </c>
      <c r="DG171" s="128">
        <f t="shared" si="411"/>
        <v>158327.33436038188</v>
      </c>
      <c r="DH171" s="128" t="str">
        <f t="shared" si="412"/>
        <v>nie</v>
      </c>
      <c r="DI171" s="128">
        <f t="shared" si="413"/>
        <v>2534</v>
      </c>
      <c r="DJ171" s="128">
        <f t="shared" si="355"/>
        <v>150265.60083190931</v>
      </c>
      <c r="DK171" s="128">
        <f t="shared" si="454"/>
        <v>0</v>
      </c>
      <c r="DL171" s="130">
        <f t="shared" si="414"/>
        <v>4.2500000000000003E-2</v>
      </c>
      <c r="DM171" s="128">
        <f t="shared" si="415"/>
        <v>26.632924526809564</v>
      </c>
      <c r="DN171" s="128">
        <f t="shared" si="416"/>
        <v>150292.23375643612</v>
      </c>
      <c r="DP171" s="127">
        <f t="shared" si="352"/>
        <v>1000</v>
      </c>
      <c r="DQ171" s="128">
        <f t="shared" si="353"/>
        <v>100000</v>
      </c>
      <c r="DR171" s="128">
        <f t="shared" si="346"/>
        <v>100000</v>
      </c>
      <c r="DS171" s="128">
        <f t="shared" si="450"/>
        <v>168479.16561527047</v>
      </c>
      <c r="DT171" s="130">
        <f t="shared" si="417"/>
        <v>5.3000000000000005E-2</v>
      </c>
      <c r="DU171" s="128">
        <f t="shared" si="418"/>
        <v>174432.09613367671</v>
      </c>
      <c r="DV171" s="128" t="str">
        <f t="shared" si="419"/>
        <v>nie</v>
      </c>
      <c r="DW171" s="128">
        <f t="shared" si="420"/>
        <v>3000</v>
      </c>
      <c r="DX171" s="128">
        <f t="shared" si="302"/>
        <v>157859.99786827812</v>
      </c>
      <c r="DY171" s="128">
        <f t="shared" si="455"/>
        <v>0</v>
      </c>
      <c r="DZ171" s="130">
        <f t="shared" si="421"/>
        <v>4.2500000000000003E-2</v>
      </c>
      <c r="EA171" s="128">
        <f t="shared" si="422"/>
        <v>0</v>
      </c>
      <c r="EB171" s="128">
        <f t="shared" si="423"/>
        <v>157859.99786827812</v>
      </c>
    </row>
    <row r="172" spans="1:132">
      <c r="A172" s="224"/>
      <c r="B172" s="188">
        <f t="shared" si="424"/>
        <v>128</v>
      </c>
      <c r="C172" s="128">
        <f t="shared" si="425"/>
        <v>150102.54504546299</v>
      </c>
      <c r="D172" s="128">
        <f t="shared" si="426"/>
        <v>148310.80936311316</v>
      </c>
      <c r="E172" s="128">
        <f t="shared" si="427"/>
        <v>148118.3969518987</v>
      </c>
      <c r="F172" s="128">
        <f t="shared" si="428"/>
        <v>144595.31899903269</v>
      </c>
      <c r="G172" s="128">
        <f t="shared" si="429"/>
        <v>150476.43665737464</v>
      </c>
      <c r="H172" s="128">
        <f t="shared" si="430"/>
        <v>150292.23375643612</v>
      </c>
      <c r="I172" s="128">
        <f t="shared" si="431"/>
        <v>157859.99786827812</v>
      </c>
      <c r="J172" s="128">
        <f t="shared" si="432"/>
        <v>144292.78847954681</v>
      </c>
      <c r="K172" s="128">
        <f t="shared" si="433"/>
        <v>134265.13157479363</v>
      </c>
      <c r="M172" s="36"/>
      <c r="N172" s="32">
        <f t="shared" si="434"/>
        <v>128</v>
      </c>
      <c r="O172" s="25">
        <f t="shared" si="318"/>
        <v>0.50102545045462987</v>
      </c>
      <c r="P172" s="25">
        <f t="shared" si="319"/>
        <v>0.48310809363113161</v>
      </c>
      <c r="Q172" s="25">
        <f t="shared" si="320"/>
        <v>0.48118396951898701</v>
      </c>
      <c r="R172" s="25">
        <f t="shared" ref="R172:R188" si="457">F172/zakup_domyslny_wartosc-1</f>
        <v>0.44595318999032685</v>
      </c>
      <c r="S172" s="25">
        <f t="shared" ref="S172:S188" si="458">G172/zakup_domyslny_wartosc-1</f>
        <v>0.50476436657374646</v>
      </c>
      <c r="T172" s="25">
        <f t="shared" ref="T172:T188" si="459">H172/zakup_domyslny_wartosc-1</f>
        <v>0.50292233756436122</v>
      </c>
      <c r="U172" s="25">
        <f t="shared" ref="U172:U188" si="460">I172/zakup_domyslny_wartosc-1</f>
        <v>0.57859997868278112</v>
      </c>
      <c r="V172" s="25">
        <f t="shared" ref="V172:V188" si="461">J172/zakup_domyslny_wartosc-1</f>
        <v>0.44292788479546807</v>
      </c>
      <c r="W172" s="25">
        <f t="shared" ref="W172:W188" si="462">K172/zakup_domyslny_wartosc-1</f>
        <v>0.34265131574793628</v>
      </c>
      <c r="X172" s="36"/>
      <c r="Y172" s="36"/>
      <c r="AA172" s="124">
        <f t="shared" si="321"/>
        <v>129</v>
      </c>
      <c r="AB172" s="128">
        <f t="shared" ref="AB172:AB187" si="463">zakup_domyslny_wartosc*IFERROR((INDEX(scenariusz_I_inflacja_skumulowana,MATCH(ROUNDDOWN(AA172/12,0),scenariusz_I_rok,0))+1),1)
*(1+MOD(AA172,12)*INDEX(scenariusz_I_inflacja,MATCH(ROUNDUP(AA172/12,0),scenariusz_I_rok,0))/12)</f>
        <v>134572.67605156836</v>
      </c>
      <c r="AC172" s="124">
        <f t="shared" si="322"/>
        <v>129</v>
      </c>
      <c r="AD172" s="130">
        <f t="shared" si="435"/>
        <v>4.2500000000000003E-2</v>
      </c>
      <c r="AE172" s="127">
        <f t="shared" si="436"/>
        <v>1472</v>
      </c>
      <c r="AF172" s="128">
        <f t="shared" si="437"/>
        <v>147057.9</v>
      </c>
      <c r="AG172" s="128">
        <f t="shared" si="348"/>
        <v>147200</v>
      </c>
      <c r="AH172" s="128">
        <f t="shared" si="357"/>
        <v>147200</v>
      </c>
      <c r="AI172" s="130">
        <f t="shared" ref="AI172:AI187" si="464">IF(AND(MOD($AA172,zapadalnosc_ROR)&lt;=zmiana_oprocentowania_co_ile_mc_ROR,MOD($AA172,zapadalnosc_ROR)&lt;&gt;0),proc_I_okres_ROR,(marza_ROR+AD172))</f>
        <v>4.2500000000000003E-2</v>
      </c>
      <c r="AJ172" s="128">
        <f t="shared" ref="AJ172:AJ187" si="465">AH172*(1+AI172*IF(MOD($AA172,wyplata_odsetek_ROR)&lt;&gt;0,MOD($AA172,wyplata_odsetek_ROR),wyplata_odsetek_ROR)/12)</f>
        <v>147721.33333333334</v>
      </c>
      <c r="AK172" s="128" t="str">
        <f t="shared" ref="AK172:AK187" si="466">IF(MOD($AA172,zapadalnosc_ROR)=0,"tak","nie")</f>
        <v>nie</v>
      </c>
      <c r="AL172" s="128">
        <f t="shared" ref="AL172:AL187" si="467">IF(MOD($AA172,zapadalnosc_ROR)=0,0,
IF(AND(MOD($AA172,zapadalnosc_ROR)&lt;zapadalnosc_ROR,MOD($AA172,zapadalnosc_ROR)&lt;=koszt_wczesniejszy_wykup_ochrona_ROR),
MIN(AJ172-AG172,AE172*koszt_wczesniejszy_wykup_ROR),AE172*koszt_wczesniejszy_wykup_ROR))</f>
        <v>736</v>
      </c>
      <c r="AM172" s="128">
        <f t="shared" si="361"/>
        <v>147026.12</v>
      </c>
      <c r="AN172" s="128">
        <f t="shared" ref="AN172:AN186" si="468">IF(MOD($AA172,wyplata_odsetek_ROR)=0, (AJ172-AG172)*(1-podatek_Belki),0)
+IF(AK172="tak",ROUNDDOWN(AJ172/zamiana_ROR,0)*(100-zamiana_ROR),0)</f>
        <v>422.28000000000787</v>
      </c>
      <c r="AO172" s="130">
        <f t="shared" ref="AO172:AO187" si="469">INDEX(scenariusz_I_konto,MATCH(ROUNDUP($AA172/12,0),scenariusz_I_rok,0))</f>
        <v>4.2500000000000003E-2</v>
      </c>
      <c r="AP172" s="128">
        <f t="shared" ref="AP172:AP187" si="470">(AP171-IF(AK171="tak",ROUNDDOWN(AP171/100,0)*100,0))*
(1+AO172/12*(1-podatek_Belki))+AN172</f>
        <v>3931.0219555621748</v>
      </c>
      <c r="AQ172" s="128">
        <f t="shared" si="362"/>
        <v>150534.86195556217</v>
      </c>
      <c r="AS172" s="124">
        <f t="shared" si="327"/>
        <v>129</v>
      </c>
      <c r="AT172" s="130">
        <f t="shared" si="328"/>
        <v>4.2500000000000003E-2</v>
      </c>
      <c r="AU172" s="127">
        <f t="shared" si="438"/>
        <v>1456</v>
      </c>
      <c r="AV172" s="128">
        <f t="shared" si="439"/>
        <v>145464.5</v>
      </c>
      <c r="AW172" s="128">
        <f t="shared" si="363"/>
        <v>145600</v>
      </c>
      <c r="AX172" s="128">
        <f t="shared" si="358"/>
        <v>145600</v>
      </c>
      <c r="AY172" s="130">
        <f t="shared" ref="AY172:AY187" si="471">IF(AND(MOD($AA172,zapadalnosc_DOR)&lt;=zmiana_oprocentowania_co_ile_mc_DOR,MOD($AA172,zapadalnosc_DOR)&lt;&gt;0),proc_I_okres_DOR,(marza_DOR+AT172))</f>
        <v>4.4000000000000004E-2</v>
      </c>
      <c r="AZ172" s="128">
        <f t="shared" ref="AZ172:AZ187" si="472">AX172*(1+AY172*IF(MOD($AA172,wyplata_odsetek_DOR)&lt;&gt;0,MOD($AA172,wyplata_odsetek_DOR),wyplata_odsetek_DOR)/12)</f>
        <v>146133.86666666667</v>
      </c>
      <c r="BA172" s="128" t="str">
        <f t="shared" ref="BA172:BA187" si="473">IF(MOD($AA172,zapadalnosc_DOR)=0,"tak","nie")</f>
        <v>nie</v>
      </c>
      <c r="BB172" s="128">
        <f t="shared" ref="BB172:BB187" si="474">IF(MOD($AA172,zapadalnosc_DOR)=0,0,
IF(AND(MOD($AA172,zapadalnosc_DOR)&lt;zapadalnosc_DOR,MOD($AA172,zapadalnosc_DOR)&lt;=koszt_wczesniejszy_wykup_ochrona_DOR),
MIN(AZ172-AW172,AU172*koszt_wczesniejszy_wykup_DOR),AU172*koszt_wczesniejszy_wykup_DOR))</f>
        <v>1019.1999999999999</v>
      </c>
      <c r="BC172" s="128">
        <f t="shared" si="367"/>
        <v>145206.87999999998</v>
      </c>
      <c r="BD172" s="128">
        <f t="shared" ref="BD172:BD186" si="475">IF(MOD($AA172,wyplata_odsetek_DOR)=0, (AZ172-AW172)*(1-podatek_Belki),0)
+IF(BA172="tak",ROUNDDOWN(AZ172/zamiana_DOR,0)*(100-zamiana_DOR),0)</f>
        <v>432.43200000000161</v>
      </c>
      <c r="BE172" s="130">
        <f t="shared" ref="BE172:BE187" si="476">INDEX(scenariusz_I_konto,MATCH(ROUNDUP($AA172/12,0),scenariusz_I_rok,0))</f>
        <v>4.2500000000000003E-2</v>
      </c>
      <c r="BF172" s="128">
        <f t="shared" ref="BF172:BF187" si="477">(BF171-IF(BA171="tak",ROUNDDOWN(BF171/100,0)*100,0))*
(1+BE172/12*(1-podatek_Belki))+BD172</f>
        <v>3978.9382997736088</v>
      </c>
      <c r="BG172" s="128">
        <f t="shared" si="368"/>
        <v>148753.38629977359</v>
      </c>
      <c r="BI172" s="124">
        <f t="shared" si="332"/>
        <v>129</v>
      </c>
      <c r="BJ172" s="130">
        <f t="shared" si="451"/>
        <v>4.1300000000000003E-2</v>
      </c>
      <c r="BK172" s="127">
        <f t="shared" si="440"/>
        <v>1401</v>
      </c>
      <c r="BL172" s="128">
        <f t="shared" si="441"/>
        <v>139959.9</v>
      </c>
      <c r="BM172" s="128">
        <f t="shared" si="349"/>
        <v>140100</v>
      </c>
      <c r="BN172" s="128">
        <f t="shared" si="442"/>
        <v>146614.65</v>
      </c>
      <c r="BO172" s="130">
        <f t="shared" ref="BO172:BO187" si="478">IF(AND(MOD($AA172,zapadalnosc_TOS)&lt;=12,MOD($AA172,zapadalnosc_TOS)&lt;&gt;0),proc_I_okres_TOS,(marza_TOS+proc_I_okres_TOS))</f>
        <v>4.65E-2</v>
      </c>
      <c r="BP172" s="128">
        <f t="shared" ref="BP172:BP187" si="479">BN172*(1+BO172*IF(MOD($AA172,12)&lt;&gt;0,MOD($AA172,12),12)/12)</f>
        <v>151727.83591875</v>
      </c>
      <c r="BQ172" s="128" t="str">
        <f t="shared" ref="BQ172:BQ187" si="480">IF(MOD($AA172,zapadalnosc_TOS)=0,"tak","nie")</f>
        <v>nie</v>
      </c>
      <c r="BR172" s="128">
        <f t="shared" ref="BR172:BR187" si="481">IF(MOD($AA172,zapadalnosc_TOS)=0,0,
IF(AND(MOD($AA172,zapadalnosc_TOS)&lt;zapadalnosc_TOS,MOD($AA172,zapadalnosc_TOS)&lt;=koszt_wczesniejszy_wykup_ochrona_TOS),
MIN(BP172-BM172,BK172*koszt_wczesniejszy_wykup_TOS),BK172*koszt_wczesniejszy_wykup_TOS))</f>
        <v>1401</v>
      </c>
      <c r="BS172" s="128">
        <f t="shared" si="364"/>
        <v>148383.7370941875</v>
      </c>
      <c r="BT172" s="128">
        <f t="shared" si="456"/>
        <v>0</v>
      </c>
      <c r="BU172" s="130">
        <f t="shared" ref="BU172:BU187" si="482">INDEX(scenariusz_I_konto,MATCH(ROUNDUP($AA172/12,0),scenariusz_I_rok,0))</f>
        <v>4.2500000000000003E-2</v>
      </c>
      <c r="BV172" s="128">
        <f t="shared" ref="BV172:BV187" si="483">BV171*(1+BU172/12*(1-podatek_Belki))+BT172</f>
        <v>195.40555655491605</v>
      </c>
      <c r="BW172" s="128">
        <f t="shared" si="365"/>
        <v>148579.1426507424</v>
      </c>
      <c r="BY172" s="130">
        <f t="shared" si="452"/>
        <v>2.8000000000000001E-2</v>
      </c>
      <c r="BZ172" s="127">
        <f t="shared" si="444"/>
        <v>1331</v>
      </c>
      <c r="CA172" s="128">
        <f t="shared" si="445"/>
        <v>132980.5</v>
      </c>
      <c r="CB172" s="128">
        <f t="shared" si="366"/>
        <v>133100</v>
      </c>
      <c r="CC172" s="128">
        <f t="shared" si="359"/>
        <v>133100</v>
      </c>
      <c r="CD172" s="130">
        <f t="shared" ref="CD172:CD187" si="484">IF(AND(MOD($AA172,zapadalnosc_COI)&lt;=zmiana_oprocentowania_co_ile_mc_COI,MOD($AA172,zapadalnosc_COI)&lt;&gt;0),proc_I_okres_COI,(marza_COI+BY172))</f>
        <v>4.2999999999999997E-2</v>
      </c>
      <c r="CE172" s="128">
        <f t="shared" ref="CE172:CE187" si="485">CC172*(1+CD172*IF(MOD($AA172,wyplata_odsetek_COI)&lt;&gt;0,MOD($AA172,wyplata_odsetek_COI),wyplata_odsetek_COI)/12)</f>
        <v>137392.47499999998</v>
      </c>
      <c r="CF172" s="128" t="str">
        <f t="shared" ref="CF172:CF187" si="486">IF(MOD($AA172,zapadalnosc_COI)=0,"tak","nie")</f>
        <v>nie</v>
      </c>
      <c r="CG172" s="128">
        <f t="shared" ref="CG172:CG187" si="487">IF(MOD($AA172,zapadalnosc_COI)=0,0,
IF(AND(MOD($AA172,zapadalnosc_COI)&lt;zapadalnosc_COI,MOD($AA172,zapadalnosc_COI)&lt;=koszt_wczesniejszy_wykup_ochrona_COI),
MIN(CE172-CB172,BZ172*koszt_wczesniejszy_wykup_COI),BZ172*koszt_wczesniejszy_wykup_COI))</f>
        <v>2662</v>
      </c>
      <c r="CH172" s="128">
        <f t="shared" si="369"/>
        <v>134420.68474999999</v>
      </c>
      <c r="CI172" s="128">
        <f t="shared" ref="CI172:CI186" si="488" xml:space="preserve"> IF(CF172="tak",
CH172-ROUNDDOWN(CH172/zamiana_COI,0)*zamiana_COI,
IF(MOD($AA172,wyplata_odsetek_COI)=0, (CE172-CB172)*(1-podatek_Belki),0))</f>
        <v>0</v>
      </c>
      <c r="CJ172" s="130">
        <f t="shared" ref="CJ172:CJ187" si="489">INDEX(scenariusz_I_konto,MATCH(ROUNDUP($AA172/12,0),scenariusz_I_rok,0))</f>
        <v>4.2500000000000003E-2</v>
      </c>
      <c r="CK172" s="128">
        <f t="shared" ref="CK172:CK187" si="490">(CK171-IF(CF171="tak",ROUNDDOWN(CK171/100,0)*100,0))*
(1+CJ172/12*(1-podatek_Belki))+CI172</f>
        <v>10591.253744423682</v>
      </c>
      <c r="CL172" s="128">
        <f t="shared" ref="CL172:CL187" si="491">(CK171-IF(MOD($AA171,zapadalnosc_COI)=0,ROUNDDOWN(CK171/100,0)*100,0))*(1+CJ172/12*(1-podatek_Belki))+CH172</f>
        <v>145011.93849442367</v>
      </c>
      <c r="CN172" s="127">
        <f t="shared" si="446"/>
        <v>1495</v>
      </c>
      <c r="CO172" s="128">
        <f t="shared" si="447"/>
        <v>149350.5</v>
      </c>
      <c r="CP172" s="128">
        <f t="shared" si="342"/>
        <v>149500</v>
      </c>
      <c r="CQ172" s="128">
        <f t="shared" si="448"/>
        <v>149500</v>
      </c>
      <c r="CR172" s="130">
        <f t="shared" ref="CR172:CR187" si="492">IF(AND(MOD($AA172,zapadalnosc_EDO)&lt;=12,MOD($AA172,zapadalnosc_EDO)&lt;&gt;0),proc_I_okres_EDO,(marza_EDO+$BY172))</f>
        <v>5.6000000000000001E-2</v>
      </c>
      <c r="CS172" s="128">
        <f t="shared" ref="CS172:CS187" si="493">CQ172*(1+CR172*IF(MOD($AA172,12)&lt;&gt;0,MOD($AA172,12),12)/12)</f>
        <v>155779</v>
      </c>
      <c r="CT172" s="128" t="str">
        <f t="shared" ref="CT172:CT187" si="494">IF(MOD($AA172,zapadalnosc_EDO)=0,"tak","nie")</f>
        <v>nie</v>
      </c>
      <c r="CU172" s="128">
        <f t="shared" ref="CU172:CU187" si="495">IF(AND(MOD($AA172,zapadalnosc_EDO)&lt;zapadalnosc_EDO,MOD($AA172,zapadalnosc_EDO)&lt;&gt;0),MIN(CS172-CP172,CN172*koszt_wczesniejszy_wykup_EDO),0)</f>
        <v>4485</v>
      </c>
      <c r="CV172" s="128">
        <f t="shared" ref="CV172:CV187" si="496">CS172-CU172
-(CS172-CP172-CU172)*podatek_Belki</f>
        <v>150953.14000000001</v>
      </c>
      <c r="CW172" s="128">
        <f t="shared" si="453"/>
        <v>0</v>
      </c>
      <c r="CX172" s="130">
        <f t="shared" ref="CX172:CX187" si="497">INDEX(scenariusz_I_konto,MATCH(ROUNDUP($AA172/12,0),scenariusz_I_rok,0))</f>
        <v>4.2500000000000003E-2</v>
      </c>
      <c r="CY172" s="128">
        <f t="shared" ref="CY172:CY187" si="498">CY171*(1+CX172/12*(1-podatek_Belki))+CW172</f>
        <v>88.660273972978899</v>
      </c>
      <c r="CZ172" s="128">
        <f t="shared" ref="CZ172:CZ187" si="499">CY171*(1+CX172/12*(1-podatek_Belki))+CV172</f>
        <v>151041.800273973</v>
      </c>
      <c r="DA172" s="20"/>
      <c r="DB172" s="127">
        <f t="shared" si="350"/>
        <v>1267</v>
      </c>
      <c r="DC172" s="128">
        <f t="shared" si="351"/>
        <v>126700</v>
      </c>
      <c r="DD172" s="128">
        <f t="shared" si="344"/>
        <v>126700</v>
      </c>
      <c r="DE172" s="128">
        <f t="shared" si="449"/>
        <v>153417.95965153282</v>
      </c>
      <c r="DF172" s="130">
        <f t="shared" ref="DF172:DF187" si="500">IF(AND(MOD($AA172,zapadalnosc_ROS)&lt;=12,MOD($AA172,zapadalnosc_ROS)&lt;&gt;0),proc_I_okres_ROS,(marza_ROS+$BY172))</f>
        <v>4.8000000000000001E-2</v>
      </c>
      <c r="DG172" s="128">
        <f t="shared" ref="DG172:DG187" si="501">DE172*(1+DF172*IF(MOD($AA172,12)&lt;&gt;0,MOD($AA172,12),12)/12)</f>
        <v>158941.00619898801</v>
      </c>
      <c r="DH172" s="128" t="str">
        <f t="shared" ref="DH172:DH187" si="502">IF(MOD($AA172,zapadalnosc_ROS)=0,"tak","nie")</f>
        <v>nie</v>
      </c>
      <c r="DI172" s="128">
        <f t="shared" ref="DI172:DI187" si="503">IF(AND(MOD($AA172,zapadalnosc_ROS)&lt;zapadalnosc_ROS,MOD($AA172,zapadalnosc_ROS)&lt;&gt;0),MIN(DG172-DD172,DB172*koszt_wczesniejszy_wykup_ROS),0)</f>
        <v>2534</v>
      </c>
      <c r="DJ172" s="128">
        <f t="shared" si="355"/>
        <v>150762.67502118027</v>
      </c>
      <c r="DK172" s="128">
        <f t="shared" si="454"/>
        <v>0</v>
      </c>
      <c r="DL172" s="130">
        <f t="shared" ref="DL172:DL187" si="504">INDEX(scenariusz_I_konto,MATCH(ROUNDUP($AA172/12,0),scenariusz_I_rok,0))</f>
        <v>4.2500000000000003E-2</v>
      </c>
      <c r="DM172" s="128">
        <f t="shared" ref="DM172:DM187" si="505">DM171*(1+DL172/12*(1-podatek_Belki))+DK172</f>
        <v>26.70932772904585</v>
      </c>
      <c r="DN172" s="128">
        <f t="shared" ref="DN172:DN187" si="506">DM171*(1+DL172/12*(1-podatek_Belki))+DJ172</f>
        <v>150789.38434890931</v>
      </c>
      <c r="DP172" s="127">
        <f t="shared" si="352"/>
        <v>1000</v>
      </c>
      <c r="DQ172" s="128">
        <f t="shared" si="353"/>
        <v>100000</v>
      </c>
      <c r="DR172" s="128">
        <f t="shared" si="346"/>
        <v>100000</v>
      </c>
      <c r="DS172" s="128">
        <f t="shared" si="450"/>
        <v>168479.16561527047</v>
      </c>
      <c r="DT172" s="130">
        <f t="shared" ref="DT172:DT187" si="507">IF(AND(MOD($AA172,zapadalnosc_ROD)&lt;=12,MOD($AA172,zapadalnosc_ROD)&lt;&gt;0),proc_I_okres_ROD,(marza_ROD+$BY172))</f>
        <v>5.3000000000000005E-2</v>
      </c>
      <c r="DU172" s="128">
        <f t="shared" ref="DU172:DU187" si="508">DS172*(1+DT172*IF(MOD($AA172,12)&lt;&gt;0,MOD($AA172,12),12)/12)</f>
        <v>175176.21244847745</v>
      </c>
      <c r="DV172" s="128" t="str">
        <f t="shared" ref="DV172:DV187" si="509">IF(MOD($AA172,zapadalnosc_ROD)=0,"tak","nie")</f>
        <v>nie</v>
      </c>
      <c r="DW172" s="128">
        <f t="shared" ref="DW172:DW187" si="510">IF(AND(MOD($AA172,zapadalnosc_ROD)&lt;zapadalnosc_ROD,MOD($AA172,zapadalnosc_ROD)&lt;&gt;0),MIN(DU172-DR172,DP172*koszt_wczesniejszy_wykup_ROD),0)</f>
        <v>3000</v>
      </c>
      <c r="DX172" s="128">
        <f t="shared" ref="DX172:DX187" si="511">DU172-DW172
-(DU172-DR172-DW172)*podatek_Belki</f>
        <v>158462.73208326675</v>
      </c>
      <c r="DY172" s="128">
        <f t="shared" si="455"/>
        <v>0</v>
      </c>
      <c r="DZ172" s="130">
        <f t="shared" ref="DZ172:DZ187" si="512">INDEX(scenariusz_I_konto,MATCH(ROUNDUP($AA172/12,0),scenariusz_I_rok,0))</f>
        <v>4.2500000000000003E-2</v>
      </c>
      <c r="EA172" s="128">
        <f t="shared" ref="EA172:EA187" si="513">EA171*(1+DZ172/12*(1-podatek_Belki))+DY172</f>
        <v>0</v>
      </c>
      <c r="EB172" s="128">
        <f t="shared" ref="EB172:EB187" si="514">EA171*(1+DZ172/12*(1-podatek_Belki))+DX172</f>
        <v>158462.73208326675</v>
      </c>
    </row>
    <row r="173" spans="1:132">
      <c r="A173" s="224"/>
      <c r="B173" s="188">
        <f t="shared" ref="B173:B188" si="515">AA172</f>
        <v>129</v>
      </c>
      <c r="C173" s="128">
        <f t="shared" ref="C173:C188" si="516">AQ172</f>
        <v>150534.86195556217</v>
      </c>
      <c r="D173" s="128">
        <f t="shared" ref="D173:D188" si="517">BG172</f>
        <v>148753.38629977359</v>
      </c>
      <c r="E173" s="128">
        <f t="shared" ref="E173:E188" si="518">BW172</f>
        <v>148579.1426507424</v>
      </c>
      <c r="F173" s="128">
        <f t="shared" ref="F173:F188" si="519">CL172</f>
        <v>145011.93849442367</v>
      </c>
      <c r="G173" s="128">
        <f t="shared" ref="G173:G188" si="520">CZ172</f>
        <v>151041.800273973</v>
      </c>
      <c r="H173" s="128">
        <f t="shared" ref="H173:H188" si="521">DN172</f>
        <v>150789.38434890931</v>
      </c>
      <c r="I173" s="128">
        <f t="shared" ref="I173:I188" si="522">EB172</f>
        <v>158462.73208326675</v>
      </c>
      <c r="J173" s="128">
        <f t="shared" ref="J173:J188" si="523">FV(INDEX(scenariusz_I_konto,MATCH(ROUNDUP(B173/12,0),scenariusz_I_rok,0))/12*(1-podatek_Belki),1,0,-J172,1)</f>
        <v>144706.7284164975</v>
      </c>
      <c r="K173" s="128">
        <f t="shared" ref="K173:K188" si="524">AB172</f>
        <v>134572.67605156836</v>
      </c>
      <c r="M173" s="36"/>
      <c r="N173" s="32">
        <f t="shared" ref="N173:N188" si="525">B173</f>
        <v>129</v>
      </c>
      <c r="O173" s="25">
        <f t="shared" ref="O173:O188" si="526">C173/zakup_domyslny_wartosc-1</f>
        <v>0.5053486195556216</v>
      </c>
      <c r="P173" s="25">
        <f t="shared" ref="P173:P188" si="527">D173/zakup_domyslny_wartosc-1</f>
        <v>0.48753386299773593</v>
      </c>
      <c r="Q173" s="25">
        <f t="shared" ref="Q173:Q188" si="528">E173/zakup_domyslny_wartosc-1</f>
        <v>0.48579142650742413</v>
      </c>
      <c r="R173" s="25">
        <f t="shared" si="457"/>
        <v>0.45011938494423664</v>
      </c>
      <c r="S173" s="25">
        <f t="shared" si="458"/>
        <v>0.51041800273973004</v>
      </c>
      <c r="T173" s="25">
        <f t="shared" si="459"/>
        <v>0.50789384348909317</v>
      </c>
      <c r="U173" s="25">
        <f t="shared" si="460"/>
        <v>0.58462732083266755</v>
      </c>
      <c r="V173" s="25">
        <f t="shared" si="461"/>
        <v>0.44706728416497499</v>
      </c>
      <c r="W173" s="25">
        <f t="shared" si="462"/>
        <v>0.34572676051568352</v>
      </c>
      <c r="X173" s="36"/>
      <c r="Y173" s="36"/>
      <c r="AA173" s="124">
        <f t="shared" ref="AA173:AA187" si="529">AA172+1</f>
        <v>130</v>
      </c>
      <c r="AB173" s="128">
        <f t="shared" si="463"/>
        <v>134880.22052834311</v>
      </c>
      <c r="AC173" s="124">
        <f t="shared" ref="AC173:AC187" si="530">AC172+1</f>
        <v>130</v>
      </c>
      <c r="AD173" s="130">
        <f t="shared" ref="AD173:AD187" si="531">MAX(INDEX(scenariusz_I_stopa_NBP,MATCH(ROUNDUP(AC173/12,0),scenariusz_I_rok,0)),0)</f>
        <v>4.2500000000000003E-2</v>
      </c>
      <c r="AE173" s="127">
        <f t="shared" ref="AE173:AE187" si="532">IF(AK172="tak",
ROUNDDOWN(AM172/zamiana_ROR,0)+ROUNDDOWN(AP172/100,0),
AE172)</f>
        <v>1472</v>
      </c>
      <c r="AF173" s="128">
        <f t="shared" ref="AF173:AF187" si="533">IF(AK172="tak",
ROUNDDOWN(AM172/zamiana_ROR,0)*zamiana_ROR+ROUNDDOWN(AP172/100,0)*100,
AF172)</f>
        <v>147057.9</v>
      </c>
      <c r="AG173" s="128">
        <f t="shared" si="348"/>
        <v>147200</v>
      </c>
      <c r="AH173" s="128">
        <f t="shared" si="357"/>
        <v>147200</v>
      </c>
      <c r="AI173" s="130">
        <f t="shared" si="464"/>
        <v>4.2500000000000003E-2</v>
      </c>
      <c r="AJ173" s="128">
        <f t="shared" si="465"/>
        <v>147721.33333333334</v>
      </c>
      <c r="AK173" s="128" t="str">
        <f t="shared" si="466"/>
        <v>nie</v>
      </c>
      <c r="AL173" s="128">
        <f t="shared" si="467"/>
        <v>736</v>
      </c>
      <c r="AM173" s="128">
        <f t="shared" si="361"/>
        <v>147026.12</v>
      </c>
      <c r="AN173" s="128">
        <f t="shared" si="468"/>
        <v>422.28000000000787</v>
      </c>
      <c r="AO173" s="130">
        <f t="shared" si="469"/>
        <v>4.2500000000000003E-2</v>
      </c>
      <c r="AP173" s="128">
        <f t="shared" si="470"/>
        <v>4364.5790747972014</v>
      </c>
      <c r="AQ173" s="128">
        <f t="shared" si="362"/>
        <v>150968.41907479719</v>
      </c>
      <c r="AS173" s="124">
        <f t="shared" ref="AS173:AS187" si="534">AS172+1</f>
        <v>130</v>
      </c>
      <c r="AT173" s="130">
        <f t="shared" ref="AT173:AT187" si="535">MAX(INDEX(scenariusz_I_stopa_NBP,MATCH(ROUNDUP(AS173/12,0),scenariusz_I_rok,0)),0)</f>
        <v>4.2500000000000003E-2</v>
      </c>
      <c r="AU173" s="127">
        <f t="shared" ref="AU173:AU187" si="536">IF(BA172="tak",
ROUNDDOWN(BC172/zamiana_DOR,0)+ROUNDDOWN(BF172/100,0),
AU172)</f>
        <v>1456</v>
      </c>
      <c r="AV173" s="128">
        <f t="shared" ref="AV173:AV187" si="537">IF(BA172="tak",
ROUNDDOWN(BC172/zamiana_DOR,0)*zamiana_DOR+ROUNDDOWN(BF172/100,0)*100,
AV172)</f>
        <v>145464.5</v>
      </c>
      <c r="AW173" s="128">
        <f t="shared" si="363"/>
        <v>145600</v>
      </c>
      <c r="AX173" s="128">
        <f t="shared" si="358"/>
        <v>145600</v>
      </c>
      <c r="AY173" s="130">
        <f t="shared" si="471"/>
        <v>4.4000000000000004E-2</v>
      </c>
      <c r="AZ173" s="128">
        <f t="shared" si="472"/>
        <v>146133.86666666667</v>
      </c>
      <c r="BA173" s="128" t="str">
        <f t="shared" si="473"/>
        <v>nie</v>
      </c>
      <c r="BB173" s="128">
        <f t="shared" si="474"/>
        <v>1019.1999999999999</v>
      </c>
      <c r="BC173" s="128">
        <f t="shared" si="367"/>
        <v>145206.87999999998</v>
      </c>
      <c r="BD173" s="128">
        <f t="shared" si="475"/>
        <v>432.43200000000161</v>
      </c>
      <c r="BE173" s="130">
        <f t="shared" si="476"/>
        <v>4.2500000000000003E-2</v>
      </c>
      <c r="BF173" s="128">
        <f t="shared" si="477"/>
        <v>4422.7848790210865</v>
      </c>
      <c r="BG173" s="128">
        <f t="shared" si="368"/>
        <v>149197.23287902106</v>
      </c>
      <c r="BI173" s="124">
        <f t="shared" ref="BI173:BI187" si="538">BI172+1</f>
        <v>130</v>
      </c>
      <c r="BJ173" s="130">
        <f t="shared" si="451"/>
        <v>4.1300000000000003E-2</v>
      </c>
      <c r="BK173" s="127">
        <f t="shared" ref="BK173:BK187" si="539">IF(BQ172="tak",
ROUNDDOWN(BS172/zamiana_TOS,0),
BK172)</f>
        <v>1401</v>
      </c>
      <c r="BL173" s="128">
        <f t="shared" ref="BL173:BL187" si="540">IF(BQ172="tak",
BK173*zamiana_TOS,
BL172)</f>
        <v>139959.9</v>
      </c>
      <c r="BM173" s="128">
        <f t="shared" si="349"/>
        <v>140100</v>
      </c>
      <c r="BN173" s="128">
        <f t="shared" ref="BN173:BN187" si="541">IF(BQ172="tak",
 BM173,
IF(MOD($AA173,kapitalizacja_odsetek_mc_ROS)&lt;&gt;1,BN172,BP172))</f>
        <v>146614.65</v>
      </c>
      <c r="BO173" s="130">
        <f t="shared" si="478"/>
        <v>4.65E-2</v>
      </c>
      <c r="BP173" s="128">
        <f t="shared" si="479"/>
        <v>152295.9676875</v>
      </c>
      <c r="BQ173" s="128" t="str">
        <f t="shared" si="480"/>
        <v>nie</v>
      </c>
      <c r="BR173" s="128">
        <f t="shared" si="481"/>
        <v>1401</v>
      </c>
      <c r="BS173" s="128">
        <f t="shared" si="364"/>
        <v>148843.92382687499</v>
      </c>
      <c r="BT173" s="128">
        <f t="shared" si="456"/>
        <v>0</v>
      </c>
      <c r="BU173" s="130">
        <f t="shared" si="482"/>
        <v>4.2500000000000003E-2</v>
      </c>
      <c r="BV173" s="128">
        <f t="shared" si="483"/>
        <v>195.96612624528296</v>
      </c>
      <c r="BW173" s="128">
        <f t="shared" si="365"/>
        <v>149039.88995312026</v>
      </c>
      <c r="BY173" s="130">
        <f t="shared" si="452"/>
        <v>2.8000000000000001E-2</v>
      </c>
      <c r="BZ173" s="127">
        <f t="shared" ref="BZ173:BZ187" si="542">IF(CF172="tak",
ROUNDDOWN(CH172/zamiana_COI,0)+ROUNDDOWN(CK172/100,0),
BZ172)</f>
        <v>1331</v>
      </c>
      <c r="CA173" s="128">
        <f t="shared" ref="CA173:CA187" si="543">IF(CF172="tak",
ROUNDDOWN(CH172/zamiana_COI,0)*zamiana_COI+ROUNDDOWN(CK172/100,0)*100,
CA172)</f>
        <v>132980.5</v>
      </c>
      <c r="CB173" s="128">
        <f t="shared" si="366"/>
        <v>133100</v>
      </c>
      <c r="CC173" s="128">
        <f t="shared" si="359"/>
        <v>133100</v>
      </c>
      <c r="CD173" s="130">
        <f t="shared" si="484"/>
        <v>4.2999999999999997E-2</v>
      </c>
      <c r="CE173" s="128">
        <f t="shared" si="485"/>
        <v>137869.41666666669</v>
      </c>
      <c r="CF173" s="128" t="str">
        <f t="shared" si="486"/>
        <v>nie</v>
      </c>
      <c r="CG173" s="128">
        <f t="shared" si="487"/>
        <v>2662</v>
      </c>
      <c r="CH173" s="128">
        <f t="shared" si="369"/>
        <v>134807.00750000001</v>
      </c>
      <c r="CI173" s="128">
        <f t="shared" si="488"/>
        <v>0</v>
      </c>
      <c r="CJ173" s="130">
        <f t="shared" si="489"/>
        <v>4.2500000000000003E-2</v>
      </c>
      <c r="CK173" s="128">
        <f t="shared" si="490"/>
        <v>10621.637403602997</v>
      </c>
      <c r="CL173" s="128">
        <f t="shared" si="491"/>
        <v>145428.64490360301</v>
      </c>
      <c r="CN173" s="127">
        <f t="shared" ref="CN173:CN187" si="544">IF(CT172="tak",
ROUNDDOWN(CV172/zamiana_EDO,0),
CN172)</f>
        <v>1495</v>
      </c>
      <c r="CO173" s="128">
        <f t="shared" ref="CO173:CO187" si="545">IF(CT172="tak",
CN173*zamiana_EDO,
CO172)</f>
        <v>149350.5</v>
      </c>
      <c r="CP173" s="128">
        <f t="shared" ref="CP173:CP186" si="546">IF(CT172="tak",
CN173*100,
CP172)</f>
        <v>149500</v>
      </c>
      <c r="CQ173" s="128">
        <f t="shared" ref="CQ173:CQ187" si="547">IF(CT172="tak",
 CP173,
IF(MOD($AA173,kapitalizacja_odsetek_mc_EDO)&lt;&gt;1,CQ172,CS172))</f>
        <v>149500</v>
      </c>
      <c r="CR173" s="130">
        <f t="shared" si="492"/>
        <v>5.6000000000000001E-2</v>
      </c>
      <c r="CS173" s="128">
        <f t="shared" si="493"/>
        <v>156476.66666666666</v>
      </c>
      <c r="CT173" s="128" t="str">
        <f t="shared" si="494"/>
        <v>nie</v>
      </c>
      <c r="CU173" s="128">
        <f t="shared" si="495"/>
        <v>4485</v>
      </c>
      <c r="CV173" s="128">
        <f t="shared" si="496"/>
        <v>151518.25</v>
      </c>
      <c r="CW173" s="128">
        <f t="shared" si="453"/>
        <v>0</v>
      </c>
      <c r="CX173" s="130">
        <f t="shared" si="497"/>
        <v>4.2500000000000003E-2</v>
      </c>
      <c r="CY173" s="128">
        <f t="shared" si="498"/>
        <v>88.914618133938887</v>
      </c>
      <c r="CZ173" s="128">
        <f t="shared" si="499"/>
        <v>151607.16461813395</v>
      </c>
      <c r="DA173" s="20"/>
      <c r="DB173" s="127">
        <f t="shared" si="350"/>
        <v>1267</v>
      </c>
      <c r="DC173" s="128">
        <f t="shared" si="351"/>
        <v>126700</v>
      </c>
      <c r="DD173" s="128">
        <f t="shared" ref="DD173:DD187" si="548">IF(DH172="tak",
DB173*100,
DD172)</f>
        <v>126700</v>
      </c>
      <c r="DE173" s="128">
        <f t="shared" ref="DE173:DE187" si="549">IF(DH172="tak",
 DD173,
IF(MOD($AA173,kapitalizacja_odsetek_mc_ROS)&lt;&gt;1,DE172,DG172))</f>
        <v>153417.95965153282</v>
      </c>
      <c r="DF173" s="130">
        <f t="shared" si="500"/>
        <v>4.8000000000000001E-2</v>
      </c>
      <c r="DG173" s="128">
        <f t="shared" si="501"/>
        <v>159554.67803759413</v>
      </c>
      <c r="DH173" s="128" t="str">
        <f t="shared" si="502"/>
        <v>nie</v>
      </c>
      <c r="DI173" s="128">
        <f t="shared" si="503"/>
        <v>2534</v>
      </c>
      <c r="DJ173" s="128">
        <f t="shared" si="355"/>
        <v>151259.74921045123</v>
      </c>
      <c r="DK173" s="128">
        <f t="shared" si="454"/>
        <v>0</v>
      </c>
      <c r="DL173" s="130">
        <f t="shared" si="504"/>
        <v>4.2500000000000003E-2</v>
      </c>
      <c r="DM173" s="128">
        <f t="shared" si="505"/>
        <v>26.78595011296855</v>
      </c>
      <c r="DN173" s="128">
        <f t="shared" si="506"/>
        <v>151286.53516056421</v>
      </c>
      <c r="DP173" s="127">
        <f t="shared" si="352"/>
        <v>1000</v>
      </c>
      <c r="DQ173" s="128">
        <f t="shared" si="353"/>
        <v>100000</v>
      </c>
      <c r="DR173" s="128">
        <f t="shared" ref="DR173:DR187" si="550">IF(DV172="tak",
DP173*100,
DR172)</f>
        <v>100000</v>
      </c>
      <c r="DS173" s="128">
        <f t="shared" ref="DS173:DS187" si="551">IF(DV172="tak",
 DR173,
IF(MOD($AA173,kapitalizacja_odsetek_mc_ROD)&lt;&gt;1,DS172,DU172))</f>
        <v>168479.16561527047</v>
      </c>
      <c r="DT173" s="130">
        <f t="shared" si="507"/>
        <v>5.3000000000000005E-2</v>
      </c>
      <c r="DU173" s="128">
        <f t="shared" si="508"/>
        <v>175920.32876327826</v>
      </c>
      <c r="DV173" s="128" t="str">
        <f t="shared" si="509"/>
        <v>nie</v>
      </c>
      <c r="DW173" s="128">
        <f t="shared" si="510"/>
        <v>3000</v>
      </c>
      <c r="DX173" s="128">
        <f t="shared" si="511"/>
        <v>159065.4662982554</v>
      </c>
      <c r="DY173" s="128">
        <f t="shared" si="455"/>
        <v>0</v>
      </c>
      <c r="DZ173" s="130">
        <f t="shared" si="512"/>
        <v>4.2500000000000003E-2</v>
      </c>
      <c r="EA173" s="128">
        <f t="shared" si="513"/>
        <v>0</v>
      </c>
      <c r="EB173" s="128">
        <f t="shared" si="514"/>
        <v>159065.4662982554</v>
      </c>
    </row>
    <row r="174" spans="1:132">
      <c r="A174" s="224"/>
      <c r="B174" s="188">
        <f t="shared" si="515"/>
        <v>130</v>
      </c>
      <c r="C174" s="128">
        <f t="shared" si="516"/>
        <v>150968.41907479719</v>
      </c>
      <c r="D174" s="128">
        <f t="shared" si="517"/>
        <v>149197.23287902106</v>
      </c>
      <c r="E174" s="128">
        <f t="shared" si="518"/>
        <v>149039.88995312026</v>
      </c>
      <c r="F174" s="128">
        <f t="shared" si="519"/>
        <v>145428.64490360301</v>
      </c>
      <c r="G174" s="128">
        <f t="shared" si="520"/>
        <v>151607.16461813395</v>
      </c>
      <c r="H174" s="128">
        <f t="shared" si="521"/>
        <v>151286.53516056421</v>
      </c>
      <c r="I174" s="128">
        <f t="shared" si="522"/>
        <v>159065.4662982554</v>
      </c>
      <c r="J174" s="128">
        <f t="shared" si="523"/>
        <v>145121.85584364232</v>
      </c>
      <c r="K174" s="128">
        <f t="shared" si="524"/>
        <v>134880.22052834311</v>
      </c>
      <c r="M174" s="36"/>
      <c r="N174" s="32">
        <f t="shared" si="525"/>
        <v>130</v>
      </c>
      <c r="O174" s="25">
        <f t="shared" si="526"/>
        <v>0.50968419074797189</v>
      </c>
      <c r="P174" s="25">
        <f t="shared" si="527"/>
        <v>0.49197232879021069</v>
      </c>
      <c r="Q174" s="25">
        <f t="shared" si="528"/>
        <v>0.49039889953120253</v>
      </c>
      <c r="R174" s="25">
        <f t="shared" si="457"/>
        <v>0.4542864490360301</v>
      </c>
      <c r="S174" s="25">
        <f t="shared" si="458"/>
        <v>0.51607164618133949</v>
      </c>
      <c r="T174" s="25">
        <f t="shared" si="459"/>
        <v>0.51286535160564206</v>
      </c>
      <c r="U174" s="25">
        <f t="shared" si="460"/>
        <v>0.59065466298255398</v>
      </c>
      <c r="V174" s="25">
        <f t="shared" si="461"/>
        <v>0.45121855843642322</v>
      </c>
      <c r="W174" s="25">
        <f t="shared" si="462"/>
        <v>0.3488022052834312</v>
      </c>
      <c r="X174" s="36"/>
      <c r="Y174" s="36"/>
      <c r="AA174" s="124">
        <f t="shared" si="529"/>
        <v>131</v>
      </c>
      <c r="AB174" s="128">
        <f t="shared" si="463"/>
        <v>135187.76500511784</v>
      </c>
      <c r="AC174" s="124">
        <f t="shared" si="530"/>
        <v>131</v>
      </c>
      <c r="AD174" s="130">
        <f t="shared" si="531"/>
        <v>4.2500000000000003E-2</v>
      </c>
      <c r="AE174" s="127">
        <f t="shared" si="532"/>
        <v>1472</v>
      </c>
      <c r="AF174" s="128">
        <f t="shared" si="533"/>
        <v>147057.9</v>
      </c>
      <c r="AG174" s="128">
        <f t="shared" ref="AG174:AG187" si="552">IF(AK173="tak",
AE174*100,
AG173)</f>
        <v>147200</v>
      </c>
      <c r="AH174" s="128">
        <f t="shared" si="357"/>
        <v>147200</v>
      </c>
      <c r="AI174" s="130">
        <f t="shared" si="464"/>
        <v>4.2500000000000003E-2</v>
      </c>
      <c r="AJ174" s="128">
        <f t="shared" si="465"/>
        <v>147721.33333333334</v>
      </c>
      <c r="AK174" s="128" t="str">
        <f t="shared" si="466"/>
        <v>nie</v>
      </c>
      <c r="AL174" s="128">
        <f t="shared" si="467"/>
        <v>736</v>
      </c>
      <c r="AM174" s="128">
        <f t="shared" si="361"/>
        <v>147026.12</v>
      </c>
      <c r="AN174" s="128">
        <f t="shared" si="468"/>
        <v>422.28000000000787</v>
      </c>
      <c r="AO174" s="130">
        <f t="shared" si="469"/>
        <v>4.2500000000000003E-2</v>
      </c>
      <c r="AP174" s="128">
        <f t="shared" si="470"/>
        <v>4799.379961018034</v>
      </c>
      <c r="AQ174" s="128">
        <f t="shared" si="362"/>
        <v>151403.21996101801</v>
      </c>
      <c r="AS174" s="124">
        <f t="shared" si="534"/>
        <v>131</v>
      </c>
      <c r="AT174" s="130">
        <f t="shared" si="535"/>
        <v>4.2500000000000003E-2</v>
      </c>
      <c r="AU174" s="127">
        <f t="shared" si="536"/>
        <v>1456</v>
      </c>
      <c r="AV174" s="128">
        <f t="shared" si="537"/>
        <v>145464.5</v>
      </c>
      <c r="AW174" s="128">
        <f t="shared" si="363"/>
        <v>145600</v>
      </c>
      <c r="AX174" s="128">
        <f t="shared" si="358"/>
        <v>145600</v>
      </c>
      <c r="AY174" s="130">
        <f t="shared" si="471"/>
        <v>4.4000000000000004E-2</v>
      </c>
      <c r="AZ174" s="128">
        <f t="shared" si="472"/>
        <v>146133.86666666667</v>
      </c>
      <c r="BA174" s="128" t="str">
        <f t="shared" si="473"/>
        <v>nie</v>
      </c>
      <c r="BB174" s="128">
        <f t="shared" si="474"/>
        <v>1019.1999999999999</v>
      </c>
      <c r="BC174" s="128">
        <f t="shared" si="367"/>
        <v>145206.87999999998</v>
      </c>
      <c r="BD174" s="128">
        <f t="shared" si="475"/>
        <v>432.43200000000161</v>
      </c>
      <c r="BE174" s="130">
        <f t="shared" si="476"/>
        <v>4.2500000000000003E-2</v>
      </c>
      <c r="BF174" s="128">
        <f t="shared" si="477"/>
        <v>4867.9047431427798</v>
      </c>
      <c r="BG174" s="128">
        <f t="shared" si="368"/>
        <v>149642.35274314275</v>
      </c>
      <c r="BI174" s="124">
        <f t="shared" si="538"/>
        <v>131</v>
      </c>
      <c r="BJ174" s="130">
        <f t="shared" si="451"/>
        <v>4.1300000000000003E-2</v>
      </c>
      <c r="BK174" s="127">
        <f t="shared" si="539"/>
        <v>1401</v>
      </c>
      <c r="BL174" s="128">
        <f t="shared" si="540"/>
        <v>139959.9</v>
      </c>
      <c r="BM174" s="128">
        <f t="shared" ref="BM174:BM187" si="553">IF(BQ173="tak",
BK174*100,
BM173)</f>
        <v>140100</v>
      </c>
      <c r="BN174" s="128">
        <f t="shared" si="541"/>
        <v>146614.65</v>
      </c>
      <c r="BO174" s="130">
        <f t="shared" si="478"/>
        <v>4.65E-2</v>
      </c>
      <c r="BP174" s="128">
        <f t="shared" si="479"/>
        <v>152864.09945624997</v>
      </c>
      <c r="BQ174" s="128" t="str">
        <f t="shared" si="480"/>
        <v>nie</v>
      </c>
      <c r="BR174" s="128">
        <f t="shared" si="481"/>
        <v>1401</v>
      </c>
      <c r="BS174" s="128">
        <f t="shared" si="364"/>
        <v>149304.11055956248</v>
      </c>
      <c r="BT174" s="128">
        <f t="shared" si="456"/>
        <v>0</v>
      </c>
      <c r="BU174" s="130">
        <f t="shared" si="482"/>
        <v>4.2500000000000003E-2</v>
      </c>
      <c r="BV174" s="128">
        <f t="shared" si="483"/>
        <v>196.52830406994912</v>
      </c>
      <c r="BW174" s="128">
        <f t="shared" si="365"/>
        <v>149500.63886363243</v>
      </c>
      <c r="BY174" s="130">
        <f t="shared" si="452"/>
        <v>2.8000000000000001E-2</v>
      </c>
      <c r="BZ174" s="127">
        <f t="shared" si="542"/>
        <v>1331</v>
      </c>
      <c r="CA174" s="128">
        <f t="shared" si="543"/>
        <v>132980.5</v>
      </c>
      <c r="CB174" s="128">
        <f t="shared" si="366"/>
        <v>133100</v>
      </c>
      <c r="CC174" s="128">
        <f t="shared" si="359"/>
        <v>133100</v>
      </c>
      <c r="CD174" s="130">
        <f t="shared" si="484"/>
        <v>4.2999999999999997E-2</v>
      </c>
      <c r="CE174" s="128">
        <f t="shared" si="485"/>
        <v>138346.35833333334</v>
      </c>
      <c r="CF174" s="128" t="str">
        <f t="shared" si="486"/>
        <v>nie</v>
      </c>
      <c r="CG174" s="128">
        <f t="shared" si="487"/>
        <v>2662</v>
      </c>
      <c r="CH174" s="128">
        <f t="shared" si="369"/>
        <v>135193.33025</v>
      </c>
      <c r="CI174" s="128">
        <f t="shared" si="488"/>
        <v>0</v>
      </c>
      <c r="CJ174" s="130">
        <f t="shared" si="489"/>
        <v>4.2500000000000003E-2</v>
      </c>
      <c r="CK174" s="128">
        <f t="shared" si="490"/>
        <v>10652.108225904583</v>
      </c>
      <c r="CL174" s="128">
        <f t="shared" si="491"/>
        <v>145845.43847590458</v>
      </c>
      <c r="CN174" s="127">
        <f t="shared" si="544"/>
        <v>1495</v>
      </c>
      <c r="CO174" s="128">
        <f t="shared" si="545"/>
        <v>149350.5</v>
      </c>
      <c r="CP174" s="128">
        <f t="shared" si="546"/>
        <v>149500</v>
      </c>
      <c r="CQ174" s="128">
        <f t="shared" si="547"/>
        <v>149500</v>
      </c>
      <c r="CR174" s="130">
        <f t="shared" si="492"/>
        <v>5.6000000000000001E-2</v>
      </c>
      <c r="CS174" s="128">
        <f t="shared" si="493"/>
        <v>157174.33333333331</v>
      </c>
      <c r="CT174" s="128" t="str">
        <f t="shared" si="494"/>
        <v>nie</v>
      </c>
      <c r="CU174" s="128">
        <f t="shared" si="495"/>
        <v>4485</v>
      </c>
      <c r="CV174" s="128">
        <f t="shared" si="496"/>
        <v>152083.35999999999</v>
      </c>
      <c r="CW174" s="128">
        <f t="shared" si="453"/>
        <v>0</v>
      </c>
      <c r="CX174" s="130">
        <f t="shared" si="497"/>
        <v>4.2500000000000003E-2</v>
      </c>
      <c r="CY174" s="128">
        <f t="shared" si="498"/>
        <v>89.169691944710621</v>
      </c>
      <c r="CZ174" s="128">
        <f t="shared" si="499"/>
        <v>152172.52969194468</v>
      </c>
      <c r="DA174" s="20"/>
      <c r="DB174" s="127">
        <f t="shared" ref="DB174:DB187" si="554">IF(DH173="tak",
ROUNDDOWN(DJ173/100,0),
DB173)</f>
        <v>1267</v>
      </c>
      <c r="DC174" s="128">
        <f t="shared" ref="DC174:DC187" si="555">IF(DH173="tak",
DB174*100,
DC173)</f>
        <v>126700</v>
      </c>
      <c r="DD174" s="128">
        <f t="shared" si="548"/>
        <v>126700</v>
      </c>
      <c r="DE174" s="128">
        <f t="shared" si="549"/>
        <v>153417.95965153282</v>
      </c>
      <c r="DF174" s="130">
        <f t="shared" si="500"/>
        <v>4.8000000000000001E-2</v>
      </c>
      <c r="DG174" s="128">
        <f t="shared" si="501"/>
        <v>160168.34987620026</v>
      </c>
      <c r="DH174" s="128" t="str">
        <f t="shared" si="502"/>
        <v>nie</v>
      </c>
      <c r="DI174" s="128">
        <f t="shared" si="503"/>
        <v>2534</v>
      </c>
      <c r="DJ174" s="128">
        <f t="shared" si="355"/>
        <v>151756.8233997222</v>
      </c>
      <c r="DK174" s="128">
        <f t="shared" si="454"/>
        <v>0</v>
      </c>
      <c r="DL174" s="130">
        <f t="shared" si="504"/>
        <v>4.2500000000000003E-2</v>
      </c>
      <c r="DM174" s="128">
        <f t="shared" si="505"/>
        <v>26.862792307355129</v>
      </c>
      <c r="DN174" s="128">
        <f t="shared" si="506"/>
        <v>151783.68619202956</v>
      </c>
      <c r="DP174" s="127">
        <f t="shared" ref="DP174:DP187" si="556">IF(DV173="tak",
ROUNDDOWN(DX173/100,0),
DP173)</f>
        <v>1000</v>
      </c>
      <c r="DQ174" s="128">
        <f t="shared" ref="DQ174:DQ187" si="557">IF(DV173="tak",
DP174*100,
DQ173)</f>
        <v>100000</v>
      </c>
      <c r="DR174" s="128">
        <f t="shared" si="550"/>
        <v>100000</v>
      </c>
      <c r="DS174" s="128">
        <f t="shared" si="551"/>
        <v>168479.16561527047</v>
      </c>
      <c r="DT174" s="130">
        <f t="shared" si="507"/>
        <v>5.3000000000000005E-2</v>
      </c>
      <c r="DU174" s="128">
        <f t="shared" si="508"/>
        <v>176664.44507807904</v>
      </c>
      <c r="DV174" s="128" t="str">
        <f t="shared" si="509"/>
        <v>nie</v>
      </c>
      <c r="DW174" s="128">
        <f t="shared" si="510"/>
        <v>3000</v>
      </c>
      <c r="DX174" s="128">
        <f t="shared" si="511"/>
        <v>159668.20051324402</v>
      </c>
      <c r="DY174" s="128">
        <f t="shared" si="455"/>
        <v>0</v>
      </c>
      <c r="DZ174" s="130">
        <f t="shared" si="512"/>
        <v>4.2500000000000003E-2</v>
      </c>
      <c r="EA174" s="128">
        <f t="shared" si="513"/>
        <v>0</v>
      </c>
      <c r="EB174" s="128">
        <f t="shared" si="514"/>
        <v>159668.20051324402</v>
      </c>
    </row>
    <row r="175" spans="1:132" ht="14.25" customHeight="1">
      <c r="A175" s="224"/>
      <c r="B175" s="188">
        <f t="shared" si="515"/>
        <v>131</v>
      </c>
      <c r="C175" s="128">
        <f t="shared" si="516"/>
        <v>151403.21996101801</v>
      </c>
      <c r="D175" s="128">
        <f t="shared" si="517"/>
        <v>149642.35274314275</v>
      </c>
      <c r="E175" s="128">
        <f t="shared" si="518"/>
        <v>149500.63886363243</v>
      </c>
      <c r="F175" s="128">
        <f t="shared" si="519"/>
        <v>145845.43847590458</v>
      </c>
      <c r="G175" s="128">
        <f t="shared" si="520"/>
        <v>152172.52969194468</v>
      </c>
      <c r="H175" s="128">
        <f t="shared" si="521"/>
        <v>151783.68619202956</v>
      </c>
      <c r="I175" s="128">
        <f t="shared" si="522"/>
        <v>159668.20051324402</v>
      </c>
      <c r="J175" s="128">
        <f t="shared" si="523"/>
        <v>145538.17416759377</v>
      </c>
      <c r="K175" s="128">
        <f t="shared" si="524"/>
        <v>135187.76500511784</v>
      </c>
      <c r="M175" s="36"/>
      <c r="N175" s="32">
        <f t="shared" si="525"/>
        <v>131</v>
      </c>
      <c r="O175" s="25">
        <f t="shared" si="526"/>
        <v>0.51403219961018021</v>
      </c>
      <c r="P175" s="25">
        <f t="shared" si="527"/>
        <v>0.49642352743142748</v>
      </c>
      <c r="Q175" s="25">
        <f t="shared" si="528"/>
        <v>0.49500638863632429</v>
      </c>
      <c r="R175" s="25">
        <f t="shared" si="457"/>
        <v>0.45845438475904587</v>
      </c>
      <c r="S175" s="25">
        <f t="shared" si="458"/>
        <v>0.5217252969194468</v>
      </c>
      <c r="T175" s="25">
        <f t="shared" si="459"/>
        <v>0.51783686192029554</v>
      </c>
      <c r="U175" s="25">
        <f t="shared" si="460"/>
        <v>0.59668200513244019</v>
      </c>
      <c r="V175" s="25">
        <f t="shared" si="461"/>
        <v>0.45538174167593759</v>
      </c>
      <c r="W175" s="25">
        <f t="shared" si="462"/>
        <v>0.35187765005117844</v>
      </c>
      <c r="X175" s="36"/>
      <c r="Y175" s="36"/>
      <c r="AA175" s="124">
        <f t="shared" si="529"/>
        <v>132</v>
      </c>
      <c r="AB175" s="128">
        <f t="shared" si="463"/>
        <v>135495.30948189253</v>
      </c>
      <c r="AC175" s="124">
        <f t="shared" si="530"/>
        <v>132</v>
      </c>
      <c r="AD175" s="130">
        <f t="shared" si="531"/>
        <v>4.2500000000000003E-2</v>
      </c>
      <c r="AE175" s="127">
        <f t="shared" si="532"/>
        <v>1472</v>
      </c>
      <c r="AF175" s="128">
        <f t="shared" si="533"/>
        <v>147057.9</v>
      </c>
      <c r="AG175" s="128">
        <f t="shared" si="552"/>
        <v>147200</v>
      </c>
      <c r="AH175" s="128">
        <f t="shared" si="357"/>
        <v>147200</v>
      </c>
      <c r="AI175" s="130">
        <f t="shared" si="464"/>
        <v>4.2500000000000003E-2</v>
      </c>
      <c r="AJ175" s="128">
        <f t="shared" si="465"/>
        <v>147721.33333333334</v>
      </c>
      <c r="AK175" s="128" t="str">
        <f t="shared" si="466"/>
        <v>tak</v>
      </c>
      <c r="AL175" s="128">
        <f t="shared" si="467"/>
        <v>0</v>
      </c>
      <c r="AM175" s="128">
        <f t="shared" si="361"/>
        <v>147622.28</v>
      </c>
      <c r="AN175" s="128">
        <f t="shared" si="468"/>
        <v>570.07999999999947</v>
      </c>
      <c r="AO175" s="130">
        <f t="shared" si="469"/>
        <v>4.2500000000000003E-2</v>
      </c>
      <c r="AP175" s="128">
        <f t="shared" si="470"/>
        <v>5383.2281822812038</v>
      </c>
      <c r="AQ175" s="128">
        <f t="shared" si="362"/>
        <v>152435.4281822812</v>
      </c>
      <c r="AS175" s="124">
        <f t="shared" si="534"/>
        <v>132</v>
      </c>
      <c r="AT175" s="130">
        <f t="shared" si="535"/>
        <v>4.2500000000000003E-2</v>
      </c>
      <c r="AU175" s="127">
        <f t="shared" si="536"/>
        <v>1456</v>
      </c>
      <c r="AV175" s="128">
        <f t="shared" si="537"/>
        <v>145464.5</v>
      </c>
      <c r="AW175" s="128">
        <f t="shared" si="363"/>
        <v>145600</v>
      </c>
      <c r="AX175" s="128">
        <f t="shared" si="358"/>
        <v>145600</v>
      </c>
      <c r="AY175" s="130">
        <f t="shared" si="471"/>
        <v>4.4000000000000004E-2</v>
      </c>
      <c r="AZ175" s="128">
        <f t="shared" si="472"/>
        <v>146133.86666666667</v>
      </c>
      <c r="BA175" s="128" t="str">
        <f t="shared" si="473"/>
        <v>nie</v>
      </c>
      <c r="BB175" s="128">
        <f t="shared" si="474"/>
        <v>1019.1999999999999</v>
      </c>
      <c r="BC175" s="128">
        <f t="shared" si="367"/>
        <v>145206.87999999998</v>
      </c>
      <c r="BD175" s="128">
        <f t="shared" si="475"/>
        <v>432.43200000000161</v>
      </c>
      <c r="BE175" s="130">
        <f t="shared" si="476"/>
        <v>4.2500000000000003E-2</v>
      </c>
      <c r="BF175" s="128">
        <f t="shared" si="477"/>
        <v>5314.3015448746719</v>
      </c>
      <c r="BG175" s="128">
        <f t="shared" si="368"/>
        <v>150088.74954487465</v>
      </c>
      <c r="BI175" s="124">
        <f t="shared" si="538"/>
        <v>132</v>
      </c>
      <c r="BJ175" s="130">
        <f t="shared" si="451"/>
        <v>4.1300000000000003E-2</v>
      </c>
      <c r="BK175" s="127">
        <f t="shared" si="539"/>
        <v>1401</v>
      </c>
      <c r="BL175" s="128">
        <f t="shared" si="540"/>
        <v>139959.9</v>
      </c>
      <c r="BM175" s="128">
        <f t="shared" si="553"/>
        <v>140100</v>
      </c>
      <c r="BN175" s="128">
        <f t="shared" si="541"/>
        <v>146614.65</v>
      </c>
      <c r="BO175" s="130">
        <f t="shared" si="478"/>
        <v>4.65E-2</v>
      </c>
      <c r="BP175" s="128">
        <f t="shared" si="479"/>
        <v>153432.231225</v>
      </c>
      <c r="BQ175" s="128" t="str">
        <f t="shared" si="480"/>
        <v>nie</v>
      </c>
      <c r="BR175" s="128">
        <f t="shared" si="481"/>
        <v>1401</v>
      </c>
      <c r="BS175" s="128">
        <f t="shared" si="364"/>
        <v>149764.29729225</v>
      </c>
      <c r="BT175" s="128">
        <f t="shared" si="456"/>
        <v>0</v>
      </c>
      <c r="BU175" s="130">
        <f t="shared" si="482"/>
        <v>4.2500000000000003E-2</v>
      </c>
      <c r="BV175" s="128">
        <f t="shared" si="483"/>
        <v>197.09209464224978</v>
      </c>
      <c r="BW175" s="128">
        <f t="shared" si="365"/>
        <v>149961.38938689226</v>
      </c>
      <c r="BY175" s="130">
        <f t="shared" si="452"/>
        <v>2.8000000000000001E-2</v>
      </c>
      <c r="BZ175" s="127">
        <f t="shared" si="542"/>
        <v>1331</v>
      </c>
      <c r="CA175" s="128">
        <f t="shared" si="543"/>
        <v>132980.5</v>
      </c>
      <c r="CB175" s="128">
        <f t="shared" si="366"/>
        <v>133100</v>
      </c>
      <c r="CC175" s="128">
        <f t="shared" si="359"/>
        <v>133100</v>
      </c>
      <c r="CD175" s="130">
        <f t="shared" si="484"/>
        <v>4.2999999999999997E-2</v>
      </c>
      <c r="CE175" s="128">
        <f t="shared" si="485"/>
        <v>138823.29999999999</v>
      </c>
      <c r="CF175" s="128" t="str">
        <f t="shared" si="486"/>
        <v>nie</v>
      </c>
      <c r="CG175" s="128">
        <f t="shared" si="487"/>
        <v>2662</v>
      </c>
      <c r="CH175" s="128">
        <f t="shared" si="369"/>
        <v>135579.65299999999</v>
      </c>
      <c r="CI175" s="128">
        <f t="shared" si="488"/>
        <v>4635.8729999999905</v>
      </c>
      <c r="CJ175" s="130">
        <f t="shared" si="489"/>
        <v>4.2500000000000003E-2</v>
      </c>
      <c r="CK175" s="128">
        <f t="shared" si="490"/>
        <v>15318.539461377637</v>
      </c>
      <c r="CL175" s="128">
        <f t="shared" si="491"/>
        <v>146262.31946137763</v>
      </c>
      <c r="CN175" s="127">
        <f t="shared" si="544"/>
        <v>1495</v>
      </c>
      <c r="CO175" s="128">
        <f t="shared" si="545"/>
        <v>149350.5</v>
      </c>
      <c r="CP175" s="128">
        <f t="shared" si="546"/>
        <v>149500</v>
      </c>
      <c r="CQ175" s="128">
        <f t="shared" si="547"/>
        <v>149500</v>
      </c>
      <c r="CR175" s="130">
        <f t="shared" si="492"/>
        <v>5.6000000000000001E-2</v>
      </c>
      <c r="CS175" s="128">
        <f t="shared" si="493"/>
        <v>157872</v>
      </c>
      <c r="CT175" s="128" t="str">
        <f t="shared" si="494"/>
        <v>nie</v>
      </c>
      <c r="CU175" s="128">
        <f t="shared" si="495"/>
        <v>4485</v>
      </c>
      <c r="CV175" s="128">
        <f t="shared" si="496"/>
        <v>152648.47</v>
      </c>
      <c r="CW175" s="128">
        <f t="shared" si="453"/>
        <v>0</v>
      </c>
      <c r="CX175" s="130">
        <f t="shared" si="497"/>
        <v>4.2500000000000003E-2</v>
      </c>
      <c r="CY175" s="128">
        <f t="shared" si="498"/>
        <v>89.425497498477014</v>
      </c>
      <c r="CZ175" s="128">
        <f t="shared" si="499"/>
        <v>152737.89549749848</v>
      </c>
      <c r="DA175" s="20"/>
      <c r="DB175" s="127">
        <f t="shared" si="554"/>
        <v>1267</v>
      </c>
      <c r="DC175" s="128">
        <f t="shared" si="555"/>
        <v>126700</v>
      </c>
      <c r="DD175" s="128">
        <f t="shared" si="548"/>
        <v>126700</v>
      </c>
      <c r="DE175" s="128">
        <f t="shared" si="549"/>
        <v>153417.95965153282</v>
      </c>
      <c r="DF175" s="130">
        <f t="shared" si="500"/>
        <v>4.8000000000000001E-2</v>
      </c>
      <c r="DG175" s="128">
        <f t="shared" si="501"/>
        <v>160782.02171480641</v>
      </c>
      <c r="DH175" s="128" t="str">
        <f t="shared" si="502"/>
        <v>nie</v>
      </c>
      <c r="DI175" s="128">
        <f t="shared" si="503"/>
        <v>2534</v>
      </c>
      <c r="DJ175" s="128">
        <f t="shared" si="355"/>
        <v>152253.89758899319</v>
      </c>
      <c r="DK175" s="128">
        <f t="shared" si="454"/>
        <v>0</v>
      </c>
      <c r="DL175" s="130">
        <f t="shared" si="504"/>
        <v>4.2500000000000003E-2</v>
      </c>
      <c r="DM175" s="128">
        <f t="shared" si="505"/>
        <v>26.939854942786852</v>
      </c>
      <c r="DN175" s="128">
        <f t="shared" si="506"/>
        <v>152280.83744393598</v>
      </c>
      <c r="DP175" s="127">
        <f t="shared" si="556"/>
        <v>1000</v>
      </c>
      <c r="DQ175" s="128">
        <f t="shared" si="557"/>
        <v>100000</v>
      </c>
      <c r="DR175" s="128">
        <f t="shared" si="550"/>
        <v>100000</v>
      </c>
      <c r="DS175" s="128">
        <f t="shared" si="551"/>
        <v>168479.16561527047</v>
      </c>
      <c r="DT175" s="130">
        <f t="shared" si="507"/>
        <v>5.3000000000000005E-2</v>
      </c>
      <c r="DU175" s="128">
        <f t="shared" si="508"/>
        <v>177408.56139287978</v>
      </c>
      <c r="DV175" s="128" t="str">
        <f t="shared" si="509"/>
        <v>nie</v>
      </c>
      <c r="DW175" s="128">
        <f t="shared" si="510"/>
        <v>3000</v>
      </c>
      <c r="DX175" s="128">
        <f t="shared" si="511"/>
        <v>160270.93472823262</v>
      </c>
      <c r="DY175" s="128">
        <f t="shared" si="455"/>
        <v>0</v>
      </c>
      <c r="DZ175" s="130">
        <f t="shared" si="512"/>
        <v>4.2500000000000003E-2</v>
      </c>
      <c r="EA175" s="128">
        <f t="shared" si="513"/>
        <v>0</v>
      </c>
      <c r="EB175" s="128">
        <f t="shared" si="514"/>
        <v>160270.93472823262</v>
      </c>
    </row>
    <row r="176" spans="1:132">
      <c r="A176" s="224"/>
      <c r="B176" s="188">
        <f t="shared" si="515"/>
        <v>132</v>
      </c>
      <c r="C176" s="128">
        <f t="shared" si="516"/>
        <v>152435.4281822812</v>
      </c>
      <c r="D176" s="128">
        <f t="shared" si="517"/>
        <v>150088.74954487465</v>
      </c>
      <c r="E176" s="128">
        <f t="shared" si="518"/>
        <v>149961.38938689226</v>
      </c>
      <c r="F176" s="128">
        <f t="shared" si="519"/>
        <v>146262.31946137763</v>
      </c>
      <c r="G176" s="128">
        <f t="shared" si="520"/>
        <v>152737.89549749848</v>
      </c>
      <c r="H176" s="128">
        <f t="shared" si="521"/>
        <v>152280.83744393598</v>
      </c>
      <c r="I176" s="128">
        <f t="shared" si="522"/>
        <v>160270.93472823262</v>
      </c>
      <c r="J176" s="128">
        <f t="shared" si="523"/>
        <v>145955.68680473705</v>
      </c>
      <c r="K176" s="128">
        <f t="shared" si="524"/>
        <v>135495.30948189253</v>
      </c>
      <c r="M176" s="36"/>
      <c r="N176" s="32">
        <f t="shared" si="525"/>
        <v>132</v>
      </c>
      <c r="O176" s="25">
        <f t="shared" si="526"/>
        <v>0.52435428182281196</v>
      </c>
      <c r="P176" s="25">
        <f t="shared" si="527"/>
        <v>0.50088749544874656</v>
      </c>
      <c r="Q176" s="25">
        <f t="shared" si="528"/>
        <v>0.49961389386892252</v>
      </c>
      <c r="R176" s="25">
        <f t="shared" si="457"/>
        <v>0.46262319461377621</v>
      </c>
      <c r="S176" s="25">
        <f t="shared" si="458"/>
        <v>0.52737895497498477</v>
      </c>
      <c r="T176" s="25">
        <f t="shared" si="459"/>
        <v>0.52280837443935968</v>
      </c>
      <c r="U176" s="25">
        <f t="shared" si="460"/>
        <v>0.60270934728232617</v>
      </c>
      <c r="V176" s="25">
        <f t="shared" si="461"/>
        <v>0.4595568680473705</v>
      </c>
      <c r="W176" s="25">
        <f t="shared" si="462"/>
        <v>0.35495309481892523</v>
      </c>
      <c r="X176" s="36"/>
      <c r="Y176" s="36"/>
      <c r="AA176" s="124">
        <f t="shared" si="529"/>
        <v>133</v>
      </c>
      <c r="AB176" s="128">
        <f t="shared" si="463"/>
        <v>135811.46520401695</v>
      </c>
      <c r="AC176" s="124">
        <f t="shared" si="530"/>
        <v>133</v>
      </c>
      <c r="AD176" s="130">
        <f t="shared" si="531"/>
        <v>4.2500000000000003E-2</v>
      </c>
      <c r="AE176" s="127">
        <f t="shared" si="532"/>
        <v>1530</v>
      </c>
      <c r="AF176" s="128">
        <f t="shared" si="533"/>
        <v>152852.30000000002</v>
      </c>
      <c r="AG176" s="128">
        <f t="shared" si="552"/>
        <v>153000</v>
      </c>
      <c r="AH176" s="128">
        <f t="shared" si="357"/>
        <v>153000</v>
      </c>
      <c r="AI176" s="130">
        <f t="shared" si="464"/>
        <v>4.2500000000000003E-2</v>
      </c>
      <c r="AJ176" s="128">
        <f t="shared" si="465"/>
        <v>153541.87500000003</v>
      </c>
      <c r="AK176" s="128" t="str">
        <f t="shared" si="466"/>
        <v>nie</v>
      </c>
      <c r="AL176" s="128">
        <f t="shared" si="467"/>
        <v>541.8750000000291</v>
      </c>
      <c r="AM176" s="128">
        <f t="shared" si="361"/>
        <v>153000</v>
      </c>
      <c r="AN176" s="128">
        <f t="shared" si="468"/>
        <v>438.91875000002358</v>
      </c>
      <c r="AO176" s="130">
        <f t="shared" si="469"/>
        <v>4.2500000000000003E-2</v>
      </c>
      <c r="AP176" s="128">
        <f t="shared" si="470"/>
        <v>522.3856931291466</v>
      </c>
      <c r="AQ176" s="128">
        <f t="shared" si="362"/>
        <v>158398.67131812911</v>
      </c>
      <c r="AS176" s="124">
        <f t="shared" si="534"/>
        <v>133</v>
      </c>
      <c r="AT176" s="130">
        <f t="shared" si="535"/>
        <v>4.2500000000000003E-2</v>
      </c>
      <c r="AU176" s="127">
        <f t="shared" si="536"/>
        <v>1456</v>
      </c>
      <c r="AV176" s="128">
        <f t="shared" si="537"/>
        <v>145464.5</v>
      </c>
      <c r="AW176" s="128">
        <f t="shared" si="363"/>
        <v>145600</v>
      </c>
      <c r="AX176" s="128">
        <f t="shared" si="358"/>
        <v>145600</v>
      </c>
      <c r="AY176" s="130">
        <f t="shared" si="471"/>
        <v>4.4000000000000004E-2</v>
      </c>
      <c r="AZ176" s="128">
        <f t="shared" si="472"/>
        <v>146133.86666666667</v>
      </c>
      <c r="BA176" s="128" t="str">
        <f t="shared" si="473"/>
        <v>nie</v>
      </c>
      <c r="BB176" s="128">
        <f t="shared" si="474"/>
        <v>1019.1999999999999</v>
      </c>
      <c r="BC176" s="128">
        <f t="shared" si="367"/>
        <v>145206.87999999998</v>
      </c>
      <c r="BD176" s="128">
        <f t="shared" si="475"/>
        <v>432.43200000000161</v>
      </c>
      <c r="BE176" s="130">
        <f t="shared" si="476"/>
        <v>4.2500000000000003E-2</v>
      </c>
      <c r="BF176" s="128">
        <f t="shared" si="477"/>
        <v>5761.978947431533</v>
      </c>
      <c r="BG176" s="128">
        <f t="shared" si="368"/>
        <v>150536.42694743149</v>
      </c>
      <c r="BI176" s="124">
        <f t="shared" si="538"/>
        <v>133</v>
      </c>
      <c r="BJ176" s="130">
        <f t="shared" si="451"/>
        <v>4.1300000000000003E-2</v>
      </c>
      <c r="BK176" s="127">
        <f t="shared" si="539"/>
        <v>1401</v>
      </c>
      <c r="BL176" s="128">
        <f t="shared" si="540"/>
        <v>139959.9</v>
      </c>
      <c r="BM176" s="128">
        <f t="shared" si="553"/>
        <v>140100</v>
      </c>
      <c r="BN176" s="128">
        <f t="shared" si="541"/>
        <v>153432.231225</v>
      </c>
      <c r="BO176" s="130">
        <f t="shared" si="478"/>
        <v>4.65E-2</v>
      </c>
      <c r="BP176" s="128">
        <f t="shared" si="479"/>
        <v>154026.78112099689</v>
      </c>
      <c r="BQ176" s="128" t="str">
        <f t="shared" si="480"/>
        <v>nie</v>
      </c>
      <c r="BR176" s="128">
        <f t="shared" si="481"/>
        <v>1401</v>
      </c>
      <c r="BS176" s="128">
        <f t="shared" si="364"/>
        <v>150245.88270800747</v>
      </c>
      <c r="BT176" s="128">
        <f t="shared" si="456"/>
        <v>0</v>
      </c>
      <c r="BU176" s="130">
        <f t="shared" si="482"/>
        <v>4.2500000000000003E-2</v>
      </c>
      <c r="BV176" s="128">
        <f t="shared" si="483"/>
        <v>197.65750258875474</v>
      </c>
      <c r="BW176" s="128">
        <f t="shared" si="365"/>
        <v>150443.54021059623</v>
      </c>
      <c r="BY176" s="130">
        <f t="shared" si="452"/>
        <v>2.8000000000000001E-2</v>
      </c>
      <c r="BZ176" s="127">
        <f t="shared" si="542"/>
        <v>1331</v>
      </c>
      <c r="CA176" s="128">
        <f t="shared" si="543"/>
        <v>132980.5</v>
      </c>
      <c r="CB176" s="128">
        <f t="shared" si="366"/>
        <v>133100</v>
      </c>
      <c r="CC176" s="128">
        <f t="shared" si="359"/>
        <v>133100</v>
      </c>
      <c r="CD176" s="130">
        <f t="shared" si="484"/>
        <v>4.2999999999999997E-2</v>
      </c>
      <c r="CE176" s="128">
        <f t="shared" si="485"/>
        <v>133576.94166666665</v>
      </c>
      <c r="CF176" s="128" t="str">
        <f t="shared" si="486"/>
        <v>nie</v>
      </c>
      <c r="CG176" s="128">
        <f t="shared" si="487"/>
        <v>2662</v>
      </c>
      <c r="CH176" s="128">
        <f t="shared" si="369"/>
        <v>131330.10274999999</v>
      </c>
      <c r="CI176" s="128">
        <f t="shared" si="488"/>
        <v>0</v>
      </c>
      <c r="CJ176" s="130">
        <f t="shared" si="489"/>
        <v>4.2500000000000003E-2</v>
      </c>
      <c r="CK176" s="128">
        <f t="shared" si="490"/>
        <v>15362.484521457463</v>
      </c>
      <c r="CL176" s="128">
        <f t="shared" si="491"/>
        <v>146692.58727145745</v>
      </c>
      <c r="CN176" s="127">
        <f t="shared" si="544"/>
        <v>1495</v>
      </c>
      <c r="CO176" s="128">
        <f t="shared" si="545"/>
        <v>149350.5</v>
      </c>
      <c r="CP176" s="128">
        <f t="shared" si="546"/>
        <v>149500</v>
      </c>
      <c r="CQ176" s="128">
        <f t="shared" si="547"/>
        <v>157872</v>
      </c>
      <c r="CR176" s="130">
        <f t="shared" si="492"/>
        <v>4.8000000000000001E-2</v>
      </c>
      <c r="CS176" s="128">
        <f t="shared" si="493"/>
        <v>158503.48800000001</v>
      </c>
      <c r="CT176" s="128" t="str">
        <f t="shared" si="494"/>
        <v>nie</v>
      </c>
      <c r="CU176" s="128">
        <f t="shared" si="495"/>
        <v>4485</v>
      </c>
      <c r="CV176" s="128">
        <f t="shared" si="496"/>
        <v>153159.97528000001</v>
      </c>
      <c r="CW176" s="128">
        <f t="shared" si="453"/>
        <v>0</v>
      </c>
      <c r="CX176" s="130">
        <f t="shared" si="497"/>
        <v>4.2500000000000003E-2</v>
      </c>
      <c r="CY176" s="128">
        <f t="shared" si="498"/>
        <v>89.682036894425764</v>
      </c>
      <c r="CZ176" s="128">
        <f t="shared" si="499"/>
        <v>153249.65731689445</v>
      </c>
      <c r="DA176" s="20"/>
      <c r="DB176" s="127">
        <f t="shared" si="554"/>
        <v>1267</v>
      </c>
      <c r="DC176" s="128">
        <f t="shared" si="555"/>
        <v>126700</v>
      </c>
      <c r="DD176" s="128">
        <f t="shared" si="548"/>
        <v>126700</v>
      </c>
      <c r="DE176" s="128">
        <f t="shared" si="549"/>
        <v>160782.02171480641</v>
      </c>
      <c r="DF176" s="130">
        <f t="shared" si="500"/>
        <v>4.8000000000000001E-2</v>
      </c>
      <c r="DG176" s="128">
        <f t="shared" si="501"/>
        <v>161425.14980166563</v>
      </c>
      <c r="DH176" s="128" t="str">
        <f t="shared" si="502"/>
        <v>nie</v>
      </c>
      <c r="DI176" s="128">
        <f t="shared" si="503"/>
        <v>2534</v>
      </c>
      <c r="DJ176" s="128">
        <f t="shared" si="355"/>
        <v>152774.83133934916</v>
      </c>
      <c r="DK176" s="128">
        <f t="shared" si="454"/>
        <v>0</v>
      </c>
      <c r="DL176" s="130">
        <f t="shared" si="504"/>
        <v>4.2500000000000003E-2</v>
      </c>
      <c r="DM176" s="128">
        <f t="shared" si="505"/>
        <v>27.017138651653969</v>
      </c>
      <c r="DN176" s="128">
        <f t="shared" si="506"/>
        <v>152801.84847800081</v>
      </c>
      <c r="DP176" s="127">
        <f t="shared" si="556"/>
        <v>1000</v>
      </c>
      <c r="DQ176" s="128">
        <f t="shared" si="557"/>
        <v>100000</v>
      </c>
      <c r="DR176" s="128">
        <f t="shared" si="550"/>
        <v>100000</v>
      </c>
      <c r="DS176" s="128">
        <f t="shared" si="551"/>
        <v>177408.56139287978</v>
      </c>
      <c r="DT176" s="130">
        <f t="shared" si="507"/>
        <v>5.3000000000000005E-2</v>
      </c>
      <c r="DU176" s="128">
        <f t="shared" si="508"/>
        <v>178192.11587236502</v>
      </c>
      <c r="DV176" s="128" t="str">
        <f t="shared" si="509"/>
        <v>nie</v>
      </c>
      <c r="DW176" s="128">
        <f t="shared" si="510"/>
        <v>3000</v>
      </c>
      <c r="DX176" s="128">
        <f t="shared" si="511"/>
        <v>160905.61385661567</v>
      </c>
      <c r="DY176" s="128">
        <f t="shared" si="455"/>
        <v>0</v>
      </c>
      <c r="DZ176" s="130">
        <f t="shared" si="512"/>
        <v>4.2500000000000003E-2</v>
      </c>
      <c r="EA176" s="128">
        <f t="shared" si="513"/>
        <v>0</v>
      </c>
      <c r="EB176" s="128">
        <f t="shared" si="514"/>
        <v>160905.61385661567</v>
      </c>
    </row>
    <row r="177" spans="1:132">
      <c r="A177" s="224">
        <f>ROUNDUP(B188/12,0)</f>
        <v>12</v>
      </c>
      <c r="B177" s="188">
        <f t="shared" si="515"/>
        <v>133</v>
      </c>
      <c r="C177" s="128">
        <f t="shared" si="516"/>
        <v>158398.67131812911</v>
      </c>
      <c r="D177" s="128">
        <f t="shared" si="517"/>
        <v>150536.42694743149</v>
      </c>
      <c r="E177" s="128">
        <f t="shared" si="518"/>
        <v>150443.54021059623</v>
      </c>
      <c r="F177" s="128">
        <f t="shared" si="519"/>
        <v>146692.58727145745</v>
      </c>
      <c r="G177" s="128">
        <f t="shared" si="520"/>
        <v>153249.65731689445</v>
      </c>
      <c r="H177" s="128">
        <f t="shared" si="521"/>
        <v>152801.84847800081</v>
      </c>
      <c r="I177" s="128">
        <f t="shared" si="522"/>
        <v>160905.61385661567</v>
      </c>
      <c r="J177" s="128">
        <f t="shared" si="523"/>
        <v>146374.39718125813</v>
      </c>
      <c r="K177" s="128">
        <f t="shared" si="524"/>
        <v>135811.46520401695</v>
      </c>
      <c r="M177" s="36"/>
      <c r="N177" s="32">
        <f t="shared" si="525"/>
        <v>133</v>
      </c>
      <c r="O177" s="25">
        <f t="shared" si="526"/>
        <v>0.58398671318129103</v>
      </c>
      <c r="P177" s="25">
        <f t="shared" si="527"/>
        <v>0.50536426947431501</v>
      </c>
      <c r="Q177" s="25">
        <f t="shared" si="528"/>
        <v>0.50443540210596227</v>
      </c>
      <c r="R177" s="25">
        <f t="shared" si="457"/>
        <v>0.46692587271457442</v>
      </c>
      <c r="S177" s="25">
        <f t="shared" si="458"/>
        <v>0.53249657316894439</v>
      </c>
      <c r="T177" s="25">
        <f t="shared" si="459"/>
        <v>0.52801848478000823</v>
      </c>
      <c r="U177" s="25">
        <f t="shared" si="460"/>
        <v>0.60905613856615681</v>
      </c>
      <c r="V177" s="25">
        <f t="shared" si="461"/>
        <v>0.46374397181258131</v>
      </c>
      <c r="W177" s="25">
        <f t="shared" si="462"/>
        <v>0.35811465204016946</v>
      </c>
      <c r="X177" s="36"/>
      <c r="Y177" s="36"/>
      <c r="AA177" s="124">
        <f t="shared" si="529"/>
        <v>134</v>
      </c>
      <c r="AB177" s="128">
        <f t="shared" si="463"/>
        <v>136127.62092614136</v>
      </c>
      <c r="AC177" s="124">
        <f t="shared" si="530"/>
        <v>134</v>
      </c>
      <c r="AD177" s="130">
        <f t="shared" si="531"/>
        <v>4.2500000000000003E-2</v>
      </c>
      <c r="AE177" s="127">
        <f t="shared" si="532"/>
        <v>1530</v>
      </c>
      <c r="AF177" s="128">
        <f t="shared" si="533"/>
        <v>152852.30000000002</v>
      </c>
      <c r="AG177" s="128">
        <f t="shared" si="552"/>
        <v>153000</v>
      </c>
      <c r="AH177" s="128">
        <f t="shared" si="357"/>
        <v>153000</v>
      </c>
      <c r="AI177" s="130">
        <f t="shared" si="464"/>
        <v>4.2500000000000003E-2</v>
      </c>
      <c r="AJ177" s="128">
        <f t="shared" si="465"/>
        <v>153541.87500000003</v>
      </c>
      <c r="AK177" s="128" t="str">
        <f t="shared" si="466"/>
        <v>nie</v>
      </c>
      <c r="AL177" s="128">
        <f t="shared" si="467"/>
        <v>765</v>
      </c>
      <c r="AM177" s="128">
        <f t="shared" si="361"/>
        <v>152819.26875000002</v>
      </c>
      <c r="AN177" s="128">
        <f t="shared" si="468"/>
        <v>438.91875000002358</v>
      </c>
      <c r="AO177" s="130">
        <f t="shared" si="469"/>
        <v>4.2500000000000003E-2</v>
      </c>
      <c r="AP177" s="128">
        <f t="shared" si="470"/>
        <v>962.80303708633437</v>
      </c>
      <c r="AQ177" s="128">
        <f t="shared" si="362"/>
        <v>153343.15303708633</v>
      </c>
      <c r="AS177" s="124">
        <f t="shared" si="534"/>
        <v>134</v>
      </c>
      <c r="AT177" s="130">
        <f t="shared" si="535"/>
        <v>4.2500000000000003E-2</v>
      </c>
      <c r="AU177" s="127">
        <f t="shared" si="536"/>
        <v>1456</v>
      </c>
      <c r="AV177" s="128">
        <f t="shared" si="537"/>
        <v>145464.5</v>
      </c>
      <c r="AW177" s="128">
        <f t="shared" si="363"/>
        <v>145600</v>
      </c>
      <c r="AX177" s="128">
        <f t="shared" si="358"/>
        <v>145600</v>
      </c>
      <c r="AY177" s="130">
        <f t="shared" si="471"/>
        <v>4.4000000000000004E-2</v>
      </c>
      <c r="AZ177" s="128">
        <f t="shared" si="472"/>
        <v>146133.86666666667</v>
      </c>
      <c r="BA177" s="128" t="str">
        <f t="shared" si="473"/>
        <v>nie</v>
      </c>
      <c r="BB177" s="128">
        <f t="shared" si="474"/>
        <v>1019.1999999999999</v>
      </c>
      <c r="BC177" s="128">
        <f t="shared" si="367"/>
        <v>145206.87999999998</v>
      </c>
      <c r="BD177" s="128">
        <f t="shared" si="475"/>
        <v>432.43200000000161</v>
      </c>
      <c r="BE177" s="130">
        <f t="shared" si="476"/>
        <v>4.2500000000000003E-2</v>
      </c>
      <c r="BF177" s="128">
        <f t="shared" si="477"/>
        <v>6210.9406245369782</v>
      </c>
      <c r="BG177" s="128">
        <f t="shared" si="368"/>
        <v>150985.38862453695</v>
      </c>
      <c r="BI177" s="124">
        <f t="shared" si="538"/>
        <v>134</v>
      </c>
      <c r="BJ177" s="130">
        <f t="shared" si="451"/>
        <v>4.1300000000000003E-2</v>
      </c>
      <c r="BK177" s="127">
        <f t="shared" si="539"/>
        <v>1401</v>
      </c>
      <c r="BL177" s="128">
        <f t="shared" si="540"/>
        <v>139959.9</v>
      </c>
      <c r="BM177" s="128">
        <f t="shared" si="553"/>
        <v>140100</v>
      </c>
      <c r="BN177" s="128">
        <f t="shared" si="541"/>
        <v>153432.231225</v>
      </c>
      <c r="BO177" s="130">
        <f t="shared" si="478"/>
        <v>4.65E-2</v>
      </c>
      <c r="BP177" s="128">
        <f t="shared" si="479"/>
        <v>154621.33101699373</v>
      </c>
      <c r="BQ177" s="128" t="str">
        <f t="shared" si="480"/>
        <v>nie</v>
      </c>
      <c r="BR177" s="128">
        <f t="shared" si="481"/>
        <v>1401</v>
      </c>
      <c r="BS177" s="128">
        <f t="shared" si="364"/>
        <v>150727.46812376493</v>
      </c>
      <c r="BT177" s="128">
        <f t="shared" si="456"/>
        <v>0</v>
      </c>
      <c r="BU177" s="130">
        <f t="shared" si="482"/>
        <v>4.2500000000000003E-2</v>
      </c>
      <c r="BV177" s="128">
        <f t="shared" si="483"/>
        <v>198.22453254930622</v>
      </c>
      <c r="BW177" s="128">
        <f t="shared" si="365"/>
        <v>150925.69265631423</v>
      </c>
      <c r="BY177" s="130">
        <f t="shared" si="452"/>
        <v>2.8000000000000001E-2</v>
      </c>
      <c r="BZ177" s="127">
        <f t="shared" si="542"/>
        <v>1331</v>
      </c>
      <c r="CA177" s="128">
        <f t="shared" si="543"/>
        <v>132980.5</v>
      </c>
      <c r="CB177" s="128">
        <f t="shared" si="366"/>
        <v>133100</v>
      </c>
      <c r="CC177" s="128">
        <f t="shared" si="359"/>
        <v>133100</v>
      </c>
      <c r="CD177" s="130">
        <f t="shared" si="484"/>
        <v>4.2999999999999997E-2</v>
      </c>
      <c r="CE177" s="128">
        <f t="shared" si="485"/>
        <v>134053.88333333336</v>
      </c>
      <c r="CF177" s="128" t="str">
        <f t="shared" si="486"/>
        <v>nie</v>
      </c>
      <c r="CG177" s="128">
        <f t="shared" si="487"/>
        <v>2662</v>
      </c>
      <c r="CH177" s="128">
        <f t="shared" si="369"/>
        <v>131716.42550000001</v>
      </c>
      <c r="CI177" s="128">
        <f t="shared" si="488"/>
        <v>0</v>
      </c>
      <c r="CJ177" s="130">
        <f t="shared" si="489"/>
        <v>4.2500000000000003E-2</v>
      </c>
      <c r="CK177" s="128">
        <f t="shared" si="490"/>
        <v>15406.555648928394</v>
      </c>
      <c r="CL177" s="128">
        <f t="shared" si="491"/>
        <v>147122.9811489284</v>
      </c>
      <c r="CN177" s="127">
        <f t="shared" si="544"/>
        <v>1495</v>
      </c>
      <c r="CO177" s="128">
        <f t="shared" si="545"/>
        <v>149350.5</v>
      </c>
      <c r="CP177" s="128">
        <f t="shared" si="546"/>
        <v>149500</v>
      </c>
      <c r="CQ177" s="128">
        <f t="shared" si="547"/>
        <v>157872</v>
      </c>
      <c r="CR177" s="130">
        <f t="shared" si="492"/>
        <v>4.8000000000000001E-2</v>
      </c>
      <c r="CS177" s="128">
        <f t="shared" si="493"/>
        <v>159134.976</v>
      </c>
      <c r="CT177" s="128" t="str">
        <f t="shared" si="494"/>
        <v>nie</v>
      </c>
      <c r="CU177" s="128">
        <f t="shared" si="495"/>
        <v>4485</v>
      </c>
      <c r="CV177" s="128">
        <f t="shared" si="496"/>
        <v>153671.48056</v>
      </c>
      <c r="CW177" s="128">
        <f t="shared" si="453"/>
        <v>0</v>
      </c>
      <c r="CX177" s="130">
        <f t="shared" si="497"/>
        <v>4.2500000000000003E-2</v>
      </c>
      <c r="CY177" s="128">
        <f t="shared" si="498"/>
        <v>89.939312237766643</v>
      </c>
      <c r="CZ177" s="128">
        <f t="shared" si="499"/>
        <v>153761.41987223778</v>
      </c>
      <c r="DA177" s="20"/>
      <c r="DB177" s="127">
        <f t="shared" si="554"/>
        <v>1267</v>
      </c>
      <c r="DC177" s="128">
        <f t="shared" si="555"/>
        <v>126700</v>
      </c>
      <c r="DD177" s="128">
        <f t="shared" si="548"/>
        <v>126700</v>
      </c>
      <c r="DE177" s="128">
        <f t="shared" si="549"/>
        <v>160782.02171480641</v>
      </c>
      <c r="DF177" s="130">
        <f t="shared" si="500"/>
        <v>4.8000000000000001E-2</v>
      </c>
      <c r="DG177" s="128">
        <f t="shared" si="501"/>
        <v>162068.27788852487</v>
      </c>
      <c r="DH177" s="128" t="str">
        <f t="shared" si="502"/>
        <v>nie</v>
      </c>
      <c r="DI177" s="128">
        <f t="shared" si="503"/>
        <v>2534</v>
      </c>
      <c r="DJ177" s="128">
        <f t="shared" si="355"/>
        <v>153295.76508970515</v>
      </c>
      <c r="DK177" s="128">
        <f t="shared" si="454"/>
        <v>0</v>
      </c>
      <c r="DL177" s="130">
        <f t="shared" si="504"/>
        <v>4.2500000000000003E-2</v>
      </c>
      <c r="DM177" s="128">
        <f t="shared" si="505"/>
        <v>27.0946440681609</v>
      </c>
      <c r="DN177" s="128">
        <f t="shared" si="506"/>
        <v>153322.85973377331</v>
      </c>
      <c r="DP177" s="127">
        <f t="shared" si="556"/>
        <v>1000</v>
      </c>
      <c r="DQ177" s="128">
        <f t="shared" si="557"/>
        <v>100000</v>
      </c>
      <c r="DR177" s="128">
        <f t="shared" si="550"/>
        <v>100000</v>
      </c>
      <c r="DS177" s="128">
        <f t="shared" si="551"/>
        <v>177408.56139287978</v>
      </c>
      <c r="DT177" s="130">
        <f t="shared" si="507"/>
        <v>5.3000000000000005E-2</v>
      </c>
      <c r="DU177" s="128">
        <f t="shared" si="508"/>
        <v>178975.67035185022</v>
      </c>
      <c r="DV177" s="128" t="str">
        <f t="shared" si="509"/>
        <v>nie</v>
      </c>
      <c r="DW177" s="128">
        <f t="shared" si="510"/>
        <v>3000</v>
      </c>
      <c r="DX177" s="128">
        <f t="shared" si="511"/>
        <v>161540.29298499867</v>
      </c>
      <c r="DY177" s="128">
        <f t="shared" si="455"/>
        <v>0</v>
      </c>
      <c r="DZ177" s="130">
        <f t="shared" si="512"/>
        <v>4.2500000000000003E-2</v>
      </c>
      <c r="EA177" s="128">
        <f t="shared" si="513"/>
        <v>0</v>
      </c>
      <c r="EB177" s="128">
        <f t="shared" si="514"/>
        <v>161540.29298499867</v>
      </c>
    </row>
    <row r="178" spans="1:132">
      <c r="A178" s="224"/>
      <c r="B178" s="188">
        <f t="shared" si="515"/>
        <v>134</v>
      </c>
      <c r="C178" s="128">
        <f t="shared" si="516"/>
        <v>153343.15303708633</v>
      </c>
      <c r="D178" s="128">
        <f t="shared" si="517"/>
        <v>150985.38862453695</v>
      </c>
      <c r="E178" s="128">
        <f t="shared" si="518"/>
        <v>150925.69265631423</v>
      </c>
      <c r="F178" s="128">
        <f t="shared" si="519"/>
        <v>147122.9811489284</v>
      </c>
      <c r="G178" s="128">
        <f t="shared" si="520"/>
        <v>153761.41987223778</v>
      </c>
      <c r="H178" s="128">
        <f t="shared" si="521"/>
        <v>153322.85973377331</v>
      </c>
      <c r="I178" s="128">
        <f t="shared" si="522"/>
        <v>161540.29298499867</v>
      </c>
      <c r="J178" s="128">
        <f t="shared" si="523"/>
        <v>146794.30873317187</v>
      </c>
      <c r="K178" s="128">
        <f t="shared" si="524"/>
        <v>136127.62092614136</v>
      </c>
      <c r="M178" s="36"/>
      <c r="N178" s="32">
        <f t="shared" si="525"/>
        <v>134</v>
      </c>
      <c r="O178" s="25">
        <f t="shared" si="526"/>
        <v>0.53343153037086344</v>
      </c>
      <c r="P178" s="25">
        <f t="shared" si="527"/>
        <v>0.50985388624536943</v>
      </c>
      <c r="Q178" s="25">
        <f t="shared" si="528"/>
        <v>0.50925692656314236</v>
      </c>
      <c r="R178" s="25">
        <f t="shared" si="457"/>
        <v>0.47122981148928411</v>
      </c>
      <c r="S178" s="25">
        <f t="shared" si="458"/>
        <v>0.5376141987223777</v>
      </c>
      <c r="T178" s="25">
        <f t="shared" si="459"/>
        <v>0.53322859733773309</v>
      </c>
      <c r="U178" s="25">
        <f t="shared" si="460"/>
        <v>0.61540292984998679</v>
      </c>
      <c r="V178" s="25">
        <f t="shared" si="461"/>
        <v>0.46794308733171874</v>
      </c>
      <c r="W178" s="25">
        <f t="shared" si="462"/>
        <v>0.36127620926141368</v>
      </c>
      <c r="X178" s="36"/>
      <c r="Y178" s="36"/>
      <c r="AA178" s="124">
        <f t="shared" si="529"/>
        <v>135</v>
      </c>
      <c r="AB178" s="128">
        <f t="shared" si="463"/>
        <v>136443.77664826578</v>
      </c>
      <c r="AC178" s="124">
        <f t="shared" si="530"/>
        <v>135</v>
      </c>
      <c r="AD178" s="130">
        <f t="shared" si="531"/>
        <v>4.2500000000000003E-2</v>
      </c>
      <c r="AE178" s="127">
        <f t="shared" si="532"/>
        <v>1530</v>
      </c>
      <c r="AF178" s="128">
        <f t="shared" si="533"/>
        <v>152852.30000000002</v>
      </c>
      <c r="AG178" s="128">
        <f t="shared" si="552"/>
        <v>153000</v>
      </c>
      <c r="AH178" s="128">
        <f t="shared" si="357"/>
        <v>153000</v>
      </c>
      <c r="AI178" s="130">
        <f t="shared" si="464"/>
        <v>4.2500000000000003E-2</v>
      </c>
      <c r="AJ178" s="128">
        <f t="shared" si="465"/>
        <v>153541.87500000003</v>
      </c>
      <c r="AK178" s="128" t="str">
        <f t="shared" si="466"/>
        <v>nie</v>
      </c>
      <c r="AL178" s="128">
        <f t="shared" si="467"/>
        <v>765</v>
      </c>
      <c r="AM178" s="128">
        <f t="shared" si="361"/>
        <v>152819.26875000002</v>
      </c>
      <c r="AN178" s="128">
        <f t="shared" si="468"/>
        <v>438.91875000002358</v>
      </c>
      <c r="AO178" s="130">
        <f t="shared" si="469"/>
        <v>4.2500000000000003E-2</v>
      </c>
      <c r="AP178" s="128">
        <f t="shared" si="470"/>
        <v>1404.4838282989995</v>
      </c>
      <c r="AQ178" s="128">
        <f t="shared" si="362"/>
        <v>153784.83382829899</v>
      </c>
      <c r="AS178" s="124">
        <f t="shared" si="534"/>
        <v>135</v>
      </c>
      <c r="AT178" s="130">
        <f t="shared" si="535"/>
        <v>4.2500000000000003E-2</v>
      </c>
      <c r="AU178" s="127">
        <f t="shared" si="536"/>
        <v>1456</v>
      </c>
      <c r="AV178" s="128">
        <f t="shared" si="537"/>
        <v>145464.5</v>
      </c>
      <c r="AW178" s="128">
        <f t="shared" si="363"/>
        <v>145600</v>
      </c>
      <c r="AX178" s="128">
        <f t="shared" si="358"/>
        <v>145600</v>
      </c>
      <c r="AY178" s="130">
        <f t="shared" si="471"/>
        <v>4.4000000000000004E-2</v>
      </c>
      <c r="AZ178" s="128">
        <f t="shared" si="472"/>
        <v>146133.86666666667</v>
      </c>
      <c r="BA178" s="128" t="str">
        <f t="shared" si="473"/>
        <v>nie</v>
      </c>
      <c r="BB178" s="128">
        <f t="shared" si="474"/>
        <v>1019.1999999999999</v>
      </c>
      <c r="BC178" s="128">
        <f t="shared" si="367"/>
        <v>145206.87999999998</v>
      </c>
      <c r="BD178" s="128">
        <f t="shared" si="475"/>
        <v>432.43200000000161</v>
      </c>
      <c r="BE178" s="130">
        <f t="shared" si="476"/>
        <v>4.2500000000000003E-2</v>
      </c>
      <c r="BF178" s="128">
        <f t="shared" si="477"/>
        <v>6661.1902604536199</v>
      </c>
      <c r="BG178" s="128">
        <f t="shared" si="368"/>
        <v>151435.63826045359</v>
      </c>
      <c r="BI178" s="124">
        <f t="shared" si="538"/>
        <v>135</v>
      </c>
      <c r="BJ178" s="130">
        <f t="shared" ref="BJ178:BJ187" si="558">MAX(INDEX(scenariusz_I_WIBOR6M,MATCH(ROUNDUP(BI178/12,0),scenariusz_I_rok,0)),0)</f>
        <v>4.1300000000000003E-2</v>
      </c>
      <c r="BK178" s="127">
        <f t="shared" si="539"/>
        <v>1401</v>
      </c>
      <c r="BL178" s="128">
        <f t="shared" si="540"/>
        <v>139959.9</v>
      </c>
      <c r="BM178" s="128">
        <f t="shared" si="553"/>
        <v>140100</v>
      </c>
      <c r="BN178" s="128">
        <f t="shared" si="541"/>
        <v>153432.231225</v>
      </c>
      <c r="BO178" s="130">
        <f t="shared" si="478"/>
        <v>4.65E-2</v>
      </c>
      <c r="BP178" s="128">
        <f t="shared" si="479"/>
        <v>155215.88091299063</v>
      </c>
      <c r="BQ178" s="128" t="str">
        <f t="shared" si="480"/>
        <v>nie</v>
      </c>
      <c r="BR178" s="128">
        <f t="shared" si="481"/>
        <v>1401</v>
      </c>
      <c r="BS178" s="128">
        <f t="shared" si="364"/>
        <v>151209.0535395224</v>
      </c>
      <c r="BT178" s="128">
        <f t="shared" si="456"/>
        <v>0</v>
      </c>
      <c r="BU178" s="130">
        <f t="shared" si="482"/>
        <v>4.2500000000000003E-2</v>
      </c>
      <c r="BV178" s="128">
        <f t="shared" si="483"/>
        <v>198.79318917705703</v>
      </c>
      <c r="BW178" s="128">
        <f t="shared" si="365"/>
        <v>151407.84672869946</v>
      </c>
      <c r="BY178" s="130">
        <f t="shared" si="452"/>
        <v>2.8000000000000001E-2</v>
      </c>
      <c r="BZ178" s="127">
        <f t="shared" si="542"/>
        <v>1331</v>
      </c>
      <c r="CA178" s="128">
        <f t="shared" si="543"/>
        <v>132980.5</v>
      </c>
      <c r="CB178" s="128">
        <f t="shared" si="366"/>
        <v>133100</v>
      </c>
      <c r="CC178" s="128">
        <f t="shared" si="359"/>
        <v>133100</v>
      </c>
      <c r="CD178" s="130">
        <f t="shared" si="484"/>
        <v>4.2999999999999997E-2</v>
      </c>
      <c r="CE178" s="128">
        <f t="shared" si="485"/>
        <v>134530.82500000001</v>
      </c>
      <c r="CF178" s="128" t="str">
        <f t="shared" si="486"/>
        <v>nie</v>
      </c>
      <c r="CG178" s="128">
        <f t="shared" si="487"/>
        <v>2662</v>
      </c>
      <c r="CH178" s="128">
        <f t="shared" si="369"/>
        <v>132102.74825</v>
      </c>
      <c r="CI178" s="128">
        <f t="shared" si="488"/>
        <v>0</v>
      </c>
      <c r="CJ178" s="130">
        <f t="shared" si="489"/>
        <v>4.2500000000000003E-2</v>
      </c>
      <c r="CK178" s="128">
        <f t="shared" si="490"/>
        <v>15450.753205446257</v>
      </c>
      <c r="CL178" s="128">
        <f t="shared" si="491"/>
        <v>147553.50145544627</v>
      </c>
      <c r="CN178" s="127">
        <f t="shared" si="544"/>
        <v>1495</v>
      </c>
      <c r="CO178" s="128">
        <f t="shared" si="545"/>
        <v>149350.5</v>
      </c>
      <c r="CP178" s="128">
        <f t="shared" si="546"/>
        <v>149500</v>
      </c>
      <c r="CQ178" s="128">
        <f t="shared" si="547"/>
        <v>157872</v>
      </c>
      <c r="CR178" s="130">
        <f t="shared" si="492"/>
        <v>4.8000000000000001E-2</v>
      </c>
      <c r="CS178" s="128">
        <f t="shared" si="493"/>
        <v>159766.46400000001</v>
      </c>
      <c r="CT178" s="128" t="str">
        <f t="shared" si="494"/>
        <v>nie</v>
      </c>
      <c r="CU178" s="128">
        <f t="shared" si="495"/>
        <v>4485</v>
      </c>
      <c r="CV178" s="128">
        <f t="shared" si="496"/>
        <v>154182.98584000001</v>
      </c>
      <c r="CW178" s="128">
        <f t="shared" si="453"/>
        <v>0</v>
      </c>
      <c r="CX178" s="130">
        <f t="shared" si="497"/>
        <v>4.2500000000000003E-2</v>
      </c>
      <c r="CY178" s="128">
        <f t="shared" si="498"/>
        <v>90.19732563974874</v>
      </c>
      <c r="CZ178" s="128">
        <f t="shared" si="499"/>
        <v>154273.18316563976</v>
      </c>
      <c r="DA178" s="20"/>
      <c r="DB178" s="127">
        <f t="shared" si="554"/>
        <v>1267</v>
      </c>
      <c r="DC178" s="128">
        <f t="shared" si="555"/>
        <v>126700</v>
      </c>
      <c r="DD178" s="128">
        <f t="shared" si="548"/>
        <v>126700</v>
      </c>
      <c r="DE178" s="128">
        <f t="shared" si="549"/>
        <v>160782.02171480641</v>
      </c>
      <c r="DF178" s="130">
        <f t="shared" si="500"/>
        <v>4.8000000000000001E-2</v>
      </c>
      <c r="DG178" s="128">
        <f t="shared" si="501"/>
        <v>162711.40597538408</v>
      </c>
      <c r="DH178" s="128" t="str">
        <f t="shared" si="502"/>
        <v>nie</v>
      </c>
      <c r="DI178" s="128">
        <f t="shared" si="503"/>
        <v>2534</v>
      </c>
      <c r="DJ178" s="128">
        <f t="shared" si="355"/>
        <v>153816.69884006112</v>
      </c>
      <c r="DK178" s="128">
        <f t="shared" si="454"/>
        <v>0</v>
      </c>
      <c r="DL178" s="130">
        <f t="shared" si="504"/>
        <v>4.2500000000000003E-2</v>
      </c>
      <c r="DM178" s="128">
        <f t="shared" si="505"/>
        <v>27.172371828331435</v>
      </c>
      <c r="DN178" s="128">
        <f t="shared" si="506"/>
        <v>153843.87121188943</v>
      </c>
      <c r="DP178" s="127">
        <f t="shared" si="556"/>
        <v>1000</v>
      </c>
      <c r="DQ178" s="128">
        <f t="shared" si="557"/>
        <v>100000</v>
      </c>
      <c r="DR178" s="128">
        <f t="shared" si="550"/>
        <v>100000</v>
      </c>
      <c r="DS178" s="128">
        <f t="shared" si="551"/>
        <v>177408.56139287978</v>
      </c>
      <c r="DT178" s="130">
        <f t="shared" si="507"/>
        <v>5.3000000000000005E-2</v>
      </c>
      <c r="DU178" s="128">
        <f t="shared" si="508"/>
        <v>179759.22483133545</v>
      </c>
      <c r="DV178" s="128" t="str">
        <f t="shared" si="509"/>
        <v>nie</v>
      </c>
      <c r="DW178" s="128">
        <f t="shared" si="510"/>
        <v>3000</v>
      </c>
      <c r="DX178" s="128">
        <f t="shared" si="511"/>
        <v>162174.97211338172</v>
      </c>
      <c r="DY178" s="128">
        <f t="shared" si="455"/>
        <v>0</v>
      </c>
      <c r="DZ178" s="130">
        <f t="shared" si="512"/>
        <v>4.2500000000000003E-2</v>
      </c>
      <c r="EA178" s="128">
        <f t="shared" si="513"/>
        <v>0</v>
      </c>
      <c r="EB178" s="128">
        <f t="shared" si="514"/>
        <v>162174.97211338172</v>
      </c>
    </row>
    <row r="179" spans="1:132">
      <c r="A179" s="224"/>
      <c r="B179" s="188">
        <f t="shared" si="515"/>
        <v>135</v>
      </c>
      <c r="C179" s="128">
        <f t="shared" si="516"/>
        <v>153784.83382829899</v>
      </c>
      <c r="D179" s="128">
        <f t="shared" si="517"/>
        <v>151435.63826045359</v>
      </c>
      <c r="E179" s="128">
        <f t="shared" si="518"/>
        <v>151407.84672869946</v>
      </c>
      <c r="F179" s="128">
        <f t="shared" si="519"/>
        <v>147553.50145544627</v>
      </c>
      <c r="G179" s="128">
        <f t="shared" si="520"/>
        <v>154273.18316563976</v>
      </c>
      <c r="H179" s="128">
        <f t="shared" si="521"/>
        <v>153843.87121188943</v>
      </c>
      <c r="I179" s="128">
        <f t="shared" si="522"/>
        <v>162174.97211338172</v>
      </c>
      <c r="J179" s="128">
        <f t="shared" si="523"/>
        <v>147215.42490635015</v>
      </c>
      <c r="K179" s="128">
        <f t="shared" si="524"/>
        <v>136443.77664826578</v>
      </c>
      <c r="M179" s="36"/>
      <c r="N179" s="32">
        <f t="shared" si="525"/>
        <v>135</v>
      </c>
      <c r="O179" s="25">
        <f t="shared" si="526"/>
        <v>0.53784833828298995</v>
      </c>
      <c r="P179" s="25">
        <f t="shared" si="527"/>
        <v>0.51435638260453587</v>
      </c>
      <c r="Q179" s="25">
        <f t="shared" si="528"/>
        <v>0.51407846728699447</v>
      </c>
      <c r="R179" s="25">
        <f t="shared" si="457"/>
        <v>0.47553501455446279</v>
      </c>
      <c r="S179" s="25">
        <f t="shared" si="458"/>
        <v>0.5427318316563976</v>
      </c>
      <c r="T179" s="25">
        <f t="shared" si="459"/>
        <v>0.53843871211889427</v>
      </c>
      <c r="U179" s="25">
        <f t="shared" si="460"/>
        <v>0.62174972113381721</v>
      </c>
      <c r="V179" s="25">
        <f t="shared" si="461"/>
        <v>0.47215424906350156</v>
      </c>
      <c r="W179" s="25">
        <f t="shared" si="462"/>
        <v>0.36443776648265769</v>
      </c>
      <c r="X179" s="36"/>
      <c r="Y179" s="36"/>
      <c r="AA179" s="124">
        <f t="shared" si="529"/>
        <v>136</v>
      </c>
      <c r="AB179" s="128">
        <f t="shared" si="463"/>
        <v>136759.93237039022</v>
      </c>
      <c r="AC179" s="124">
        <f t="shared" si="530"/>
        <v>136</v>
      </c>
      <c r="AD179" s="130">
        <f t="shared" si="531"/>
        <v>4.2500000000000003E-2</v>
      </c>
      <c r="AE179" s="127">
        <f t="shared" si="532"/>
        <v>1530</v>
      </c>
      <c r="AF179" s="128">
        <f t="shared" si="533"/>
        <v>152852.30000000002</v>
      </c>
      <c r="AG179" s="128">
        <f t="shared" si="552"/>
        <v>153000</v>
      </c>
      <c r="AH179" s="128">
        <f t="shared" si="357"/>
        <v>153000</v>
      </c>
      <c r="AI179" s="130">
        <f t="shared" si="464"/>
        <v>4.2500000000000003E-2</v>
      </c>
      <c r="AJ179" s="128">
        <f t="shared" si="465"/>
        <v>153541.87500000003</v>
      </c>
      <c r="AK179" s="128" t="str">
        <f t="shared" si="466"/>
        <v>nie</v>
      </c>
      <c r="AL179" s="128">
        <f t="shared" si="467"/>
        <v>765</v>
      </c>
      <c r="AM179" s="128">
        <f t="shared" si="361"/>
        <v>152819.26875000002</v>
      </c>
      <c r="AN179" s="128">
        <f t="shared" si="468"/>
        <v>438.91875000002358</v>
      </c>
      <c r="AO179" s="130">
        <f t="shared" si="469"/>
        <v>4.2500000000000003E-2</v>
      </c>
      <c r="AP179" s="128">
        <f t="shared" si="470"/>
        <v>1847.4316912814556</v>
      </c>
      <c r="AQ179" s="128">
        <f t="shared" si="362"/>
        <v>154227.78169128145</v>
      </c>
      <c r="AS179" s="124">
        <f t="shared" si="534"/>
        <v>136</v>
      </c>
      <c r="AT179" s="130">
        <f t="shared" si="535"/>
        <v>4.2500000000000003E-2</v>
      </c>
      <c r="AU179" s="127">
        <f t="shared" si="536"/>
        <v>1456</v>
      </c>
      <c r="AV179" s="128">
        <f t="shared" si="537"/>
        <v>145464.5</v>
      </c>
      <c r="AW179" s="128">
        <f t="shared" si="363"/>
        <v>145600</v>
      </c>
      <c r="AX179" s="128">
        <f t="shared" si="358"/>
        <v>145600</v>
      </c>
      <c r="AY179" s="130">
        <f t="shared" si="471"/>
        <v>4.4000000000000004E-2</v>
      </c>
      <c r="AZ179" s="128">
        <f t="shared" si="472"/>
        <v>146133.86666666667</v>
      </c>
      <c r="BA179" s="128" t="str">
        <f t="shared" si="473"/>
        <v>nie</v>
      </c>
      <c r="BB179" s="128">
        <f t="shared" si="474"/>
        <v>1019.1999999999999</v>
      </c>
      <c r="BC179" s="128">
        <f t="shared" si="367"/>
        <v>145206.87999999998</v>
      </c>
      <c r="BD179" s="128">
        <f t="shared" si="475"/>
        <v>432.43200000000161</v>
      </c>
      <c r="BE179" s="130">
        <f t="shared" si="476"/>
        <v>4.2500000000000003E-2</v>
      </c>
      <c r="BF179" s="128">
        <f t="shared" si="477"/>
        <v>7112.7315500132972</v>
      </c>
      <c r="BG179" s="128">
        <f t="shared" si="368"/>
        <v>151887.17955001327</v>
      </c>
      <c r="BI179" s="124">
        <f t="shared" si="538"/>
        <v>136</v>
      </c>
      <c r="BJ179" s="130">
        <f t="shared" si="558"/>
        <v>4.1300000000000003E-2</v>
      </c>
      <c r="BK179" s="127">
        <f t="shared" si="539"/>
        <v>1401</v>
      </c>
      <c r="BL179" s="128">
        <f t="shared" si="540"/>
        <v>139959.9</v>
      </c>
      <c r="BM179" s="128">
        <f t="shared" si="553"/>
        <v>140100</v>
      </c>
      <c r="BN179" s="128">
        <f t="shared" si="541"/>
        <v>153432.231225</v>
      </c>
      <c r="BO179" s="130">
        <f t="shared" si="478"/>
        <v>4.65E-2</v>
      </c>
      <c r="BP179" s="128">
        <f t="shared" si="479"/>
        <v>155810.4308089875</v>
      </c>
      <c r="BQ179" s="128" t="str">
        <f t="shared" si="480"/>
        <v>nie</v>
      </c>
      <c r="BR179" s="128">
        <f t="shared" si="481"/>
        <v>1401</v>
      </c>
      <c r="BS179" s="128">
        <f t="shared" si="364"/>
        <v>151690.63895527986</v>
      </c>
      <c r="BT179" s="128">
        <f t="shared" si="456"/>
        <v>0</v>
      </c>
      <c r="BU179" s="130">
        <f t="shared" si="482"/>
        <v>4.2500000000000003E-2</v>
      </c>
      <c r="BV179" s="128">
        <f t="shared" si="483"/>
        <v>199.3634771385087</v>
      </c>
      <c r="BW179" s="128">
        <f t="shared" si="365"/>
        <v>151890.00243241838</v>
      </c>
      <c r="BY179" s="130">
        <f t="shared" si="452"/>
        <v>2.8000000000000001E-2</v>
      </c>
      <c r="BZ179" s="127">
        <f t="shared" si="542"/>
        <v>1331</v>
      </c>
      <c r="CA179" s="128">
        <f t="shared" si="543"/>
        <v>132980.5</v>
      </c>
      <c r="CB179" s="128">
        <f t="shared" si="366"/>
        <v>133100</v>
      </c>
      <c r="CC179" s="128">
        <f t="shared" si="359"/>
        <v>133100</v>
      </c>
      <c r="CD179" s="130">
        <f t="shared" si="484"/>
        <v>4.2999999999999997E-2</v>
      </c>
      <c r="CE179" s="128">
        <f t="shared" si="485"/>
        <v>135007.76666666666</v>
      </c>
      <c r="CF179" s="128" t="str">
        <f t="shared" si="486"/>
        <v>nie</v>
      </c>
      <c r="CG179" s="128">
        <f t="shared" si="487"/>
        <v>2662</v>
      </c>
      <c r="CH179" s="128">
        <f t="shared" si="369"/>
        <v>132489.071</v>
      </c>
      <c r="CI179" s="128">
        <f t="shared" si="488"/>
        <v>0</v>
      </c>
      <c r="CJ179" s="130">
        <f t="shared" si="489"/>
        <v>4.2500000000000003E-2</v>
      </c>
      <c r="CK179" s="128">
        <f t="shared" si="490"/>
        <v>15495.077553704381</v>
      </c>
      <c r="CL179" s="128">
        <f t="shared" si="491"/>
        <v>147984.14855370438</v>
      </c>
      <c r="CN179" s="127">
        <f t="shared" si="544"/>
        <v>1495</v>
      </c>
      <c r="CO179" s="128">
        <f t="shared" si="545"/>
        <v>149350.5</v>
      </c>
      <c r="CP179" s="128">
        <f t="shared" si="546"/>
        <v>149500</v>
      </c>
      <c r="CQ179" s="128">
        <f t="shared" si="547"/>
        <v>157872</v>
      </c>
      <c r="CR179" s="130">
        <f t="shared" si="492"/>
        <v>4.8000000000000001E-2</v>
      </c>
      <c r="CS179" s="128">
        <f t="shared" si="493"/>
        <v>160397.95199999999</v>
      </c>
      <c r="CT179" s="128" t="str">
        <f t="shared" si="494"/>
        <v>nie</v>
      </c>
      <c r="CU179" s="128">
        <f t="shared" si="495"/>
        <v>4485</v>
      </c>
      <c r="CV179" s="128">
        <f t="shared" si="496"/>
        <v>154694.49111999999</v>
      </c>
      <c r="CW179" s="128">
        <f t="shared" si="453"/>
        <v>0</v>
      </c>
      <c r="CX179" s="130">
        <f t="shared" si="497"/>
        <v>4.2500000000000003E-2</v>
      </c>
      <c r="CY179" s="128">
        <f t="shared" si="498"/>
        <v>90.456079217677768</v>
      </c>
      <c r="CZ179" s="128">
        <f t="shared" si="499"/>
        <v>154784.94719921765</v>
      </c>
      <c r="DA179" s="20"/>
      <c r="DB179" s="127">
        <f t="shared" si="554"/>
        <v>1267</v>
      </c>
      <c r="DC179" s="128">
        <f t="shared" si="555"/>
        <v>126700</v>
      </c>
      <c r="DD179" s="128">
        <f t="shared" si="548"/>
        <v>126700</v>
      </c>
      <c r="DE179" s="128">
        <f t="shared" si="549"/>
        <v>160782.02171480641</v>
      </c>
      <c r="DF179" s="130">
        <f t="shared" si="500"/>
        <v>4.8000000000000001E-2</v>
      </c>
      <c r="DG179" s="128">
        <f t="shared" si="501"/>
        <v>163354.53406224333</v>
      </c>
      <c r="DH179" s="128" t="str">
        <f t="shared" si="502"/>
        <v>nie</v>
      </c>
      <c r="DI179" s="128">
        <f t="shared" si="503"/>
        <v>2534</v>
      </c>
      <c r="DJ179" s="128">
        <f t="shared" si="355"/>
        <v>154337.63259041711</v>
      </c>
      <c r="DK179" s="128">
        <f t="shared" si="454"/>
        <v>0</v>
      </c>
      <c r="DL179" s="130">
        <f t="shared" si="504"/>
        <v>4.2500000000000003E-2</v>
      </c>
      <c r="DM179" s="128">
        <f t="shared" si="505"/>
        <v>27.25032257001396</v>
      </c>
      <c r="DN179" s="128">
        <f t="shared" si="506"/>
        <v>154364.88291298712</v>
      </c>
      <c r="DP179" s="127">
        <f t="shared" si="556"/>
        <v>1000</v>
      </c>
      <c r="DQ179" s="128">
        <f t="shared" si="557"/>
        <v>100000</v>
      </c>
      <c r="DR179" s="128">
        <f t="shared" si="550"/>
        <v>100000</v>
      </c>
      <c r="DS179" s="128">
        <f t="shared" si="551"/>
        <v>177408.56139287978</v>
      </c>
      <c r="DT179" s="130">
        <f t="shared" si="507"/>
        <v>5.3000000000000005E-2</v>
      </c>
      <c r="DU179" s="128">
        <f t="shared" si="508"/>
        <v>180542.77931082068</v>
      </c>
      <c r="DV179" s="128" t="str">
        <f t="shared" si="509"/>
        <v>nie</v>
      </c>
      <c r="DW179" s="128">
        <f t="shared" si="510"/>
        <v>3000</v>
      </c>
      <c r="DX179" s="128">
        <f t="shared" si="511"/>
        <v>162809.65124176475</v>
      </c>
      <c r="DY179" s="128">
        <f t="shared" si="455"/>
        <v>0</v>
      </c>
      <c r="DZ179" s="130">
        <f t="shared" si="512"/>
        <v>4.2500000000000003E-2</v>
      </c>
      <c r="EA179" s="128">
        <f t="shared" si="513"/>
        <v>0</v>
      </c>
      <c r="EB179" s="128">
        <f t="shared" si="514"/>
        <v>162809.65124176475</v>
      </c>
    </row>
    <row r="180" spans="1:132">
      <c r="A180" s="224"/>
      <c r="B180" s="188">
        <f t="shared" si="515"/>
        <v>136</v>
      </c>
      <c r="C180" s="128">
        <f t="shared" si="516"/>
        <v>154227.78169128145</v>
      </c>
      <c r="D180" s="128">
        <f t="shared" si="517"/>
        <v>151887.17955001327</v>
      </c>
      <c r="E180" s="128">
        <f t="shared" si="518"/>
        <v>151890.00243241838</v>
      </c>
      <c r="F180" s="128">
        <f t="shared" si="519"/>
        <v>147984.14855370438</v>
      </c>
      <c r="G180" s="128">
        <f t="shared" si="520"/>
        <v>154784.94719921765</v>
      </c>
      <c r="H180" s="128">
        <f t="shared" si="521"/>
        <v>154364.88291298712</v>
      </c>
      <c r="I180" s="128">
        <f t="shared" si="522"/>
        <v>162809.65124176475</v>
      </c>
      <c r="J180" s="128">
        <f t="shared" si="523"/>
        <v>147637.74915655024</v>
      </c>
      <c r="K180" s="128">
        <f t="shared" si="524"/>
        <v>136759.93237039022</v>
      </c>
      <c r="M180" s="36"/>
      <c r="N180" s="32">
        <f t="shared" si="525"/>
        <v>136</v>
      </c>
      <c r="O180" s="25">
        <f t="shared" si="526"/>
        <v>0.5422778169128144</v>
      </c>
      <c r="P180" s="25">
        <f t="shared" si="527"/>
        <v>0.51887179550013274</v>
      </c>
      <c r="Q180" s="25">
        <f t="shared" si="528"/>
        <v>0.5189000243241837</v>
      </c>
      <c r="R180" s="25">
        <f t="shared" si="457"/>
        <v>0.47984148553704387</v>
      </c>
      <c r="S180" s="25">
        <f t="shared" si="458"/>
        <v>0.54784947199217648</v>
      </c>
      <c r="T180" s="25">
        <f t="shared" si="459"/>
        <v>0.54364882912987111</v>
      </c>
      <c r="U180" s="25">
        <f t="shared" si="460"/>
        <v>0.62809651241764741</v>
      </c>
      <c r="V180" s="25">
        <f t="shared" si="461"/>
        <v>0.47637749156550235</v>
      </c>
      <c r="W180" s="25">
        <f t="shared" si="462"/>
        <v>0.36759932370390214</v>
      </c>
      <c r="X180" s="36"/>
      <c r="Y180" s="36"/>
      <c r="AA180" s="124">
        <f t="shared" si="529"/>
        <v>137</v>
      </c>
      <c r="AB180" s="128">
        <f t="shared" si="463"/>
        <v>137076.0880925146</v>
      </c>
      <c r="AC180" s="124">
        <f t="shared" si="530"/>
        <v>137</v>
      </c>
      <c r="AD180" s="130">
        <f t="shared" si="531"/>
        <v>4.2500000000000003E-2</v>
      </c>
      <c r="AE180" s="127">
        <f t="shared" si="532"/>
        <v>1530</v>
      </c>
      <c r="AF180" s="128">
        <f t="shared" si="533"/>
        <v>152852.30000000002</v>
      </c>
      <c r="AG180" s="128">
        <f t="shared" si="552"/>
        <v>153000</v>
      </c>
      <c r="AH180" s="128">
        <f t="shared" si="357"/>
        <v>153000</v>
      </c>
      <c r="AI180" s="130">
        <f t="shared" si="464"/>
        <v>4.2500000000000003E-2</v>
      </c>
      <c r="AJ180" s="128">
        <f t="shared" si="465"/>
        <v>153541.87500000003</v>
      </c>
      <c r="AK180" s="128" t="str">
        <f t="shared" si="466"/>
        <v>nie</v>
      </c>
      <c r="AL180" s="128">
        <f t="shared" si="467"/>
        <v>765</v>
      </c>
      <c r="AM180" s="128">
        <f t="shared" si="361"/>
        <v>152819.26875000002</v>
      </c>
      <c r="AN180" s="128">
        <f t="shared" si="468"/>
        <v>438.91875000002358</v>
      </c>
      <c r="AO180" s="130">
        <f t="shared" si="469"/>
        <v>4.2500000000000003E-2</v>
      </c>
      <c r="AP180" s="128">
        <f t="shared" si="470"/>
        <v>2291.650260945843</v>
      </c>
      <c r="AQ180" s="128">
        <f t="shared" si="362"/>
        <v>154672.00026094585</v>
      </c>
      <c r="AS180" s="124">
        <f t="shared" si="534"/>
        <v>137</v>
      </c>
      <c r="AT180" s="130">
        <f t="shared" si="535"/>
        <v>4.2500000000000003E-2</v>
      </c>
      <c r="AU180" s="127">
        <f t="shared" si="536"/>
        <v>1456</v>
      </c>
      <c r="AV180" s="128">
        <f t="shared" si="537"/>
        <v>145464.5</v>
      </c>
      <c r="AW180" s="128">
        <f t="shared" si="363"/>
        <v>145600</v>
      </c>
      <c r="AX180" s="128">
        <f t="shared" si="358"/>
        <v>145600</v>
      </c>
      <c r="AY180" s="130">
        <f t="shared" si="471"/>
        <v>4.4000000000000004E-2</v>
      </c>
      <c r="AZ180" s="128">
        <f t="shared" si="472"/>
        <v>146133.86666666667</v>
      </c>
      <c r="BA180" s="128" t="str">
        <f t="shared" si="473"/>
        <v>nie</v>
      </c>
      <c r="BB180" s="128">
        <f t="shared" si="474"/>
        <v>1019.1999999999999</v>
      </c>
      <c r="BC180" s="128">
        <f t="shared" si="367"/>
        <v>145206.87999999998</v>
      </c>
      <c r="BD180" s="128">
        <f t="shared" si="475"/>
        <v>432.43200000000161</v>
      </c>
      <c r="BE180" s="130">
        <f t="shared" si="476"/>
        <v>4.2500000000000003E-2</v>
      </c>
      <c r="BF180" s="128">
        <f t="shared" si="477"/>
        <v>7565.5681986473992</v>
      </c>
      <c r="BG180" s="128">
        <f t="shared" si="368"/>
        <v>152340.01619864738</v>
      </c>
      <c r="BI180" s="124">
        <f t="shared" si="538"/>
        <v>137</v>
      </c>
      <c r="BJ180" s="130">
        <f t="shared" si="558"/>
        <v>4.1300000000000003E-2</v>
      </c>
      <c r="BK180" s="127">
        <f t="shared" si="539"/>
        <v>1401</v>
      </c>
      <c r="BL180" s="128">
        <f t="shared" si="540"/>
        <v>139959.9</v>
      </c>
      <c r="BM180" s="128">
        <f t="shared" si="553"/>
        <v>140100</v>
      </c>
      <c r="BN180" s="128">
        <f t="shared" si="541"/>
        <v>153432.231225</v>
      </c>
      <c r="BO180" s="130">
        <f t="shared" si="478"/>
        <v>4.65E-2</v>
      </c>
      <c r="BP180" s="128">
        <f t="shared" si="479"/>
        <v>156404.98070498437</v>
      </c>
      <c r="BQ180" s="128" t="str">
        <f t="shared" si="480"/>
        <v>nie</v>
      </c>
      <c r="BR180" s="128">
        <f t="shared" si="481"/>
        <v>1401</v>
      </c>
      <c r="BS180" s="128">
        <f t="shared" si="364"/>
        <v>152172.22437103733</v>
      </c>
      <c r="BT180" s="128">
        <f t="shared" si="456"/>
        <v>0</v>
      </c>
      <c r="BU180" s="130">
        <f t="shared" si="482"/>
        <v>4.2500000000000003E-2</v>
      </c>
      <c r="BV180" s="128">
        <f t="shared" si="483"/>
        <v>199.9354011135498</v>
      </c>
      <c r="BW180" s="128">
        <f t="shared" si="365"/>
        <v>152372.15977215089</v>
      </c>
      <c r="BY180" s="130">
        <f t="shared" si="452"/>
        <v>2.8000000000000001E-2</v>
      </c>
      <c r="BZ180" s="127">
        <f t="shared" si="542"/>
        <v>1331</v>
      </c>
      <c r="CA180" s="128">
        <f t="shared" si="543"/>
        <v>132980.5</v>
      </c>
      <c r="CB180" s="128">
        <f t="shared" si="366"/>
        <v>133100</v>
      </c>
      <c r="CC180" s="128">
        <f t="shared" si="359"/>
        <v>133100</v>
      </c>
      <c r="CD180" s="130">
        <f t="shared" si="484"/>
        <v>4.2999999999999997E-2</v>
      </c>
      <c r="CE180" s="128">
        <f t="shared" si="485"/>
        <v>135484.70833333331</v>
      </c>
      <c r="CF180" s="128" t="str">
        <f t="shared" si="486"/>
        <v>nie</v>
      </c>
      <c r="CG180" s="128">
        <f t="shared" si="487"/>
        <v>2662</v>
      </c>
      <c r="CH180" s="128">
        <f t="shared" si="369"/>
        <v>132875.39374999999</v>
      </c>
      <c r="CI180" s="128">
        <f t="shared" si="488"/>
        <v>0</v>
      </c>
      <c r="CJ180" s="130">
        <f t="shared" si="489"/>
        <v>4.2500000000000003E-2</v>
      </c>
      <c r="CK180" s="128">
        <f t="shared" si="490"/>
        <v>15539.52905743657</v>
      </c>
      <c r="CL180" s="128">
        <f t="shared" si="491"/>
        <v>148414.92280743655</v>
      </c>
      <c r="CN180" s="127">
        <f t="shared" si="544"/>
        <v>1495</v>
      </c>
      <c r="CO180" s="128">
        <f t="shared" si="545"/>
        <v>149350.5</v>
      </c>
      <c r="CP180" s="128">
        <f t="shared" si="546"/>
        <v>149500</v>
      </c>
      <c r="CQ180" s="128">
        <f t="shared" si="547"/>
        <v>157872</v>
      </c>
      <c r="CR180" s="130">
        <f t="shared" si="492"/>
        <v>4.8000000000000001E-2</v>
      </c>
      <c r="CS180" s="128">
        <f t="shared" si="493"/>
        <v>161029.44</v>
      </c>
      <c r="CT180" s="128" t="str">
        <f t="shared" si="494"/>
        <v>nie</v>
      </c>
      <c r="CU180" s="128">
        <f t="shared" si="495"/>
        <v>4485</v>
      </c>
      <c r="CV180" s="128">
        <f t="shared" si="496"/>
        <v>155205.9964</v>
      </c>
      <c r="CW180" s="128">
        <f t="shared" si="453"/>
        <v>0</v>
      </c>
      <c r="CX180" s="130">
        <f t="shared" si="497"/>
        <v>4.2500000000000003E-2</v>
      </c>
      <c r="CY180" s="128">
        <f t="shared" si="498"/>
        <v>90.715575094933484</v>
      </c>
      <c r="CZ180" s="128">
        <f t="shared" si="499"/>
        <v>155296.71197509495</v>
      </c>
      <c r="DA180" s="20"/>
      <c r="DB180" s="127">
        <f t="shared" si="554"/>
        <v>1267</v>
      </c>
      <c r="DC180" s="128">
        <f t="shared" si="555"/>
        <v>126700</v>
      </c>
      <c r="DD180" s="128">
        <f t="shared" si="548"/>
        <v>126700</v>
      </c>
      <c r="DE180" s="128">
        <f t="shared" si="549"/>
        <v>160782.02171480641</v>
      </c>
      <c r="DF180" s="130">
        <f t="shared" si="500"/>
        <v>4.8000000000000001E-2</v>
      </c>
      <c r="DG180" s="128">
        <f t="shared" si="501"/>
        <v>163997.66214910254</v>
      </c>
      <c r="DH180" s="128" t="str">
        <f t="shared" si="502"/>
        <v>nie</v>
      </c>
      <c r="DI180" s="128">
        <f t="shared" si="503"/>
        <v>2534</v>
      </c>
      <c r="DJ180" s="128">
        <f t="shared" ref="DJ180:DJ187" si="559">DG180-DI180
-(DG180-DD180-DI180)*podatek_Belki</f>
        <v>154858.56634077305</v>
      </c>
      <c r="DK180" s="128">
        <f t="shared" si="454"/>
        <v>0</v>
      </c>
      <c r="DL180" s="130">
        <f t="shared" si="504"/>
        <v>4.2500000000000003E-2</v>
      </c>
      <c r="DM180" s="128">
        <f t="shared" si="505"/>
        <v>27.328496932886686</v>
      </c>
      <c r="DN180" s="128">
        <f t="shared" si="506"/>
        <v>154885.89483770594</v>
      </c>
      <c r="DP180" s="127">
        <f t="shared" si="556"/>
        <v>1000</v>
      </c>
      <c r="DQ180" s="128">
        <f t="shared" si="557"/>
        <v>100000</v>
      </c>
      <c r="DR180" s="128">
        <f t="shared" si="550"/>
        <v>100000</v>
      </c>
      <c r="DS180" s="128">
        <f t="shared" si="551"/>
        <v>177408.56139287978</v>
      </c>
      <c r="DT180" s="130">
        <f t="shared" si="507"/>
        <v>5.3000000000000005E-2</v>
      </c>
      <c r="DU180" s="128">
        <f t="shared" si="508"/>
        <v>181326.33379030586</v>
      </c>
      <c r="DV180" s="128" t="str">
        <f t="shared" si="509"/>
        <v>nie</v>
      </c>
      <c r="DW180" s="128">
        <f t="shared" si="510"/>
        <v>3000</v>
      </c>
      <c r="DX180" s="128">
        <f t="shared" si="511"/>
        <v>163444.33037014774</v>
      </c>
      <c r="DY180" s="128">
        <f t="shared" si="455"/>
        <v>0</v>
      </c>
      <c r="DZ180" s="130">
        <f t="shared" si="512"/>
        <v>4.2500000000000003E-2</v>
      </c>
      <c r="EA180" s="128">
        <f t="shared" si="513"/>
        <v>0</v>
      </c>
      <c r="EB180" s="128">
        <f t="shared" si="514"/>
        <v>163444.33037014774</v>
      </c>
    </row>
    <row r="181" spans="1:132">
      <c r="A181" s="224"/>
      <c r="B181" s="188">
        <f t="shared" si="515"/>
        <v>137</v>
      </c>
      <c r="C181" s="128">
        <f t="shared" si="516"/>
        <v>154672.00026094585</v>
      </c>
      <c r="D181" s="128">
        <f t="shared" si="517"/>
        <v>152340.01619864738</v>
      </c>
      <c r="E181" s="128">
        <f t="shared" si="518"/>
        <v>152372.15977215089</v>
      </c>
      <c r="F181" s="128">
        <f t="shared" si="519"/>
        <v>148414.92280743655</v>
      </c>
      <c r="G181" s="128">
        <f t="shared" si="520"/>
        <v>155296.71197509495</v>
      </c>
      <c r="H181" s="128">
        <f t="shared" si="521"/>
        <v>154885.89483770594</v>
      </c>
      <c r="I181" s="128">
        <f t="shared" si="522"/>
        <v>163444.33037014774</v>
      </c>
      <c r="J181" s="128">
        <f t="shared" si="523"/>
        <v>148061.2849494431</v>
      </c>
      <c r="K181" s="128">
        <f t="shared" si="524"/>
        <v>137076.0880925146</v>
      </c>
      <c r="M181" s="36"/>
      <c r="N181" s="32">
        <f t="shared" si="525"/>
        <v>137</v>
      </c>
      <c r="O181" s="25">
        <f t="shared" si="526"/>
        <v>0.54672000260945852</v>
      </c>
      <c r="P181" s="25">
        <f t="shared" si="527"/>
        <v>0.52340016198647388</v>
      </c>
      <c r="Q181" s="25">
        <f t="shared" si="528"/>
        <v>0.52372159772150884</v>
      </c>
      <c r="R181" s="25">
        <f t="shared" si="457"/>
        <v>0.48414922807436556</v>
      </c>
      <c r="S181" s="25">
        <f t="shared" si="458"/>
        <v>0.55296711975094959</v>
      </c>
      <c r="T181" s="25">
        <f t="shared" si="459"/>
        <v>0.5488589483770594</v>
      </c>
      <c r="U181" s="25">
        <f t="shared" si="460"/>
        <v>0.63444330370147739</v>
      </c>
      <c r="V181" s="25">
        <f t="shared" si="461"/>
        <v>0.48061284949443106</v>
      </c>
      <c r="W181" s="25">
        <f t="shared" si="462"/>
        <v>0.37076088092514614</v>
      </c>
      <c r="X181" s="36"/>
      <c r="Y181" s="36"/>
      <c r="AA181" s="124">
        <f t="shared" si="529"/>
        <v>138</v>
      </c>
      <c r="AB181" s="128">
        <f t="shared" si="463"/>
        <v>137392.24381463902</v>
      </c>
      <c r="AC181" s="124">
        <f t="shared" si="530"/>
        <v>138</v>
      </c>
      <c r="AD181" s="130">
        <f t="shared" si="531"/>
        <v>4.2500000000000003E-2</v>
      </c>
      <c r="AE181" s="127">
        <f t="shared" si="532"/>
        <v>1530</v>
      </c>
      <c r="AF181" s="128">
        <f t="shared" si="533"/>
        <v>152852.30000000002</v>
      </c>
      <c r="AG181" s="128">
        <f t="shared" si="552"/>
        <v>153000</v>
      </c>
      <c r="AH181" s="128">
        <f t="shared" si="357"/>
        <v>153000</v>
      </c>
      <c r="AI181" s="130">
        <f t="shared" si="464"/>
        <v>4.2500000000000003E-2</v>
      </c>
      <c r="AJ181" s="128">
        <f t="shared" si="465"/>
        <v>153541.87500000003</v>
      </c>
      <c r="AK181" s="128" t="str">
        <f t="shared" si="466"/>
        <v>nie</v>
      </c>
      <c r="AL181" s="128">
        <f t="shared" si="467"/>
        <v>765</v>
      </c>
      <c r="AM181" s="128">
        <f t="shared" si="361"/>
        <v>152819.26875000002</v>
      </c>
      <c r="AN181" s="128">
        <f t="shared" si="468"/>
        <v>438.91875000002358</v>
      </c>
      <c r="AO181" s="130">
        <f t="shared" si="469"/>
        <v>4.2500000000000003E-2</v>
      </c>
      <c r="AP181" s="128">
        <f t="shared" si="470"/>
        <v>2737.1431826319549</v>
      </c>
      <c r="AQ181" s="128">
        <f t="shared" si="362"/>
        <v>155117.49318263194</v>
      </c>
      <c r="AS181" s="124">
        <f t="shared" si="534"/>
        <v>138</v>
      </c>
      <c r="AT181" s="130">
        <f t="shared" si="535"/>
        <v>4.2500000000000003E-2</v>
      </c>
      <c r="AU181" s="127">
        <f t="shared" si="536"/>
        <v>1456</v>
      </c>
      <c r="AV181" s="128">
        <f t="shared" si="537"/>
        <v>145464.5</v>
      </c>
      <c r="AW181" s="128">
        <f t="shared" si="363"/>
        <v>145600</v>
      </c>
      <c r="AX181" s="128">
        <f t="shared" si="358"/>
        <v>145600</v>
      </c>
      <c r="AY181" s="130">
        <f t="shared" si="471"/>
        <v>4.4000000000000004E-2</v>
      </c>
      <c r="AZ181" s="128">
        <f t="shared" si="472"/>
        <v>146133.86666666667</v>
      </c>
      <c r="BA181" s="128" t="str">
        <f t="shared" si="473"/>
        <v>nie</v>
      </c>
      <c r="BB181" s="128">
        <f t="shared" si="474"/>
        <v>1019.1999999999999</v>
      </c>
      <c r="BC181" s="128">
        <f t="shared" si="367"/>
        <v>145206.87999999998</v>
      </c>
      <c r="BD181" s="128">
        <f t="shared" si="475"/>
        <v>432.43200000000161</v>
      </c>
      <c r="BE181" s="130">
        <f t="shared" si="476"/>
        <v>4.2500000000000003E-2</v>
      </c>
      <c r="BF181" s="128">
        <f t="shared" si="477"/>
        <v>8019.7039224172704</v>
      </c>
      <c r="BG181" s="128">
        <f t="shared" si="368"/>
        <v>152794.15192241725</v>
      </c>
      <c r="BI181" s="124">
        <f t="shared" si="538"/>
        <v>138</v>
      </c>
      <c r="BJ181" s="130">
        <f t="shared" si="558"/>
        <v>4.1300000000000003E-2</v>
      </c>
      <c r="BK181" s="127">
        <f t="shared" si="539"/>
        <v>1401</v>
      </c>
      <c r="BL181" s="128">
        <f t="shared" si="540"/>
        <v>139959.9</v>
      </c>
      <c r="BM181" s="128">
        <f t="shared" si="553"/>
        <v>140100</v>
      </c>
      <c r="BN181" s="128">
        <f t="shared" si="541"/>
        <v>153432.231225</v>
      </c>
      <c r="BO181" s="130">
        <f t="shared" si="478"/>
        <v>4.65E-2</v>
      </c>
      <c r="BP181" s="128">
        <f t="shared" si="479"/>
        <v>156999.53060098123</v>
      </c>
      <c r="BQ181" s="128" t="str">
        <f t="shared" si="480"/>
        <v>nie</v>
      </c>
      <c r="BR181" s="128">
        <f t="shared" si="481"/>
        <v>1401</v>
      </c>
      <c r="BS181" s="128">
        <f t="shared" si="364"/>
        <v>152653.80978679479</v>
      </c>
      <c r="BT181" s="128">
        <f t="shared" si="456"/>
        <v>0</v>
      </c>
      <c r="BU181" s="130">
        <f t="shared" si="482"/>
        <v>4.2500000000000003E-2</v>
      </c>
      <c r="BV181" s="128">
        <f t="shared" si="483"/>
        <v>200.5089657954943</v>
      </c>
      <c r="BW181" s="128">
        <f t="shared" si="365"/>
        <v>152854.31875259028</v>
      </c>
      <c r="BY181" s="130">
        <f t="shared" si="452"/>
        <v>2.8000000000000001E-2</v>
      </c>
      <c r="BZ181" s="127">
        <f t="shared" si="542"/>
        <v>1331</v>
      </c>
      <c r="CA181" s="128">
        <f t="shared" si="543"/>
        <v>132980.5</v>
      </c>
      <c r="CB181" s="128">
        <f t="shared" si="366"/>
        <v>133100</v>
      </c>
      <c r="CC181" s="128">
        <f t="shared" si="359"/>
        <v>133100</v>
      </c>
      <c r="CD181" s="130">
        <f t="shared" si="484"/>
        <v>4.2999999999999997E-2</v>
      </c>
      <c r="CE181" s="128">
        <f t="shared" si="485"/>
        <v>135961.65000000002</v>
      </c>
      <c r="CF181" s="128" t="str">
        <f t="shared" si="486"/>
        <v>nie</v>
      </c>
      <c r="CG181" s="128">
        <f t="shared" si="487"/>
        <v>2662</v>
      </c>
      <c r="CH181" s="128">
        <f t="shared" si="369"/>
        <v>133261.71650000001</v>
      </c>
      <c r="CI181" s="128">
        <f t="shared" si="488"/>
        <v>0</v>
      </c>
      <c r="CJ181" s="130">
        <f t="shared" si="489"/>
        <v>4.2500000000000003E-2</v>
      </c>
      <c r="CK181" s="128">
        <f t="shared" si="490"/>
        <v>15584.10808142009</v>
      </c>
      <c r="CL181" s="128">
        <f t="shared" si="491"/>
        <v>148845.82458142011</v>
      </c>
      <c r="CN181" s="127">
        <f t="shared" si="544"/>
        <v>1495</v>
      </c>
      <c r="CO181" s="128">
        <f t="shared" si="545"/>
        <v>149350.5</v>
      </c>
      <c r="CP181" s="128">
        <f t="shared" si="546"/>
        <v>149500</v>
      </c>
      <c r="CQ181" s="128">
        <f t="shared" si="547"/>
        <v>157872</v>
      </c>
      <c r="CR181" s="130">
        <f t="shared" si="492"/>
        <v>4.8000000000000001E-2</v>
      </c>
      <c r="CS181" s="128">
        <f t="shared" si="493"/>
        <v>161660.92800000001</v>
      </c>
      <c r="CT181" s="128" t="str">
        <f t="shared" si="494"/>
        <v>nie</v>
      </c>
      <c r="CU181" s="128">
        <f t="shared" si="495"/>
        <v>4485</v>
      </c>
      <c r="CV181" s="128">
        <f t="shared" si="496"/>
        <v>155717.50168000002</v>
      </c>
      <c r="CW181" s="128">
        <f t="shared" si="453"/>
        <v>0</v>
      </c>
      <c r="CX181" s="130">
        <f t="shared" si="497"/>
        <v>4.2500000000000003E-2</v>
      </c>
      <c r="CY181" s="128">
        <f t="shared" si="498"/>
        <v>90.975815400987074</v>
      </c>
      <c r="CZ181" s="128">
        <f t="shared" si="499"/>
        <v>155808.47749540099</v>
      </c>
      <c r="DA181" s="20"/>
      <c r="DB181" s="127">
        <f t="shared" si="554"/>
        <v>1267</v>
      </c>
      <c r="DC181" s="128">
        <f t="shared" si="555"/>
        <v>126700</v>
      </c>
      <c r="DD181" s="128">
        <f t="shared" si="548"/>
        <v>126700</v>
      </c>
      <c r="DE181" s="128">
        <f t="shared" si="549"/>
        <v>160782.02171480641</v>
      </c>
      <c r="DF181" s="130">
        <f t="shared" si="500"/>
        <v>4.8000000000000001E-2</v>
      </c>
      <c r="DG181" s="128">
        <f t="shared" si="501"/>
        <v>164640.79023596176</v>
      </c>
      <c r="DH181" s="128" t="str">
        <f t="shared" si="502"/>
        <v>nie</v>
      </c>
      <c r="DI181" s="128">
        <f t="shared" si="503"/>
        <v>2534</v>
      </c>
      <c r="DJ181" s="128">
        <f t="shared" si="559"/>
        <v>155379.50009112901</v>
      </c>
      <c r="DK181" s="128">
        <f t="shared" si="454"/>
        <v>0</v>
      </c>
      <c r="DL181" s="130">
        <f t="shared" si="504"/>
        <v>4.2500000000000003E-2</v>
      </c>
      <c r="DM181" s="128">
        <f t="shared" si="505"/>
        <v>27.406895558462903</v>
      </c>
      <c r="DN181" s="128">
        <f t="shared" si="506"/>
        <v>155406.90698668748</v>
      </c>
      <c r="DP181" s="127">
        <f t="shared" si="556"/>
        <v>1000</v>
      </c>
      <c r="DQ181" s="128">
        <f t="shared" si="557"/>
        <v>100000</v>
      </c>
      <c r="DR181" s="128">
        <f t="shared" si="550"/>
        <v>100000</v>
      </c>
      <c r="DS181" s="128">
        <f t="shared" si="551"/>
        <v>177408.56139287978</v>
      </c>
      <c r="DT181" s="130">
        <f t="shared" si="507"/>
        <v>5.3000000000000005E-2</v>
      </c>
      <c r="DU181" s="128">
        <f t="shared" si="508"/>
        <v>182109.88826979109</v>
      </c>
      <c r="DV181" s="128" t="str">
        <f t="shared" si="509"/>
        <v>nie</v>
      </c>
      <c r="DW181" s="128">
        <f t="shared" si="510"/>
        <v>3000</v>
      </c>
      <c r="DX181" s="128">
        <f t="shared" si="511"/>
        <v>164079.0094985308</v>
      </c>
      <c r="DY181" s="128">
        <f t="shared" si="455"/>
        <v>0</v>
      </c>
      <c r="DZ181" s="130">
        <f t="shared" si="512"/>
        <v>4.2500000000000003E-2</v>
      </c>
      <c r="EA181" s="128">
        <f t="shared" si="513"/>
        <v>0</v>
      </c>
      <c r="EB181" s="128">
        <f t="shared" si="514"/>
        <v>164079.0094985308</v>
      </c>
    </row>
    <row r="182" spans="1:132">
      <c r="A182" s="224"/>
      <c r="B182" s="188">
        <f t="shared" si="515"/>
        <v>138</v>
      </c>
      <c r="C182" s="128">
        <f t="shared" si="516"/>
        <v>155117.49318263194</v>
      </c>
      <c r="D182" s="128">
        <f t="shared" si="517"/>
        <v>152794.15192241725</v>
      </c>
      <c r="E182" s="128">
        <f t="shared" si="518"/>
        <v>152854.31875259028</v>
      </c>
      <c r="F182" s="128">
        <f t="shared" si="519"/>
        <v>148845.82458142011</v>
      </c>
      <c r="G182" s="128">
        <f t="shared" si="520"/>
        <v>155808.47749540099</v>
      </c>
      <c r="H182" s="128">
        <f t="shared" si="521"/>
        <v>155406.90698668748</v>
      </c>
      <c r="I182" s="128">
        <f t="shared" si="522"/>
        <v>164079.0094985308</v>
      </c>
      <c r="J182" s="128">
        <f t="shared" si="523"/>
        <v>148486.0357606418</v>
      </c>
      <c r="K182" s="128">
        <f t="shared" si="524"/>
        <v>137392.24381463902</v>
      </c>
      <c r="M182" s="36"/>
      <c r="N182" s="32">
        <f t="shared" si="525"/>
        <v>138</v>
      </c>
      <c r="O182" s="25">
        <f t="shared" si="526"/>
        <v>0.55117493182631927</v>
      </c>
      <c r="P182" s="25">
        <f t="shared" si="527"/>
        <v>0.52794151922417254</v>
      </c>
      <c r="Q182" s="25">
        <f t="shared" si="528"/>
        <v>0.52854318752590279</v>
      </c>
      <c r="R182" s="25">
        <f t="shared" si="457"/>
        <v>0.48845824581420105</v>
      </c>
      <c r="S182" s="25">
        <f t="shared" si="458"/>
        <v>0.55808477495400988</v>
      </c>
      <c r="T182" s="25">
        <f t="shared" si="459"/>
        <v>0.55406906986687487</v>
      </c>
      <c r="U182" s="25">
        <f t="shared" si="460"/>
        <v>0.64079009498530803</v>
      </c>
      <c r="V182" s="25">
        <f t="shared" si="461"/>
        <v>0.48486035760641788</v>
      </c>
      <c r="W182" s="25">
        <f t="shared" si="462"/>
        <v>0.37392243814639015</v>
      </c>
      <c r="X182" s="36"/>
      <c r="Y182" s="36"/>
      <c r="AA182" s="124">
        <f t="shared" si="529"/>
        <v>139</v>
      </c>
      <c r="AB182" s="128">
        <f t="shared" si="463"/>
        <v>137708.39953676343</v>
      </c>
      <c r="AC182" s="124">
        <f t="shared" si="530"/>
        <v>139</v>
      </c>
      <c r="AD182" s="130">
        <f t="shared" si="531"/>
        <v>4.2500000000000003E-2</v>
      </c>
      <c r="AE182" s="127">
        <f t="shared" si="532"/>
        <v>1530</v>
      </c>
      <c r="AF182" s="128">
        <f t="shared" si="533"/>
        <v>152852.30000000002</v>
      </c>
      <c r="AG182" s="128">
        <f t="shared" si="552"/>
        <v>153000</v>
      </c>
      <c r="AH182" s="128">
        <f t="shared" ref="AH182:AH187" si="560">AG182</f>
        <v>153000</v>
      </c>
      <c r="AI182" s="130">
        <f t="shared" si="464"/>
        <v>4.2500000000000003E-2</v>
      </c>
      <c r="AJ182" s="128">
        <f t="shared" si="465"/>
        <v>153541.87500000003</v>
      </c>
      <c r="AK182" s="128" t="str">
        <f t="shared" si="466"/>
        <v>nie</v>
      </c>
      <c r="AL182" s="128">
        <f t="shared" si="467"/>
        <v>765</v>
      </c>
      <c r="AM182" s="128">
        <f t="shared" si="361"/>
        <v>152819.26875000002</v>
      </c>
      <c r="AN182" s="128">
        <f t="shared" si="468"/>
        <v>438.91875000002358</v>
      </c>
      <c r="AO182" s="130">
        <f t="shared" si="469"/>
        <v>4.2500000000000003E-2</v>
      </c>
      <c r="AP182" s="128">
        <f t="shared" si="470"/>
        <v>3183.9141121371536</v>
      </c>
      <c r="AQ182" s="128">
        <f t="shared" si="362"/>
        <v>155564.26411213714</v>
      </c>
      <c r="AS182" s="124">
        <f t="shared" si="534"/>
        <v>139</v>
      </c>
      <c r="AT182" s="130">
        <f t="shared" si="535"/>
        <v>4.2500000000000003E-2</v>
      </c>
      <c r="AU182" s="127">
        <f t="shared" si="536"/>
        <v>1456</v>
      </c>
      <c r="AV182" s="128">
        <f t="shared" si="537"/>
        <v>145464.5</v>
      </c>
      <c r="AW182" s="128">
        <f t="shared" si="363"/>
        <v>145600</v>
      </c>
      <c r="AX182" s="128">
        <f t="shared" ref="AX182:AX187" si="561">AW182</f>
        <v>145600</v>
      </c>
      <c r="AY182" s="130">
        <f t="shared" si="471"/>
        <v>4.4000000000000004E-2</v>
      </c>
      <c r="AZ182" s="128">
        <f t="shared" si="472"/>
        <v>146133.86666666667</v>
      </c>
      <c r="BA182" s="128" t="str">
        <f t="shared" si="473"/>
        <v>nie</v>
      </c>
      <c r="BB182" s="128">
        <f t="shared" si="474"/>
        <v>1019.1999999999999</v>
      </c>
      <c r="BC182" s="128">
        <f t="shared" si="367"/>
        <v>145206.87999999998</v>
      </c>
      <c r="BD182" s="128">
        <f t="shared" si="475"/>
        <v>432.43200000000161</v>
      </c>
      <c r="BE182" s="130">
        <f t="shared" si="476"/>
        <v>4.2500000000000003E-2</v>
      </c>
      <c r="BF182" s="128">
        <f t="shared" si="477"/>
        <v>8475.1424480447058</v>
      </c>
      <c r="BG182" s="128">
        <f t="shared" si="368"/>
        <v>153249.59044804468</v>
      </c>
      <c r="BI182" s="124">
        <f t="shared" si="538"/>
        <v>139</v>
      </c>
      <c r="BJ182" s="130">
        <f t="shared" si="558"/>
        <v>4.1300000000000003E-2</v>
      </c>
      <c r="BK182" s="127">
        <f t="shared" si="539"/>
        <v>1401</v>
      </c>
      <c r="BL182" s="128">
        <f t="shared" si="540"/>
        <v>139959.9</v>
      </c>
      <c r="BM182" s="128">
        <f t="shared" si="553"/>
        <v>140100</v>
      </c>
      <c r="BN182" s="128">
        <f t="shared" si="541"/>
        <v>153432.231225</v>
      </c>
      <c r="BO182" s="130">
        <f t="shared" si="478"/>
        <v>4.65E-2</v>
      </c>
      <c r="BP182" s="128">
        <f t="shared" si="479"/>
        <v>157594.08049697813</v>
      </c>
      <c r="BQ182" s="128" t="str">
        <f t="shared" si="480"/>
        <v>nie</v>
      </c>
      <c r="BR182" s="128">
        <f t="shared" si="481"/>
        <v>1401</v>
      </c>
      <c r="BS182" s="128">
        <f t="shared" si="364"/>
        <v>153135.39520255229</v>
      </c>
      <c r="BT182" s="128">
        <f t="shared" si="456"/>
        <v>0</v>
      </c>
      <c r="BU182" s="130">
        <f t="shared" si="482"/>
        <v>4.2500000000000003E-2</v>
      </c>
      <c r="BV182" s="128">
        <f t="shared" si="483"/>
        <v>201.08417589112011</v>
      </c>
      <c r="BW182" s="128">
        <f t="shared" si="365"/>
        <v>153336.47937844342</v>
      </c>
      <c r="BY182" s="130">
        <f t="shared" si="452"/>
        <v>2.8000000000000001E-2</v>
      </c>
      <c r="BZ182" s="127">
        <f t="shared" si="542"/>
        <v>1331</v>
      </c>
      <c r="CA182" s="128">
        <f t="shared" si="543"/>
        <v>132980.5</v>
      </c>
      <c r="CB182" s="128">
        <f t="shared" si="366"/>
        <v>133100</v>
      </c>
      <c r="CC182" s="128">
        <f t="shared" ref="CC182:CC187" si="562">CB182</f>
        <v>133100</v>
      </c>
      <c r="CD182" s="130">
        <f t="shared" si="484"/>
        <v>4.2999999999999997E-2</v>
      </c>
      <c r="CE182" s="128">
        <f t="shared" si="485"/>
        <v>136438.59166666667</v>
      </c>
      <c r="CF182" s="128" t="str">
        <f t="shared" si="486"/>
        <v>nie</v>
      </c>
      <c r="CG182" s="128">
        <f t="shared" si="487"/>
        <v>2662</v>
      </c>
      <c r="CH182" s="128">
        <f t="shared" si="369"/>
        <v>133648.03925</v>
      </c>
      <c r="CI182" s="128">
        <f t="shared" si="488"/>
        <v>0</v>
      </c>
      <c r="CJ182" s="130">
        <f t="shared" si="489"/>
        <v>4.2500000000000003E-2</v>
      </c>
      <c r="CK182" s="128">
        <f t="shared" si="490"/>
        <v>15628.814991478665</v>
      </c>
      <c r="CL182" s="128">
        <f t="shared" si="491"/>
        <v>149276.85424147866</v>
      </c>
      <c r="CN182" s="127">
        <f t="shared" si="544"/>
        <v>1495</v>
      </c>
      <c r="CO182" s="128">
        <f t="shared" si="545"/>
        <v>149350.5</v>
      </c>
      <c r="CP182" s="128">
        <f t="shared" si="546"/>
        <v>149500</v>
      </c>
      <c r="CQ182" s="128">
        <f t="shared" si="547"/>
        <v>157872</v>
      </c>
      <c r="CR182" s="130">
        <f t="shared" si="492"/>
        <v>4.8000000000000001E-2</v>
      </c>
      <c r="CS182" s="128">
        <f t="shared" si="493"/>
        <v>162292.416</v>
      </c>
      <c r="CT182" s="128" t="str">
        <f t="shared" si="494"/>
        <v>nie</v>
      </c>
      <c r="CU182" s="128">
        <f t="shared" si="495"/>
        <v>4485</v>
      </c>
      <c r="CV182" s="128">
        <f t="shared" si="496"/>
        <v>156229.00696</v>
      </c>
      <c r="CW182" s="128">
        <f t="shared" si="453"/>
        <v>0</v>
      </c>
      <c r="CX182" s="130">
        <f t="shared" si="497"/>
        <v>4.2500000000000003E-2</v>
      </c>
      <c r="CY182" s="128">
        <f t="shared" si="498"/>
        <v>91.236802271418654</v>
      </c>
      <c r="CZ182" s="128">
        <f t="shared" si="499"/>
        <v>156320.24376227142</v>
      </c>
      <c r="DA182" s="20"/>
      <c r="DB182" s="127">
        <f t="shared" si="554"/>
        <v>1267</v>
      </c>
      <c r="DC182" s="128">
        <f t="shared" si="555"/>
        <v>126700</v>
      </c>
      <c r="DD182" s="128">
        <f t="shared" si="548"/>
        <v>126700</v>
      </c>
      <c r="DE182" s="128">
        <f t="shared" si="549"/>
        <v>160782.02171480641</v>
      </c>
      <c r="DF182" s="130">
        <f t="shared" si="500"/>
        <v>4.8000000000000001E-2</v>
      </c>
      <c r="DG182" s="128">
        <f t="shared" si="501"/>
        <v>165283.918322821</v>
      </c>
      <c r="DH182" s="128" t="str">
        <f t="shared" si="502"/>
        <v>nie</v>
      </c>
      <c r="DI182" s="128">
        <f t="shared" si="503"/>
        <v>2534</v>
      </c>
      <c r="DJ182" s="128">
        <f t="shared" si="559"/>
        <v>155900.43384148501</v>
      </c>
      <c r="DK182" s="128">
        <f t="shared" si="454"/>
        <v>0</v>
      </c>
      <c r="DL182" s="130">
        <f t="shared" si="504"/>
        <v>4.2500000000000003E-2</v>
      </c>
      <c r="DM182" s="128">
        <f t="shared" si="505"/>
        <v>27.485519090096243</v>
      </c>
      <c r="DN182" s="128">
        <f t="shared" si="506"/>
        <v>155927.91936057509</v>
      </c>
      <c r="DP182" s="127">
        <f t="shared" si="556"/>
        <v>1000</v>
      </c>
      <c r="DQ182" s="128">
        <f t="shared" si="557"/>
        <v>100000</v>
      </c>
      <c r="DR182" s="128">
        <f t="shared" si="550"/>
        <v>100000</v>
      </c>
      <c r="DS182" s="128">
        <f t="shared" si="551"/>
        <v>177408.56139287978</v>
      </c>
      <c r="DT182" s="130">
        <f t="shared" si="507"/>
        <v>5.3000000000000005E-2</v>
      </c>
      <c r="DU182" s="128">
        <f t="shared" si="508"/>
        <v>182893.44274927632</v>
      </c>
      <c r="DV182" s="128" t="str">
        <f t="shared" si="509"/>
        <v>nie</v>
      </c>
      <c r="DW182" s="128">
        <f t="shared" si="510"/>
        <v>3000</v>
      </c>
      <c r="DX182" s="128">
        <f t="shared" si="511"/>
        <v>164713.68862691382</v>
      </c>
      <c r="DY182" s="128">
        <f t="shared" si="455"/>
        <v>0</v>
      </c>
      <c r="DZ182" s="130">
        <f t="shared" si="512"/>
        <v>4.2500000000000003E-2</v>
      </c>
      <c r="EA182" s="128">
        <f t="shared" si="513"/>
        <v>0</v>
      </c>
      <c r="EB182" s="128">
        <f t="shared" si="514"/>
        <v>164713.68862691382</v>
      </c>
    </row>
    <row r="183" spans="1:132">
      <c r="A183" s="224"/>
      <c r="B183" s="188">
        <f t="shared" si="515"/>
        <v>139</v>
      </c>
      <c r="C183" s="128">
        <f t="shared" si="516"/>
        <v>155564.26411213714</v>
      </c>
      <c r="D183" s="128">
        <f t="shared" si="517"/>
        <v>153249.59044804468</v>
      </c>
      <c r="E183" s="128">
        <f t="shared" si="518"/>
        <v>153336.47937844342</v>
      </c>
      <c r="F183" s="128">
        <f t="shared" si="519"/>
        <v>149276.85424147866</v>
      </c>
      <c r="G183" s="128">
        <f t="shared" si="520"/>
        <v>156320.24376227142</v>
      </c>
      <c r="H183" s="128">
        <f t="shared" si="521"/>
        <v>155927.91936057509</v>
      </c>
      <c r="I183" s="128">
        <f t="shared" si="522"/>
        <v>164713.68862691382</v>
      </c>
      <c r="J183" s="128">
        <f t="shared" si="523"/>
        <v>148912.00507573012</v>
      </c>
      <c r="K183" s="128">
        <f t="shared" si="524"/>
        <v>137708.39953676343</v>
      </c>
      <c r="M183" s="36"/>
      <c r="N183" s="32">
        <f t="shared" si="525"/>
        <v>139</v>
      </c>
      <c r="O183" s="25">
        <f t="shared" si="526"/>
        <v>0.55564264112137152</v>
      </c>
      <c r="P183" s="25">
        <f t="shared" si="527"/>
        <v>0.5324959044804467</v>
      </c>
      <c r="Q183" s="25">
        <f t="shared" si="528"/>
        <v>0.53336479378443413</v>
      </c>
      <c r="R183" s="25">
        <f t="shared" si="457"/>
        <v>0.49276854241478674</v>
      </c>
      <c r="S183" s="25">
        <f t="shared" si="458"/>
        <v>0.56320243762271427</v>
      </c>
      <c r="T183" s="25">
        <f t="shared" si="459"/>
        <v>0.55927919360575085</v>
      </c>
      <c r="U183" s="25">
        <f t="shared" si="460"/>
        <v>0.64713688626913823</v>
      </c>
      <c r="V183" s="25">
        <f t="shared" si="461"/>
        <v>0.48912005075730125</v>
      </c>
      <c r="W183" s="25">
        <f t="shared" si="462"/>
        <v>0.37708399536763437</v>
      </c>
      <c r="X183" s="36"/>
      <c r="Y183" s="36"/>
      <c r="AA183" s="124">
        <f t="shared" si="529"/>
        <v>140</v>
      </c>
      <c r="AB183" s="128">
        <f t="shared" si="463"/>
        <v>138024.55525888785</v>
      </c>
      <c r="AC183" s="124">
        <f t="shared" si="530"/>
        <v>140</v>
      </c>
      <c r="AD183" s="130">
        <f t="shared" si="531"/>
        <v>4.2500000000000003E-2</v>
      </c>
      <c r="AE183" s="127">
        <f t="shared" si="532"/>
        <v>1530</v>
      </c>
      <c r="AF183" s="128">
        <f t="shared" si="533"/>
        <v>152852.30000000002</v>
      </c>
      <c r="AG183" s="128">
        <f t="shared" si="552"/>
        <v>153000</v>
      </c>
      <c r="AH183" s="128">
        <f t="shared" si="560"/>
        <v>153000</v>
      </c>
      <c r="AI183" s="130">
        <f t="shared" si="464"/>
        <v>4.2500000000000003E-2</v>
      </c>
      <c r="AJ183" s="128">
        <f t="shared" si="465"/>
        <v>153541.87500000003</v>
      </c>
      <c r="AK183" s="128" t="str">
        <f t="shared" si="466"/>
        <v>nie</v>
      </c>
      <c r="AL183" s="128">
        <f t="shared" si="467"/>
        <v>765</v>
      </c>
      <c r="AM183" s="128">
        <f t="shared" si="361"/>
        <v>152819.26875000002</v>
      </c>
      <c r="AN183" s="128">
        <f t="shared" si="468"/>
        <v>438.91875000002358</v>
      </c>
      <c r="AO183" s="130">
        <f t="shared" si="469"/>
        <v>4.2500000000000003E-2</v>
      </c>
      <c r="AP183" s="128">
        <f t="shared" si="470"/>
        <v>3631.9667157463705</v>
      </c>
      <c r="AQ183" s="128">
        <f t="shared" si="362"/>
        <v>156012.31671574636</v>
      </c>
      <c r="AS183" s="124">
        <f t="shared" si="534"/>
        <v>140</v>
      </c>
      <c r="AT183" s="130">
        <f t="shared" si="535"/>
        <v>4.2500000000000003E-2</v>
      </c>
      <c r="AU183" s="127">
        <f t="shared" si="536"/>
        <v>1456</v>
      </c>
      <c r="AV183" s="128">
        <f t="shared" si="537"/>
        <v>145464.5</v>
      </c>
      <c r="AW183" s="128">
        <f t="shared" si="363"/>
        <v>145600</v>
      </c>
      <c r="AX183" s="128">
        <f t="shared" si="561"/>
        <v>145600</v>
      </c>
      <c r="AY183" s="130">
        <f t="shared" si="471"/>
        <v>4.4000000000000004E-2</v>
      </c>
      <c r="AZ183" s="128">
        <f t="shared" si="472"/>
        <v>146133.86666666667</v>
      </c>
      <c r="BA183" s="128" t="str">
        <f t="shared" si="473"/>
        <v>nie</v>
      </c>
      <c r="BB183" s="128">
        <f t="shared" si="474"/>
        <v>1019.1999999999999</v>
      </c>
      <c r="BC183" s="128">
        <f t="shared" si="367"/>
        <v>145206.87999999998</v>
      </c>
      <c r="BD183" s="128">
        <f t="shared" si="475"/>
        <v>432.43200000000161</v>
      </c>
      <c r="BE183" s="130">
        <f t="shared" si="476"/>
        <v>4.2500000000000003E-2</v>
      </c>
      <c r="BF183" s="128">
        <f t="shared" si="477"/>
        <v>8931.887512942536</v>
      </c>
      <c r="BG183" s="128">
        <f t="shared" si="368"/>
        <v>153706.33551294252</v>
      </c>
      <c r="BI183" s="124">
        <f t="shared" si="538"/>
        <v>140</v>
      </c>
      <c r="BJ183" s="130">
        <f t="shared" si="558"/>
        <v>4.1300000000000003E-2</v>
      </c>
      <c r="BK183" s="127">
        <f t="shared" si="539"/>
        <v>1401</v>
      </c>
      <c r="BL183" s="128">
        <f t="shared" si="540"/>
        <v>139959.9</v>
      </c>
      <c r="BM183" s="128">
        <f t="shared" si="553"/>
        <v>140100</v>
      </c>
      <c r="BN183" s="128">
        <f t="shared" si="541"/>
        <v>153432.231225</v>
      </c>
      <c r="BO183" s="130">
        <f t="shared" si="478"/>
        <v>4.65E-2</v>
      </c>
      <c r="BP183" s="128">
        <f t="shared" si="479"/>
        <v>158188.63039297497</v>
      </c>
      <c r="BQ183" s="128" t="str">
        <f t="shared" si="480"/>
        <v>nie</v>
      </c>
      <c r="BR183" s="128">
        <f t="shared" si="481"/>
        <v>1401</v>
      </c>
      <c r="BS183" s="128">
        <f t="shared" si="364"/>
        <v>153616.98061830972</v>
      </c>
      <c r="BT183" s="128">
        <f t="shared" si="456"/>
        <v>0</v>
      </c>
      <c r="BU183" s="130">
        <f t="shared" si="482"/>
        <v>4.2500000000000003E-2</v>
      </c>
      <c r="BV183" s="128">
        <f t="shared" si="483"/>
        <v>201.66103612070776</v>
      </c>
      <c r="BW183" s="128">
        <f t="shared" si="365"/>
        <v>153818.64165443042</v>
      </c>
      <c r="BY183" s="130">
        <f t="shared" si="452"/>
        <v>2.8000000000000001E-2</v>
      </c>
      <c r="BZ183" s="127">
        <f t="shared" si="542"/>
        <v>1331</v>
      </c>
      <c r="CA183" s="128">
        <f t="shared" si="543"/>
        <v>132980.5</v>
      </c>
      <c r="CB183" s="128">
        <f t="shared" si="366"/>
        <v>133100</v>
      </c>
      <c r="CC183" s="128">
        <f t="shared" si="562"/>
        <v>133100</v>
      </c>
      <c r="CD183" s="130">
        <f t="shared" si="484"/>
        <v>4.2999999999999997E-2</v>
      </c>
      <c r="CE183" s="128">
        <f t="shared" si="485"/>
        <v>136915.53333333333</v>
      </c>
      <c r="CF183" s="128" t="str">
        <f t="shared" si="486"/>
        <v>nie</v>
      </c>
      <c r="CG183" s="128">
        <f t="shared" si="487"/>
        <v>2662</v>
      </c>
      <c r="CH183" s="128">
        <f t="shared" si="369"/>
        <v>134034.36199999999</v>
      </c>
      <c r="CI183" s="128">
        <f t="shared" si="488"/>
        <v>0</v>
      </c>
      <c r="CJ183" s="130">
        <f t="shared" si="489"/>
        <v>4.2500000000000003E-2</v>
      </c>
      <c r="CK183" s="128">
        <f t="shared" si="490"/>
        <v>15673.650154485469</v>
      </c>
      <c r="CL183" s="128">
        <f t="shared" si="491"/>
        <v>149708.01215448545</v>
      </c>
      <c r="CN183" s="127">
        <f t="shared" si="544"/>
        <v>1495</v>
      </c>
      <c r="CO183" s="128">
        <f t="shared" si="545"/>
        <v>149350.5</v>
      </c>
      <c r="CP183" s="128">
        <f t="shared" si="546"/>
        <v>149500</v>
      </c>
      <c r="CQ183" s="128">
        <f t="shared" si="547"/>
        <v>157872</v>
      </c>
      <c r="CR183" s="130">
        <f t="shared" si="492"/>
        <v>4.8000000000000001E-2</v>
      </c>
      <c r="CS183" s="128">
        <f t="shared" si="493"/>
        <v>162923.90400000001</v>
      </c>
      <c r="CT183" s="128" t="str">
        <f t="shared" si="494"/>
        <v>nie</v>
      </c>
      <c r="CU183" s="128">
        <f t="shared" si="495"/>
        <v>4485</v>
      </c>
      <c r="CV183" s="128">
        <f t="shared" si="496"/>
        <v>156740.51224000001</v>
      </c>
      <c r="CW183" s="128">
        <f t="shared" si="453"/>
        <v>0</v>
      </c>
      <c r="CX183" s="130">
        <f t="shared" si="497"/>
        <v>4.2500000000000003E-2</v>
      </c>
      <c r="CY183" s="128">
        <f t="shared" si="498"/>
        <v>91.498537847934784</v>
      </c>
      <c r="CZ183" s="128">
        <f t="shared" si="499"/>
        <v>156832.01077784796</v>
      </c>
      <c r="DA183" s="20"/>
      <c r="DB183" s="127">
        <f t="shared" si="554"/>
        <v>1267</v>
      </c>
      <c r="DC183" s="128">
        <f t="shared" si="555"/>
        <v>126700</v>
      </c>
      <c r="DD183" s="128">
        <f t="shared" si="548"/>
        <v>126700</v>
      </c>
      <c r="DE183" s="128">
        <f t="shared" si="549"/>
        <v>160782.02171480641</v>
      </c>
      <c r="DF183" s="130">
        <f t="shared" si="500"/>
        <v>4.8000000000000001E-2</v>
      </c>
      <c r="DG183" s="128">
        <f t="shared" si="501"/>
        <v>165927.04640968022</v>
      </c>
      <c r="DH183" s="128" t="str">
        <f t="shared" si="502"/>
        <v>nie</v>
      </c>
      <c r="DI183" s="128">
        <f t="shared" si="503"/>
        <v>2534</v>
      </c>
      <c r="DJ183" s="128">
        <f t="shared" si="559"/>
        <v>156421.36759184097</v>
      </c>
      <c r="DK183" s="128">
        <f t="shared" si="454"/>
        <v>0</v>
      </c>
      <c r="DL183" s="130">
        <f t="shared" si="504"/>
        <v>4.2500000000000003E-2</v>
      </c>
      <c r="DM183" s="128">
        <f t="shared" si="505"/>
        <v>27.564368172985958</v>
      </c>
      <c r="DN183" s="128">
        <f t="shared" si="506"/>
        <v>156448.93196001396</v>
      </c>
      <c r="DP183" s="127">
        <f t="shared" si="556"/>
        <v>1000</v>
      </c>
      <c r="DQ183" s="128">
        <f t="shared" si="557"/>
        <v>100000</v>
      </c>
      <c r="DR183" s="128">
        <f t="shared" si="550"/>
        <v>100000</v>
      </c>
      <c r="DS183" s="128">
        <f t="shared" si="551"/>
        <v>177408.56139287978</v>
      </c>
      <c r="DT183" s="130">
        <f t="shared" si="507"/>
        <v>5.3000000000000005E-2</v>
      </c>
      <c r="DU183" s="128">
        <f t="shared" si="508"/>
        <v>183676.99722876155</v>
      </c>
      <c r="DV183" s="128" t="str">
        <f t="shared" si="509"/>
        <v>nie</v>
      </c>
      <c r="DW183" s="128">
        <f t="shared" si="510"/>
        <v>3000</v>
      </c>
      <c r="DX183" s="128">
        <f t="shared" si="511"/>
        <v>165348.36775529687</v>
      </c>
      <c r="DY183" s="128">
        <f t="shared" si="455"/>
        <v>0</v>
      </c>
      <c r="DZ183" s="130">
        <f t="shared" si="512"/>
        <v>4.2500000000000003E-2</v>
      </c>
      <c r="EA183" s="128">
        <f t="shared" si="513"/>
        <v>0</v>
      </c>
      <c r="EB183" s="128">
        <f t="shared" si="514"/>
        <v>165348.36775529687</v>
      </c>
    </row>
    <row r="184" spans="1:132">
      <c r="A184" s="224"/>
      <c r="B184" s="188">
        <f t="shared" si="515"/>
        <v>140</v>
      </c>
      <c r="C184" s="128">
        <f t="shared" si="516"/>
        <v>156012.31671574636</v>
      </c>
      <c r="D184" s="128">
        <f t="shared" si="517"/>
        <v>153706.33551294252</v>
      </c>
      <c r="E184" s="128">
        <f t="shared" si="518"/>
        <v>153818.64165443042</v>
      </c>
      <c r="F184" s="128">
        <f t="shared" si="519"/>
        <v>149708.01215448545</v>
      </c>
      <c r="G184" s="128">
        <f t="shared" si="520"/>
        <v>156832.01077784796</v>
      </c>
      <c r="H184" s="128">
        <f t="shared" si="521"/>
        <v>156448.93196001396</v>
      </c>
      <c r="I184" s="128">
        <f t="shared" si="522"/>
        <v>165348.36775529687</v>
      </c>
      <c r="J184" s="128">
        <f t="shared" si="523"/>
        <v>149339.19639029112</v>
      </c>
      <c r="K184" s="128">
        <f t="shared" si="524"/>
        <v>138024.55525888785</v>
      </c>
      <c r="M184" s="36"/>
      <c r="N184" s="32">
        <f t="shared" si="525"/>
        <v>140</v>
      </c>
      <c r="O184" s="25">
        <f t="shared" si="526"/>
        <v>0.56012316715746358</v>
      </c>
      <c r="P184" s="25">
        <f t="shared" si="527"/>
        <v>0.53706335512942527</v>
      </c>
      <c r="Q184" s="25">
        <f t="shared" si="528"/>
        <v>0.53818641654430421</v>
      </c>
      <c r="R184" s="25">
        <f t="shared" si="457"/>
        <v>0.49708012154485459</v>
      </c>
      <c r="S184" s="25">
        <f t="shared" si="458"/>
        <v>0.56832010777847963</v>
      </c>
      <c r="T184" s="25">
        <f t="shared" si="459"/>
        <v>0.56448931960013948</v>
      </c>
      <c r="U184" s="25">
        <f t="shared" si="460"/>
        <v>0.65348367755296866</v>
      </c>
      <c r="V184" s="25">
        <f t="shared" si="461"/>
        <v>0.49339196390291118</v>
      </c>
      <c r="W184" s="25">
        <f t="shared" si="462"/>
        <v>0.3802455525888786</v>
      </c>
      <c r="X184" s="36"/>
      <c r="Y184" s="36"/>
      <c r="AA184" s="124">
        <f t="shared" si="529"/>
        <v>141</v>
      </c>
      <c r="AB184" s="128">
        <f t="shared" si="463"/>
        <v>138340.71098101226</v>
      </c>
      <c r="AC184" s="124">
        <f t="shared" si="530"/>
        <v>141</v>
      </c>
      <c r="AD184" s="130">
        <f t="shared" si="531"/>
        <v>4.2500000000000003E-2</v>
      </c>
      <c r="AE184" s="127">
        <f t="shared" si="532"/>
        <v>1530</v>
      </c>
      <c r="AF184" s="128">
        <f t="shared" si="533"/>
        <v>152852.30000000002</v>
      </c>
      <c r="AG184" s="128">
        <f t="shared" si="552"/>
        <v>153000</v>
      </c>
      <c r="AH184" s="128">
        <f t="shared" si="560"/>
        <v>153000</v>
      </c>
      <c r="AI184" s="130">
        <f t="shared" si="464"/>
        <v>4.2500000000000003E-2</v>
      </c>
      <c r="AJ184" s="128">
        <f t="shared" si="465"/>
        <v>153541.87500000003</v>
      </c>
      <c r="AK184" s="128" t="str">
        <f t="shared" si="466"/>
        <v>nie</v>
      </c>
      <c r="AL184" s="128">
        <f t="shared" si="467"/>
        <v>765</v>
      </c>
      <c r="AM184" s="128">
        <f t="shared" si="361"/>
        <v>152819.26875000002</v>
      </c>
      <c r="AN184" s="128">
        <f t="shared" si="468"/>
        <v>438.91875000002358</v>
      </c>
      <c r="AO184" s="130">
        <f t="shared" si="469"/>
        <v>4.2500000000000003E-2</v>
      </c>
      <c r="AP184" s="128">
        <f t="shared" si="470"/>
        <v>4081.3046702621914</v>
      </c>
      <c r="AQ184" s="128">
        <f t="shared" si="362"/>
        <v>156461.65467026219</v>
      </c>
      <c r="AS184" s="124">
        <f t="shared" si="534"/>
        <v>141</v>
      </c>
      <c r="AT184" s="130">
        <f t="shared" si="535"/>
        <v>4.2500000000000003E-2</v>
      </c>
      <c r="AU184" s="127">
        <f t="shared" si="536"/>
        <v>1456</v>
      </c>
      <c r="AV184" s="128">
        <f t="shared" si="537"/>
        <v>145464.5</v>
      </c>
      <c r="AW184" s="128">
        <f t="shared" si="363"/>
        <v>145600</v>
      </c>
      <c r="AX184" s="128">
        <f t="shared" si="561"/>
        <v>145600</v>
      </c>
      <c r="AY184" s="130">
        <f t="shared" si="471"/>
        <v>4.4000000000000004E-2</v>
      </c>
      <c r="AZ184" s="128">
        <f t="shared" si="472"/>
        <v>146133.86666666667</v>
      </c>
      <c r="BA184" s="128" t="str">
        <f t="shared" si="473"/>
        <v>nie</v>
      </c>
      <c r="BB184" s="128">
        <f t="shared" si="474"/>
        <v>1019.1999999999999</v>
      </c>
      <c r="BC184" s="128">
        <f t="shared" si="367"/>
        <v>145206.87999999998</v>
      </c>
      <c r="BD184" s="128">
        <f t="shared" si="475"/>
        <v>432.43200000000161</v>
      </c>
      <c r="BE184" s="130">
        <f t="shared" si="476"/>
        <v>4.2500000000000003E-2</v>
      </c>
      <c r="BF184" s="128">
        <f t="shared" si="477"/>
        <v>9389.9428652452916</v>
      </c>
      <c r="BG184" s="128">
        <f t="shared" si="368"/>
        <v>154164.39086524525</v>
      </c>
      <c r="BI184" s="124">
        <f t="shared" si="538"/>
        <v>141</v>
      </c>
      <c r="BJ184" s="130">
        <f t="shared" si="558"/>
        <v>4.1300000000000003E-2</v>
      </c>
      <c r="BK184" s="127">
        <f t="shared" si="539"/>
        <v>1401</v>
      </c>
      <c r="BL184" s="128">
        <f t="shared" si="540"/>
        <v>139959.9</v>
      </c>
      <c r="BM184" s="128">
        <f t="shared" si="553"/>
        <v>140100</v>
      </c>
      <c r="BN184" s="128">
        <f t="shared" si="541"/>
        <v>153432.231225</v>
      </c>
      <c r="BO184" s="130">
        <f t="shared" si="478"/>
        <v>4.65E-2</v>
      </c>
      <c r="BP184" s="128">
        <f t="shared" si="479"/>
        <v>158783.18028897187</v>
      </c>
      <c r="BQ184" s="128" t="str">
        <f t="shared" si="480"/>
        <v>nie</v>
      </c>
      <c r="BR184" s="128">
        <f t="shared" si="481"/>
        <v>1401</v>
      </c>
      <c r="BS184" s="128">
        <f t="shared" si="364"/>
        <v>154098.56603406722</v>
      </c>
      <c r="BT184" s="128">
        <f t="shared" si="456"/>
        <v>0</v>
      </c>
      <c r="BU184" s="130">
        <f t="shared" si="482"/>
        <v>4.2500000000000003E-2</v>
      </c>
      <c r="BV184" s="128">
        <f t="shared" si="483"/>
        <v>202.23955121807904</v>
      </c>
      <c r="BW184" s="128">
        <f t="shared" si="365"/>
        <v>154300.8055852853</v>
      </c>
      <c r="BY184" s="130">
        <f t="shared" si="452"/>
        <v>2.8000000000000001E-2</v>
      </c>
      <c r="BZ184" s="127">
        <f t="shared" si="542"/>
        <v>1331</v>
      </c>
      <c r="CA184" s="128">
        <f t="shared" si="543"/>
        <v>132980.5</v>
      </c>
      <c r="CB184" s="128">
        <f t="shared" si="366"/>
        <v>133100</v>
      </c>
      <c r="CC184" s="128">
        <f t="shared" si="562"/>
        <v>133100</v>
      </c>
      <c r="CD184" s="130">
        <f t="shared" si="484"/>
        <v>4.2999999999999997E-2</v>
      </c>
      <c r="CE184" s="128">
        <f t="shared" si="485"/>
        <v>137392.47499999998</v>
      </c>
      <c r="CF184" s="128" t="str">
        <f t="shared" si="486"/>
        <v>nie</v>
      </c>
      <c r="CG184" s="128">
        <f t="shared" si="487"/>
        <v>2662</v>
      </c>
      <c r="CH184" s="128">
        <f t="shared" si="369"/>
        <v>134420.68474999999</v>
      </c>
      <c r="CI184" s="128">
        <f t="shared" si="488"/>
        <v>0</v>
      </c>
      <c r="CJ184" s="130">
        <f t="shared" si="489"/>
        <v>4.2500000000000003E-2</v>
      </c>
      <c r="CK184" s="128">
        <f t="shared" si="490"/>
        <v>15718.613938366148</v>
      </c>
      <c r="CL184" s="128">
        <f t="shared" si="491"/>
        <v>150139.29868836614</v>
      </c>
      <c r="CN184" s="127">
        <f t="shared" si="544"/>
        <v>1495</v>
      </c>
      <c r="CO184" s="128">
        <f t="shared" si="545"/>
        <v>149350.5</v>
      </c>
      <c r="CP184" s="128">
        <f t="shared" si="546"/>
        <v>149500</v>
      </c>
      <c r="CQ184" s="128">
        <f t="shared" si="547"/>
        <v>157872</v>
      </c>
      <c r="CR184" s="130">
        <f t="shared" si="492"/>
        <v>4.8000000000000001E-2</v>
      </c>
      <c r="CS184" s="128">
        <f t="shared" si="493"/>
        <v>163555.39199999999</v>
      </c>
      <c r="CT184" s="128" t="str">
        <f t="shared" si="494"/>
        <v>nie</v>
      </c>
      <c r="CU184" s="128">
        <f t="shared" si="495"/>
        <v>4485</v>
      </c>
      <c r="CV184" s="128">
        <f t="shared" si="496"/>
        <v>157252.01751999999</v>
      </c>
      <c r="CW184" s="128">
        <f t="shared" si="453"/>
        <v>0</v>
      </c>
      <c r="CX184" s="130">
        <f t="shared" si="497"/>
        <v>4.2500000000000003E-2</v>
      </c>
      <c r="CY184" s="128">
        <f t="shared" si="498"/>
        <v>91.761024278386046</v>
      </c>
      <c r="CZ184" s="128">
        <f t="shared" si="499"/>
        <v>157343.77854427838</v>
      </c>
      <c r="DA184" s="20"/>
      <c r="DB184" s="127">
        <f t="shared" si="554"/>
        <v>1267</v>
      </c>
      <c r="DC184" s="128">
        <f t="shared" si="555"/>
        <v>126700</v>
      </c>
      <c r="DD184" s="128">
        <f t="shared" si="548"/>
        <v>126700</v>
      </c>
      <c r="DE184" s="128">
        <f t="shared" si="549"/>
        <v>160782.02171480641</v>
      </c>
      <c r="DF184" s="130">
        <f t="shared" si="500"/>
        <v>4.8000000000000001E-2</v>
      </c>
      <c r="DG184" s="128">
        <f t="shared" si="501"/>
        <v>166570.17449653946</v>
      </c>
      <c r="DH184" s="128" t="str">
        <f t="shared" si="502"/>
        <v>nie</v>
      </c>
      <c r="DI184" s="128">
        <f t="shared" si="503"/>
        <v>2534</v>
      </c>
      <c r="DJ184" s="128">
        <f t="shared" si="559"/>
        <v>156942.30134219697</v>
      </c>
      <c r="DK184" s="128">
        <f t="shared" si="454"/>
        <v>0</v>
      </c>
      <c r="DL184" s="130">
        <f t="shared" si="504"/>
        <v>4.2500000000000003E-2</v>
      </c>
      <c r="DM184" s="128">
        <f t="shared" si="505"/>
        <v>27.643443454182211</v>
      </c>
      <c r="DN184" s="128">
        <f t="shared" si="506"/>
        <v>156969.94478565114</v>
      </c>
      <c r="DP184" s="127">
        <f t="shared" si="556"/>
        <v>1000</v>
      </c>
      <c r="DQ184" s="128">
        <f t="shared" si="557"/>
        <v>100000</v>
      </c>
      <c r="DR184" s="128">
        <f t="shared" si="550"/>
        <v>100000</v>
      </c>
      <c r="DS184" s="128">
        <f t="shared" si="551"/>
        <v>177408.56139287978</v>
      </c>
      <c r="DT184" s="130">
        <f t="shared" si="507"/>
        <v>5.3000000000000005E-2</v>
      </c>
      <c r="DU184" s="128">
        <f t="shared" si="508"/>
        <v>184460.55170824676</v>
      </c>
      <c r="DV184" s="128" t="str">
        <f t="shared" si="509"/>
        <v>nie</v>
      </c>
      <c r="DW184" s="128">
        <f t="shared" si="510"/>
        <v>3000</v>
      </c>
      <c r="DX184" s="128">
        <f t="shared" si="511"/>
        <v>165983.04688367987</v>
      </c>
      <c r="DY184" s="128">
        <f t="shared" si="455"/>
        <v>0</v>
      </c>
      <c r="DZ184" s="130">
        <f t="shared" si="512"/>
        <v>4.2500000000000003E-2</v>
      </c>
      <c r="EA184" s="128">
        <f t="shared" si="513"/>
        <v>0</v>
      </c>
      <c r="EB184" s="128">
        <f t="shared" si="514"/>
        <v>165983.04688367987</v>
      </c>
    </row>
    <row r="185" spans="1:132">
      <c r="A185" s="224"/>
      <c r="B185" s="188">
        <f t="shared" si="515"/>
        <v>141</v>
      </c>
      <c r="C185" s="128">
        <f t="shared" si="516"/>
        <v>156461.65467026219</v>
      </c>
      <c r="D185" s="128">
        <f t="shared" si="517"/>
        <v>154164.39086524525</v>
      </c>
      <c r="E185" s="128">
        <f t="shared" si="518"/>
        <v>154300.8055852853</v>
      </c>
      <c r="F185" s="128">
        <f t="shared" si="519"/>
        <v>150139.29868836614</v>
      </c>
      <c r="G185" s="128">
        <f t="shared" si="520"/>
        <v>157343.77854427838</v>
      </c>
      <c r="H185" s="128">
        <f t="shared" si="521"/>
        <v>156969.94478565114</v>
      </c>
      <c r="I185" s="128">
        <f t="shared" si="522"/>
        <v>165983.04688367987</v>
      </c>
      <c r="J185" s="128">
        <f t="shared" si="523"/>
        <v>149767.61320993578</v>
      </c>
      <c r="K185" s="128">
        <f t="shared" si="524"/>
        <v>138340.71098101226</v>
      </c>
      <c r="M185" s="36"/>
      <c r="N185" s="32">
        <f t="shared" si="525"/>
        <v>141</v>
      </c>
      <c r="O185" s="25">
        <f t="shared" si="526"/>
        <v>0.56461654670262185</v>
      </c>
      <c r="P185" s="25">
        <f t="shared" si="527"/>
        <v>0.54164390865245249</v>
      </c>
      <c r="Q185" s="25">
        <f t="shared" si="528"/>
        <v>0.54300805585285294</v>
      </c>
      <c r="R185" s="25">
        <f t="shared" si="457"/>
        <v>0.5013929868836613</v>
      </c>
      <c r="S185" s="25">
        <f t="shared" si="458"/>
        <v>0.5734377854427839</v>
      </c>
      <c r="T185" s="25">
        <f t="shared" si="459"/>
        <v>0.56969944785651139</v>
      </c>
      <c r="U185" s="25">
        <f t="shared" si="460"/>
        <v>0.65983046883679863</v>
      </c>
      <c r="V185" s="25">
        <f t="shared" si="461"/>
        <v>0.49767613209935768</v>
      </c>
      <c r="W185" s="25">
        <f t="shared" si="462"/>
        <v>0.3834071098101226</v>
      </c>
      <c r="X185" s="36"/>
      <c r="Y185" s="36"/>
      <c r="AA185" s="124">
        <f t="shared" si="529"/>
        <v>142</v>
      </c>
      <c r="AB185" s="128">
        <f t="shared" si="463"/>
        <v>138656.86670313671</v>
      </c>
      <c r="AC185" s="124">
        <f t="shared" si="530"/>
        <v>142</v>
      </c>
      <c r="AD185" s="130">
        <f t="shared" si="531"/>
        <v>4.2500000000000003E-2</v>
      </c>
      <c r="AE185" s="127">
        <f t="shared" si="532"/>
        <v>1530</v>
      </c>
      <c r="AF185" s="128">
        <f t="shared" si="533"/>
        <v>152852.30000000002</v>
      </c>
      <c r="AG185" s="128">
        <f t="shared" si="552"/>
        <v>153000</v>
      </c>
      <c r="AH185" s="128">
        <f t="shared" si="560"/>
        <v>153000</v>
      </c>
      <c r="AI185" s="130">
        <f t="shared" si="464"/>
        <v>4.2500000000000003E-2</v>
      </c>
      <c r="AJ185" s="128">
        <f t="shared" si="465"/>
        <v>153541.87500000003</v>
      </c>
      <c r="AK185" s="128" t="str">
        <f t="shared" si="466"/>
        <v>nie</v>
      </c>
      <c r="AL185" s="128">
        <f t="shared" si="467"/>
        <v>765</v>
      </c>
      <c r="AM185" s="128">
        <f t="shared" ref="AM185:AM187" si="563">AJ185-AL185
-(AJ185-AG185-AL185)*podatek_Belki</f>
        <v>152819.26875000002</v>
      </c>
      <c r="AN185" s="128">
        <f t="shared" si="468"/>
        <v>438.91875000002358</v>
      </c>
      <c r="AO185" s="130">
        <f t="shared" si="469"/>
        <v>4.2500000000000003E-2</v>
      </c>
      <c r="AP185" s="128">
        <f t="shared" si="470"/>
        <v>4531.9316630350295</v>
      </c>
      <c r="AQ185" s="128">
        <f t="shared" ref="AQ185:AQ187" si="564">AP184*(1+AO185/12*(1-podatek_Belki))+AM185</f>
        <v>156912.28166303501</v>
      </c>
      <c r="AS185" s="124">
        <f t="shared" si="534"/>
        <v>142</v>
      </c>
      <c r="AT185" s="130">
        <f t="shared" si="535"/>
        <v>4.2500000000000003E-2</v>
      </c>
      <c r="AU185" s="127">
        <f t="shared" si="536"/>
        <v>1456</v>
      </c>
      <c r="AV185" s="128">
        <f t="shared" si="537"/>
        <v>145464.5</v>
      </c>
      <c r="AW185" s="128">
        <f t="shared" ref="AW185:AW187" si="565">IF(BA184="tak",
AU185*100,
AW184)</f>
        <v>145600</v>
      </c>
      <c r="AX185" s="128">
        <f t="shared" si="561"/>
        <v>145600</v>
      </c>
      <c r="AY185" s="130">
        <f t="shared" si="471"/>
        <v>4.4000000000000004E-2</v>
      </c>
      <c r="AZ185" s="128">
        <f t="shared" si="472"/>
        <v>146133.86666666667</v>
      </c>
      <c r="BA185" s="128" t="str">
        <f t="shared" si="473"/>
        <v>nie</v>
      </c>
      <c r="BB185" s="128">
        <f t="shared" si="474"/>
        <v>1019.1999999999999</v>
      </c>
      <c r="BC185" s="128">
        <f t="shared" si="367"/>
        <v>145206.87999999998</v>
      </c>
      <c r="BD185" s="128">
        <f t="shared" si="475"/>
        <v>432.43200000000161</v>
      </c>
      <c r="BE185" s="130">
        <f t="shared" si="476"/>
        <v>4.2500000000000003E-2</v>
      </c>
      <c r="BF185" s="128">
        <f t="shared" si="477"/>
        <v>9849.3122638399655</v>
      </c>
      <c r="BG185" s="128">
        <f t="shared" si="368"/>
        <v>154623.76026383994</v>
      </c>
      <c r="BI185" s="124">
        <f t="shared" si="538"/>
        <v>142</v>
      </c>
      <c r="BJ185" s="130">
        <f t="shared" si="558"/>
        <v>4.1300000000000003E-2</v>
      </c>
      <c r="BK185" s="127">
        <f t="shared" si="539"/>
        <v>1401</v>
      </c>
      <c r="BL185" s="128">
        <f t="shared" si="540"/>
        <v>139959.9</v>
      </c>
      <c r="BM185" s="128">
        <f t="shared" si="553"/>
        <v>140100</v>
      </c>
      <c r="BN185" s="128">
        <f t="shared" si="541"/>
        <v>153432.231225</v>
      </c>
      <c r="BO185" s="130">
        <f t="shared" si="478"/>
        <v>4.65E-2</v>
      </c>
      <c r="BP185" s="128">
        <f t="shared" si="479"/>
        <v>159377.73018496876</v>
      </c>
      <c r="BQ185" s="128" t="str">
        <f t="shared" si="480"/>
        <v>nie</v>
      </c>
      <c r="BR185" s="128">
        <f t="shared" si="481"/>
        <v>1401</v>
      </c>
      <c r="BS185" s="128">
        <f t="shared" ref="BS185:BS187" si="566">BP185-BR185
-(BP185-BM185-BR185)*podatek_Belki</f>
        <v>154580.15144982471</v>
      </c>
      <c r="BT185" s="128">
        <f t="shared" si="456"/>
        <v>0</v>
      </c>
      <c r="BU185" s="130">
        <f t="shared" si="482"/>
        <v>4.2500000000000003E-2</v>
      </c>
      <c r="BV185" s="128">
        <f t="shared" si="483"/>
        <v>202.81972593063591</v>
      </c>
      <c r="BW185" s="128">
        <f t="shared" ref="BW185:BW187" si="567">BV184*(1+BU185/12*(1-podatek_Belki))+BS185</f>
        <v>154782.97117575535</v>
      </c>
      <c r="BY185" s="130">
        <f t="shared" si="452"/>
        <v>2.8000000000000001E-2</v>
      </c>
      <c r="BZ185" s="127">
        <f t="shared" si="542"/>
        <v>1331</v>
      </c>
      <c r="CA185" s="128">
        <f t="shared" si="543"/>
        <v>132980.5</v>
      </c>
      <c r="CB185" s="128">
        <f t="shared" ref="CB185:CB187" si="568">IF(CF184="tak",
BZ185*100,
CB184)</f>
        <v>133100</v>
      </c>
      <c r="CC185" s="128">
        <f t="shared" si="562"/>
        <v>133100</v>
      </c>
      <c r="CD185" s="130">
        <f t="shared" si="484"/>
        <v>4.2999999999999997E-2</v>
      </c>
      <c r="CE185" s="128">
        <f t="shared" si="485"/>
        <v>137869.41666666669</v>
      </c>
      <c r="CF185" s="128" t="str">
        <f t="shared" si="486"/>
        <v>nie</v>
      </c>
      <c r="CG185" s="128">
        <f t="shared" si="487"/>
        <v>2662</v>
      </c>
      <c r="CH185" s="128">
        <f t="shared" si="369"/>
        <v>134807.00750000001</v>
      </c>
      <c r="CI185" s="128">
        <f t="shared" si="488"/>
        <v>0</v>
      </c>
      <c r="CJ185" s="130">
        <f t="shared" si="489"/>
        <v>4.2500000000000003E-2</v>
      </c>
      <c r="CK185" s="128">
        <f t="shared" si="490"/>
        <v>15763.706712101835</v>
      </c>
      <c r="CL185" s="128">
        <f t="shared" si="491"/>
        <v>150570.71421210186</v>
      </c>
      <c r="CN185" s="127">
        <f t="shared" si="544"/>
        <v>1495</v>
      </c>
      <c r="CO185" s="128">
        <f t="shared" si="545"/>
        <v>149350.5</v>
      </c>
      <c r="CP185" s="128">
        <f t="shared" si="546"/>
        <v>149500</v>
      </c>
      <c r="CQ185" s="128">
        <f t="shared" si="547"/>
        <v>157872</v>
      </c>
      <c r="CR185" s="130">
        <f t="shared" si="492"/>
        <v>4.8000000000000001E-2</v>
      </c>
      <c r="CS185" s="128">
        <f t="shared" si="493"/>
        <v>164186.88</v>
      </c>
      <c r="CT185" s="128" t="str">
        <f t="shared" si="494"/>
        <v>nie</v>
      </c>
      <c r="CU185" s="128">
        <f t="shared" si="495"/>
        <v>4485</v>
      </c>
      <c r="CV185" s="128">
        <f t="shared" si="496"/>
        <v>157763.52280000001</v>
      </c>
      <c r="CW185" s="128">
        <f t="shared" si="453"/>
        <v>0</v>
      </c>
      <c r="CX185" s="130">
        <f t="shared" si="497"/>
        <v>4.2500000000000003E-2</v>
      </c>
      <c r="CY185" s="128">
        <f t="shared" si="498"/>
        <v>92.02426371678466</v>
      </c>
      <c r="CZ185" s="128">
        <f t="shared" si="499"/>
        <v>157855.5470637168</v>
      </c>
      <c r="DA185" s="20"/>
      <c r="DB185" s="127">
        <f t="shared" si="554"/>
        <v>1267</v>
      </c>
      <c r="DC185" s="128">
        <f t="shared" si="555"/>
        <v>126700</v>
      </c>
      <c r="DD185" s="128">
        <f t="shared" si="548"/>
        <v>126700</v>
      </c>
      <c r="DE185" s="128">
        <f t="shared" si="549"/>
        <v>160782.02171480641</v>
      </c>
      <c r="DF185" s="130">
        <f t="shared" si="500"/>
        <v>4.8000000000000001E-2</v>
      </c>
      <c r="DG185" s="128">
        <f t="shared" si="501"/>
        <v>167213.30258339868</v>
      </c>
      <c r="DH185" s="128" t="str">
        <f t="shared" si="502"/>
        <v>nie</v>
      </c>
      <c r="DI185" s="128">
        <f t="shared" si="503"/>
        <v>2534</v>
      </c>
      <c r="DJ185" s="128">
        <f t="shared" si="559"/>
        <v>157463.23509255293</v>
      </c>
      <c r="DK185" s="128">
        <f t="shared" si="454"/>
        <v>0</v>
      </c>
      <c r="DL185" s="130">
        <f t="shared" si="504"/>
        <v>4.2500000000000003E-2</v>
      </c>
      <c r="DM185" s="128">
        <f t="shared" si="505"/>
        <v>27.722745582591397</v>
      </c>
      <c r="DN185" s="128">
        <f t="shared" si="506"/>
        <v>157490.95783813551</v>
      </c>
      <c r="DP185" s="127">
        <f t="shared" si="556"/>
        <v>1000</v>
      </c>
      <c r="DQ185" s="128">
        <f t="shared" si="557"/>
        <v>100000</v>
      </c>
      <c r="DR185" s="128">
        <f t="shared" si="550"/>
        <v>100000</v>
      </c>
      <c r="DS185" s="128">
        <f t="shared" si="551"/>
        <v>177408.56139287978</v>
      </c>
      <c r="DT185" s="130">
        <f t="shared" si="507"/>
        <v>5.3000000000000005E-2</v>
      </c>
      <c r="DU185" s="128">
        <f t="shared" si="508"/>
        <v>185244.10618773199</v>
      </c>
      <c r="DV185" s="128" t="str">
        <f t="shared" si="509"/>
        <v>nie</v>
      </c>
      <c r="DW185" s="128">
        <f t="shared" si="510"/>
        <v>3000</v>
      </c>
      <c r="DX185" s="128">
        <f t="shared" si="511"/>
        <v>166617.72601206292</v>
      </c>
      <c r="DY185" s="128">
        <f t="shared" si="455"/>
        <v>0</v>
      </c>
      <c r="DZ185" s="130">
        <f t="shared" si="512"/>
        <v>4.2500000000000003E-2</v>
      </c>
      <c r="EA185" s="128">
        <f t="shared" si="513"/>
        <v>0</v>
      </c>
      <c r="EB185" s="128">
        <f t="shared" si="514"/>
        <v>166617.72601206292</v>
      </c>
    </row>
    <row r="186" spans="1:132">
      <c r="A186" s="224"/>
      <c r="B186" s="188">
        <f t="shared" si="515"/>
        <v>142</v>
      </c>
      <c r="C186" s="128">
        <f t="shared" si="516"/>
        <v>156912.28166303501</v>
      </c>
      <c r="D186" s="128">
        <f t="shared" si="517"/>
        <v>154623.76026383994</v>
      </c>
      <c r="E186" s="128">
        <f t="shared" si="518"/>
        <v>154782.97117575535</v>
      </c>
      <c r="F186" s="128">
        <f t="shared" si="519"/>
        <v>150570.71421210186</v>
      </c>
      <c r="G186" s="128">
        <f t="shared" si="520"/>
        <v>157855.5470637168</v>
      </c>
      <c r="H186" s="128">
        <f t="shared" si="521"/>
        <v>157490.95783813551</v>
      </c>
      <c r="I186" s="128">
        <f t="shared" si="522"/>
        <v>166617.72601206292</v>
      </c>
      <c r="J186" s="128">
        <f t="shared" si="523"/>
        <v>150197.25905033178</v>
      </c>
      <c r="K186" s="128">
        <f t="shared" si="524"/>
        <v>138656.86670313671</v>
      </c>
      <c r="M186" s="36"/>
      <c r="N186" s="32">
        <f t="shared" si="525"/>
        <v>142</v>
      </c>
      <c r="O186" s="25">
        <f t="shared" si="526"/>
        <v>0.56912281663035014</v>
      </c>
      <c r="P186" s="25">
        <f t="shared" si="527"/>
        <v>0.54623760263839949</v>
      </c>
      <c r="Q186" s="25">
        <f t="shared" si="528"/>
        <v>0.54782971175755346</v>
      </c>
      <c r="R186" s="25">
        <f t="shared" si="457"/>
        <v>0.50570714212101864</v>
      </c>
      <c r="S186" s="25">
        <f t="shared" si="458"/>
        <v>0.57855547063716806</v>
      </c>
      <c r="T186" s="25">
        <f t="shared" si="459"/>
        <v>0.57490957838135515</v>
      </c>
      <c r="U186" s="25">
        <f t="shared" si="460"/>
        <v>0.66617726012062928</v>
      </c>
      <c r="V186" s="25">
        <f t="shared" si="461"/>
        <v>0.50197259050331766</v>
      </c>
      <c r="W186" s="25">
        <f t="shared" si="462"/>
        <v>0.38656866703136705</v>
      </c>
      <c r="X186" s="36"/>
      <c r="Y186" s="36"/>
      <c r="AA186" s="124">
        <f t="shared" si="529"/>
        <v>143</v>
      </c>
      <c r="AB186" s="128">
        <f t="shared" si="463"/>
        <v>138973.02242526112</v>
      </c>
      <c r="AC186" s="124">
        <f t="shared" si="530"/>
        <v>143</v>
      </c>
      <c r="AD186" s="130">
        <f t="shared" si="531"/>
        <v>4.2500000000000003E-2</v>
      </c>
      <c r="AE186" s="127">
        <f t="shared" si="532"/>
        <v>1530</v>
      </c>
      <c r="AF186" s="128">
        <f t="shared" si="533"/>
        <v>152852.30000000002</v>
      </c>
      <c r="AG186" s="128">
        <f t="shared" si="552"/>
        <v>153000</v>
      </c>
      <c r="AH186" s="128">
        <f t="shared" si="560"/>
        <v>153000</v>
      </c>
      <c r="AI186" s="130">
        <f t="shared" si="464"/>
        <v>4.2500000000000003E-2</v>
      </c>
      <c r="AJ186" s="128">
        <f t="shared" si="465"/>
        <v>153541.87500000003</v>
      </c>
      <c r="AK186" s="128" t="str">
        <f t="shared" si="466"/>
        <v>nie</v>
      </c>
      <c r="AL186" s="128">
        <f t="shared" si="467"/>
        <v>765</v>
      </c>
      <c r="AM186" s="128">
        <f t="shared" si="563"/>
        <v>152819.26875000002</v>
      </c>
      <c r="AN186" s="128">
        <f t="shared" si="468"/>
        <v>438.91875000002358</v>
      </c>
      <c r="AO186" s="130">
        <f t="shared" si="469"/>
        <v>4.2500000000000003E-2</v>
      </c>
      <c r="AP186" s="128">
        <f t="shared" si="470"/>
        <v>4983.8513919933848</v>
      </c>
      <c r="AQ186" s="128">
        <f t="shared" si="564"/>
        <v>157364.20139199338</v>
      </c>
      <c r="AS186" s="124">
        <f t="shared" si="534"/>
        <v>143</v>
      </c>
      <c r="AT186" s="130">
        <f t="shared" si="535"/>
        <v>4.2500000000000003E-2</v>
      </c>
      <c r="AU186" s="127">
        <f t="shared" si="536"/>
        <v>1456</v>
      </c>
      <c r="AV186" s="128">
        <f t="shared" si="537"/>
        <v>145464.5</v>
      </c>
      <c r="AW186" s="128">
        <f t="shared" si="565"/>
        <v>145600</v>
      </c>
      <c r="AX186" s="128">
        <f t="shared" si="561"/>
        <v>145600</v>
      </c>
      <c r="AY186" s="130">
        <f t="shared" si="471"/>
        <v>4.4000000000000004E-2</v>
      </c>
      <c r="AZ186" s="128">
        <f t="shared" si="472"/>
        <v>146133.86666666667</v>
      </c>
      <c r="BA186" s="128" t="str">
        <f t="shared" si="473"/>
        <v>nie</v>
      </c>
      <c r="BB186" s="128">
        <f t="shared" si="474"/>
        <v>1019.1999999999999</v>
      </c>
      <c r="BC186" s="128">
        <f t="shared" si="367"/>
        <v>145206.87999999998</v>
      </c>
      <c r="BD186" s="128">
        <f t="shared" si="475"/>
        <v>432.43200000000161</v>
      </c>
      <c r="BE186" s="130">
        <f t="shared" si="476"/>
        <v>4.2500000000000003E-2</v>
      </c>
      <c r="BF186" s="128">
        <f t="shared" si="477"/>
        <v>10309.999478396858</v>
      </c>
      <c r="BG186" s="128">
        <f t="shared" si="368"/>
        <v>155084.44747839682</v>
      </c>
      <c r="BI186" s="124">
        <f t="shared" si="538"/>
        <v>143</v>
      </c>
      <c r="BJ186" s="130">
        <f t="shared" si="558"/>
        <v>4.1300000000000003E-2</v>
      </c>
      <c r="BK186" s="127">
        <f t="shared" si="539"/>
        <v>1401</v>
      </c>
      <c r="BL186" s="128">
        <f t="shared" si="540"/>
        <v>139959.9</v>
      </c>
      <c r="BM186" s="128">
        <f t="shared" si="553"/>
        <v>140100</v>
      </c>
      <c r="BN186" s="128">
        <f t="shared" si="541"/>
        <v>153432.231225</v>
      </c>
      <c r="BO186" s="130">
        <f t="shared" si="478"/>
        <v>4.65E-2</v>
      </c>
      <c r="BP186" s="128">
        <f t="shared" si="479"/>
        <v>159972.2800809656</v>
      </c>
      <c r="BQ186" s="128" t="str">
        <f t="shared" si="480"/>
        <v>nie</v>
      </c>
      <c r="BR186" s="128">
        <f t="shared" si="481"/>
        <v>1401</v>
      </c>
      <c r="BS186" s="128">
        <f t="shared" si="566"/>
        <v>155061.73686558215</v>
      </c>
      <c r="BT186" s="128">
        <f t="shared" si="456"/>
        <v>0</v>
      </c>
      <c r="BU186" s="130">
        <f t="shared" si="482"/>
        <v>4.2500000000000003E-2</v>
      </c>
      <c r="BV186" s="128">
        <f t="shared" si="483"/>
        <v>203.40156501939941</v>
      </c>
      <c r="BW186" s="128">
        <f t="shared" si="567"/>
        <v>155265.13843060154</v>
      </c>
      <c r="BY186" s="130">
        <f t="shared" si="452"/>
        <v>2.8000000000000001E-2</v>
      </c>
      <c r="BZ186" s="127">
        <f t="shared" si="542"/>
        <v>1331</v>
      </c>
      <c r="CA186" s="128">
        <f t="shared" si="543"/>
        <v>132980.5</v>
      </c>
      <c r="CB186" s="128">
        <f t="shared" si="568"/>
        <v>133100</v>
      </c>
      <c r="CC186" s="128">
        <f t="shared" si="562"/>
        <v>133100</v>
      </c>
      <c r="CD186" s="130">
        <f t="shared" si="484"/>
        <v>4.2999999999999997E-2</v>
      </c>
      <c r="CE186" s="128">
        <f t="shared" si="485"/>
        <v>138346.35833333334</v>
      </c>
      <c r="CF186" s="128" t="str">
        <f t="shared" si="486"/>
        <v>nie</v>
      </c>
      <c r="CG186" s="128">
        <f t="shared" si="487"/>
        <v>2662</v>
      </c>
      <c r="CH186" s="128">
        <f t="shared" si="369"/>
        <v>135193.33025</v>
      </c>
      <c r="CI186" s="128">
        <f t="shared" si="488"/>
        <v>0</v>
      </c>
      <c r="CJ186" s="130">
        <f t="shared" si="489"/>
        <v>4.2500000000000003E-2</v>
      </c>
      <c r="CK186" s="128">
        <f t="shared" si="490"/>
        <v>15808.928845732176</v>
      </c>
      <c r="CL186" s="128">
        <f t="shared" si="491"/>
        <v>151002.25909573218</v>
      </c>
      <c r="CN186" s="127">
        <f t="shared" si="544"/>
        <v>1495</v>
      </c>
      <c r="CO186" s="128">
        <f t="shared" si="545"/>
        <v>149350.5</v>
      </c>
      <c r="CP186" s="128">
        <f t="shared" si="546"/>
        <v>149500</v>
      </c>
      <c r="CQ186" s="128">
        <f t="shared" si="547"/>
        <v>157872</v>
      </c>
      <c r="CR186" s="130">
        <f t="shared" si="492"/>
        <v>4.8000000000000001E-2</v>
      </c>
      <c r="CS186" s="128">
        <f t="shared" si="493"/>
        <v>164818.36800000002</v>
      </c>
      <c r="CT186" s="128" t="str">
        <f t="shared" si="494"/>
        <v>nie</v>
      </c>
      <c r="CU186" s="128">
        <f t="shared" si="495"/>
        <v>4485</v>
      </c>
      <c r="CV186" s="128">
        <f t="shared" si="496"/>
        <v>158275.02808000002</v>
      </c>
      <c r="CW186" s="128">
        <f t="shared" si="453"/>
        <v>0</v>
      </c>
      <c r="CX186" s="130">
        <f t="shared" si="497"/>
        <v>4.2500000000000003E-2</v>
      </c>
      <c r="CY186" s="128">
        <f t="shared" si="498"/>
        <v>92.288258323322182</v>
      </c>
      <c r="CZ186" s="128">
        <f t="shared" si="499"/>
        <v>158367.31633832335</v>
      </c>
      <c r="DA186" s="20"/>
      <c r="DB186" s="127">
        <f t="shared" si="554"/>
        <v>1267</v>
      </c>
      <c r="DC186" s="128">
        <f t="shared" si="555"/>
        <v>126700</v>
      </c>
      <c r="DD186" s="128">
        <f t="shared" si="548"/>
        <v>126700</v>
      </c>
      <c r="DE186" s="128">
        <f t="shared" si="549"/>
        <v>160782.02171480641</v>
      </c>
      <c r="DF186" s="130">
        <f t="shared" si="500"/>
        <v>4.8000000000000001E-2</v>
      </c>
      <c r="DG186" s="128">
        <f t="shared" si="501"/>
        <v>167856.43067025789</v>
      </c>
      <c r="DH186" s="128" t="str">
        <f t="shared" si="502"/>
        <v>nie</v>
      </c>
      <c r="DI186" s="128">
        <f t="shared" si="503"/>
        <v>2534</v>
      </c>
      <c r="DJ186" s="128">
        <f t="shared" si="559"/>
        <v>157984.1688429089</v>
      </c>
      <c r="DK186" s="128">
        <f t="shared" si="454"/>
        <v>0</v>
      </c>
      <c r="DL186" s="130">
        <f t="shared" si="504"/>
        <v>4.2500000000000003E-2</v>
      </c>
      <c r="DM186" s="128">
        <f t="shared" si="505"/>
        <v>27.802275208981456</v>
      </c>
      <c r="DN186" s="128">
        <f t="shared" si="506"/>
        <v>158011.97111811789</v>
      </c>
      <c r="DP186" s="127">
        <f t="shared" si="556"/>
        <v>1000</v>
      </c>
      <c r="DQ186" s="128">
        <f t="shared" si="557"/>
        <v>100000</v>
      </c>
      <c r="DR186" s="128">
        <f t="shared" si="550"/>
        <v>100000</v>
      </c>
      <c r="DS186" s="128">
        <f t="shared" si="551"/>
        <v>177408.56139287978</v>
      </c>
      <c r="DT186" s="130">
        <f t="shared" si="507"/>
        <v>5.3000000000000005E-2</v>
      </c>
      <c r="DU186" s="128">
        <f t="shared" si="508"/>
        <v>186027.66066721722</v>
      </c>
      <c r="DV186" s="128" t="str">
        <f t="shared" si="509"/>
        <v>nie</v>
      </c>
      <c r="DW186" s="128">
        <f t="shared" si="510"/>
        <v>3000</v>
      </c>
      <c r="DX186" s="128">
        <f t="shared" si="511"/>
        <v>167252.40514044595</v>
      </c>
      <c r="DY186" s="128">
        <f t="shared" si="455"/>
        <v>0</v>
      </c>
      <c r="DZ186" s="130">
        <f t="shared" si="512"/>
        <v>4.2500000000000003E-2</v>
      </c>
      <c r="EA186" s="128">
        <f t="shared" si="513"/>
        <v>0</v>
      </c>
      <c r="EB186" s="128">
        <f t="shared" si="514"/>
        <v>167252.40514044595</v>
      </c>
    </row>
    <row r="187" spans="1:132">
      <c r="A187" s="224"/>
      <c r="B187" s="188">
        <f t="shared" si="515"/>
        <v>143</v>
      </c>
      <c r="C187" s="128">
        <f t="shared" si="516"/>
        <v>157364.20139199338</v>
      </c>
      <c r="D187" s="128">
        <f t="shared" si="517"/>
        <v>155084.44747839682</v>
      </c>
      <c r="E187" s="128">
        <f t="shared" si="518"/>
        <v>155265.13843060154</v>
      </c>
      <c r="F187" s="128">
        <f t="shared" si="519"/>
        <v>151002.25909573218</v>
      </c>
      <c r="G187" s="128">
        <f t="shared" si="520"/>
        <v>158367.31633832335</v>
      </c>
      <c r="H187" s="128">
        <f t="shared" si="521"/>
        <v>158011.97111811789</v>
      </c>
      <c r="I187" s="128">
        <f t="shared" si="522"/>
        <v>167252.40514044595</v>
      </c>
      <c r="J187" s="128">
        <f t="shared" si="523"/>
        <v>150628.13743723242</v>
      </c>
      <c r="K187" s="128">
        <f t="shared" si="524"/>
        <v>138973.02242526112</v>
      </c>
      <c r="M187" s="36"/>
      <c r="N187" s="32">
        <f t="shared" si="525"/>
        <v>143</v>
      </c>
      <c r="O187" s="25">
        <f t="shared" si="526"/>
        <v>0.57364201391993386</v>
      </c>
      <c r="P187" s="25">
        <f t="shared" si="527"/>
        <v>0.55084447478396825</v>
      </c>
      <c r="Q187" s="25">
        <f t="shared" si="528"/>
        <v>0.55265138430601546</v>
      </c>
      <c r="R187" s="25">
        <f t="shared" si="457"/>
        <v>0.51002259095732172</v>
      </c>
      <c r="S187" s="25">
        <f t="shared" si="458"/>
        <v>0.5836731633832335</v>
      </c>
      <c r="T187" s="25">
        <f t="shared" si="459"/>
        <v>0.58011971118117889</v>
      </c>
      <c r="U187" s="25">
        <f t="shared" si="460"/>
        <v>0.67252405140445948</v>
      </c>
      <c r="V187" s="25">
        <f t="shared" si="461"/>
        <v>0.50628137437232423</v>
      </c>
      <c r="W187" s="25">
        <f t="shared" si="462"/>
        <v>0.38973022425261128</v>
      </c>
      <c r="X187" s="36"/>
      <c r="Y187" s="36"/>
      <c r="AA187" s="124">
        <f t="shared" si="529"/>
        <v>144</v>
      </c>
      <c r="AB187" s="128">
        <f t="shared" si="463"/>
        <v>139289.17814738554</v>
      </c>
      <c r="AC187" s="124">
        <f t="shared" si="530"/>
        <v>144</v>
      </c>
      <c r="AD187" s="130">
        <f t="shared" si="531"/>
        <v>4.2500000000000003E-2</v>
      </c>
      <c r="AE187" s="127">
        <f t="shared" si="532"/>
        <v>1530</v>
      </c>
      <c r="AF187" s="128">
        <f t="shared" si="533"/>
        <v>152852.30000000002</v>
      </c>
      <c r="AG187" s="128">
        <f t="shared" si="552"/>
        <v>153000</v>
      </c>
      <c r="AH187" s="128">
        <f t="shared" si="560"/>
        <v>153000</v>
      </c>
      <c r="AI187" s="130">
        <f t="shared" si="464"/>
        <v>4.2500000000000003E-2</v>
      </c>
      <c r="AJ187" s="128">
        <f t="shared" si="465"/>
        <v>153541.87500000003</v>
      </c>
      <c r="AK187" s="128" t="str">
        <f t="shared" si="466"/>
        <v>tak</v>
      </c>
      <c r="AL187" s="128">
        <f t="shared" si="467"/>
        <v>0</v>
      </c>
      <c r="AM187" s="128">
        <f t="shared" si="563"/>
        <v>153438.91875000001</v>
      </c>
      <c r="AN187" s="129"/>
      <c r="AO187" s="130">
        <f t="shared" si="469"/>
        <v>4.2500000000000003E-2</v>
      </c>
      <c r="AP187" s="128">
        <f t="shared" si="470"/>
        <v>4998.1488156741661</v>
      </c>
      <c r="AQ187" s="128">
        <f t="shared" si="564"/>
        <v>158437.06756567417</v>
      </c>
      <c r="AS187" s="124">
        <f t="shared" si="534"/>
        <v>144</v>
      </c>
      <c r="AT187" s="130">
        <f t="shared" si="535"/>
        <v>4.2500000000000003E-2</v>
      </c>
      <c r="AU187" s="127">
        <f t="shared" si="536"/>
        <v>1456</v>
      </c>
      <c r="AV187" s="128">
        <f t="shared" si="537"/>
        <v>145464.5</v>
      </c>
      <c r="AW187" s="128">
        <f t="shared" si="565"/>
        <v>145600</v>
      </c>
      <c r="AX187" s="128">
        <f t="shared" si="561"/>
        <v>145600</v>
      </c>
      <c r="AY187" s="130">
        <f t="shared" si="471"/>
        <v>4.4000000000000004E-2</v>
      </c>
      <c r="AZ187" s="128">
        <f t="shared" si="472"/>
        <v>146133.86666666667</v>
      </c>
      <c r="BA187" s="128" t="str">
        <f t="shared" si="473"/>
        <v>tak</v>
      </c>
      <c r="BB187" s="128">
        <f t="shared" si="474"/>
        <v>0</v>
      </c>
      <c r="BC187" s="128">
        <f t="shared" si="367"/>
        <v>146032.432</v>
      </c>
      <c r="BD187" s="129"/>
      <c r="BE187" s="130">
        <f t="shared" si="476"/>
        <v>4.2500000000000003E-2</v>
      </c>
      <c r="BF187" s="128">
        <f t="shared" si="477"/>
        <v>10339.576289400509</v>
      </c>
      <c r="BG187" s="128">
        <f t="shared" si="368"/>
        <v>156372.00828940052</v>
      </c>
      <c r="BI187" s="124">
        <f t="shared" si="538"/>
        <v>144</v>
      </c>
      <c r="BJ187" s="130">
        <f t="shared" si="558"/>
        <v>4.1300000000000003E-2</v>
      </c>
      <c r="BK187" s="127">
        <f t="shared" si="539"/>
        <v>1401</v>
      </c>
      <c r="BL187" s="128">
        <f t="shared" si="540"/>
        <v>139959.9</v>
      </c>
      <c r="BM187" s="128">
        <f t="shared" si="553"/>
        <v>140100</v>
      </c>
      <c r="BN187" s="128">
        <f t="shared" si="541"/>
        <v>153432.231225</v>
      </c>
      <c r="BO187" s="130">
        <f t="shared" si="478"/>
        <v>4.65E-2</v>
      </c>
      <c r="BP187" s="128">
        <f t="shared" si="479"/>
        <v>160566.8299769625</v>
      </c>
      <c r="BQ187" s="128" t="str">
        <f t="shared" si="480"/>
        <v>tak</v>
      </c>
      <c r="BR187" s="128">
        <f t="shared" si="481"/>
        <v>0</v>
      </c>
      <c r="BS187" s="128">
        <f t="shared" si="566"/>
        <v>156678.13228133964</v>
      </c>
      <c r="BT187" s="128" t="e">
        <f>IF(AND(BQ187="tak",#REF!&lt;&gt;""),
 BS187-#REF!,
0)</f>
        <v>#REF!</v>
      </c>
      <c r="BU187" s="130">
        <f t="shared" si="482"/>
        <v>4.2500000000000003E-2</v>
      </c>
      <c r="BV187" s="128" t="e">
        <f t="shared" si="483"/>
        <v>#REF!</v>
      </c>
      <c r="BW187" s="128">
        <f t="shared" si="567"/>
        <v>156882.11735459868</v>
      </c>
      <c r="BY187" s="130">
        <f t="shared" si="452"/>
        <v>2.8000000000000001E-2</v>
      </c>
      <c r="BZ187" s="127">
        <f t="shared" si="542"/>
        <v>1331</v>
      </c>
      <c r="CA187" s="128">
        <f t="shared" si="543"/>
        <v>132980.5</v>
      </c>
      <c r="CB187" s="128">
        <f t="shared" si="568"/>
        <v>133100</v>
      </c>
      <c r="CC187" s="128">
        <f t="shared" si="562"/>
        <v>133100</v>
      </c>
      <c r="CD187" s="130">
        <f t="shared" si="484"/>
        <v>4.2999999999999997E-2</v>
      </c>
      <c r="CE187" s="128">
        <f t="shared" si="485"/>
        <v>138823.29999999999</v>
      </c>
      <c r="CF187" s="128" t="str">
        <f t="shared" si="486"/>
        <v>tak</v>
      </c>
      <c r="CG187" s="128">
        <f t="shared" si="487"/>
        <v>0</v>
      </c>
      <c r="CH187" s="128">
        <f t="shared" si="369"/>
        <v>137735.87299999999</v>
      </c>
      <c r="CI187" s="129"/>
      <c r="CJ187" s="130">
        <f t="shared" si="489"/>
        <v>4.2500000000000003E-2</v>
      </c>
      <c r="CK187" s="128">
        <f t="shared" si="490"/>
        <v>15854.280710358371</v>
      </c>
      <c r="CL187" s="128">
        <f t="shared" si="491"/>
        <v>153590.15371035837</v>
      </c>
      <c r="CN187" s="127">
        <f t="shared" si="544"/>
        <v>1495</v>
      </c>
      <c r="CO187" s="128">
        <f t="shared" si="545"/>
        <v>149350.5</v>
      </c>
      <c r="CP187" s="128">
        <f>IF(CT186="tak",
CN187*100,
CP186)</f>
        <v>149500</v>
      </c>
      <c r="CQ187" s="128">
        <f t="shared" si="547"/>
        <v>157872</v>
      </c>
      <c r="CR187" s="130">
        <f t="shared" si="492"/>
        <v>4.8000000000000001E-2</v>
      </c>
      <c r="CS187" s="128">
        <f t="shared" si="493"/>
        <v>165449.856</v>
      </c>
      <c r="CT187" s="128" t="str">
        <f t="shared" si="494"/>
        <v>nie</v>
      </c>
      <c r="CU187" s="128">
        <f t="shared" si="495"/>
        <v>4485</v>
      </c>
      <c r="CV187" s="128">
        <f t="shared" si="496"/>
        <v>158786.53336</v>
      </c>
      <c r="CW187" s="128" t="e">
        <f>IF(AND(CT187="tak",#REF!&lt;&gt;""),
 CV187-#REF!,
0)</f>
        <v>#REF!</v>
      </c>
      <c r="CX187" s="130">
        <f t="shared" si="497"/>
        <v>4.2500000000000003E-2</v>
      </c>
      <c r="CY187" s="128" t="e">
        <f t="shared" si="498"/>
        <v>#REF!</v>
      </c>
      <c r="CZ187" s="128">
        <f t="shared" si="499"/>
        <v>158879.08637026438</v>
      </c>
      <c r="DA187" s="20"/>
      <c r="DB187" s="127">
        <f t="shared" si="554"/>
        <v>1267</v>
      </c>
      <c r="DC187" s="128">
        <f t="shared" si="555"/>
        <v>126700</v>
      </c>
      <c r="DD187" s="128">
        <f t="shared" si="548"/>
        <v>126700</v>
      </c>
      <c r="DE187" s="128">
        <f t="shared" si="549"/>
        <v>160782.02171480641</v>
      </c>
      <c r="DF187" s="130">
        <f t="shared" si="500"/>
        <v>4.8000000000000001E-2</v>
      </c>
      <c r="DG187" s="128">
        <f t="shared" si="501"/>
        <v>168499.55875711713</v>
      </c>
      <c r="DH187" s="128" t="str">
        <f t="shared" si="502"/>
        <v>tak</v>
      </c>
      <c r="DI187" s="128">
        <f t="shared" si="503"/>
        <v>0</v>
      </c>
      <c r="DJ187" s="128">
        <f t="shared" si="559"/>
        <v>160557.64259326487</v>
      </c>
      <c r="DK187" s="128" t="e">
        <f>IF(AND(DH187="tak",#REF!&lt;&gt;""),
 DJ187-#REF!,
0)</f>
        <v>#REF!</v>
      </c>
      <c r="DL187" s="130">
        <f t="shared" si="504"/>
        <v>4.2500000000000003E-2</v>
      </c>
      <c r="DM187" s="128" t="e">
        <f t="shared" si="505"/>
        <v>#REF!</v>
      </c>
      <c r="DN187" s="128">
        <f t="shared" si="506"/>
        <v>160585.52462625084</v>
      </c>
      <c r="DP187" s="127">
        <f t="shared" si="556"/>
        <v>1000</v>
      </c>
      <c r="DQ187" s="128">
        <f t="shared" si="557"/>
        <v>100000</v>
      </c>
      <c r="DR187" s="128">
        <f t="shared" si="550"/>
        <v>100000</v>
      </c>
      <c r="DS187" s="128">
        <f t="shared" si="551"/>
        <v>177408.56139287978</v>
      </c>
      <c r="DT187" s="130">
        <f t="shared" si="507"/>
        <v>5.3000000000000005E-2</v>
      </c>
      <c r="DU187" s="128">
        <f t="shared" si="508"/>
        <v>186811.21514670239</v>
      </c>
      <c r="DV187" s="128" t="str">
        <f t="shared" si="509"/>
        <v>tak</v>
      </c>
      <c r="DW187" s="128">
        <f t="shared" si="510"/>
        <v>0</v>
      </c>
      <c r="DX187" s="128">
        <f t="shared" si="511"/>
        <v>170317.08426882894</v>
      </c>
      <c r="DY187" s="128" t="e">
        <f>IF(AND(DV187="tak",#REF!&lt;&gt;""),
 DX187-#REF!,
0)</f>
        <v>#REF!</v>
      </c>
      <c r="DZ187" s="130">
        <f t="shared" si="512"/>
        <v>4.2500000000000003E-2</v>
      </c>
      <c r="EA187" s="128" t="e">
        <f t="shared" si="513"/>
        <v>#REF!</v>
      </c>
      <c r="EB187" s="128">
        <f t="shared" si="514"/>
        <v>170317.08426882894</v>
      </c>
    </row>
    <row r="188" spans="1:132">
      <c r="A188" s="224"/>
      <c r="B188" s="188">
        <f t="shared" si="515"/>
        <v>144</v>
      </c>
      <c r="C188" s="128">
        <f t="shared" si="516"/>
        <v>158437.06756567417</v>
      </c>
      <c r="D188" s="128">
        <f t="shared" si="517"/>
        <v>156372.00828940052</v>
      </c>
      <c r="E188" s="128">
        <f t="shared" si="518"/>
        <v>156882.11735459868</v>
      </c>
      <c r="F188" s="128">
        <f t="shared" si="519"/>
        <v>153590.15371035837</v>
      </c>
      <c r="G188" s="128">
        <f t="shared" si="520"/>
        <v>158879.08637026438</v>
      </c>
      <c r="H188" s="128">
        <f t="shared" si="521"/>
        <v>160585.52462625084</v>
      </c>
      <c r="I188" s="128">
        <f t="shared" si="522"/>
        <v>170317.08426882894</v>
      </c>
      <c r="J188" s="128">
        <f t="shared" si="523"/>
        <v>151060.25190650547</v>
      </c>
      <c r="K188" s="128">
        <f t="shared" si="524"/>
        <v>139289.17814738554</v>
      </c>
      <c r="M188" s="36"/>
      <c r="N188" s="32">
        <f t="shared" si="525"/>
        <v>144</v>
      </c>
      <c r="O188" s="25">
        <f t="shared" si="526"/>
        <v>0.58437067565674172</v>
      </c>
      <c r="P188" s="25">
        <f t="shared" si="527"/>
        <v>0.56372008289400521</v>
      </c>
      <c r="Q188" s="25">
        <f t="shared" si="528"/>
        <v>0.56882117354598671</v>
      </c>
      <c r="R188" s="25">
        <f t="shared" si="457"/>
        <v>0.53590153710358379</v>
      </c>
      <c r="S188" s="25">
        <f t="shared" si="458"/>
        <v>0.58879086370264377</v>
      </c>
      <c r="T188" s="25">
        <f t="shared" si="459"/>
        <v>0.60585524626250842</v>
      </c>
      <c r="U188" s="25">
        <f t="shared" si="460"/>
        <v>0.70317084268828944</v>
      </c>
      <c r="V188" s="25">
        <f t="shared" si="461"/>
        <v>0.51060251906505472</v>
      </c>
      <c r="W188" s="25">
        <f t="shared" si="462"/>
        <v>0.39289178147385528</v>
      </c>
      <c r="X188" s="36"/>
      <c r="Y188" s="36"/>
    </row>
  </sheetData>
  <mergeCells count="19">
    <mergeCell ref="A81:A92"/>
    <mergeCell ref="A93:A104"/>
    <mergeCell ref="A165:A176"/>
    <mergeCell ref="A177:A188"/>
    <mergeCell ref="A105:A116"/>
    <mergeCell ref="A117:A128"/>
    <mergeCell ref="A129:A140"/>
    <mergeCell ref="A141:A152"/>
    <mergeCell ref="A153:A164"/>
    <mergeCell ref="N42:W42"/>
    <mergeCell ref="B6:K6"/>
    <mergeCell ref="B2:K2"/>
    <mergeCell ref="B22:K22"/>
    <mergeCell ref="A69:A80"/>
    <mergeCell ref="A43:A44"/>
    <mergeCell ref="A45:A56"/>
    <mergeCell ref="A57:A68"/>
    <mergeCell ref="B41:K41"/>
    <mergeCell ref="B42:K42"/>
  </mergeCells>
  <conditionalFormatting sqref="C9:J9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:J10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:J11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2:J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3:J13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4:J14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5:J1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6:J1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7:J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41">
    <cfRule type="colorScale" priority="34">
      <colorScale>
        <cfvo type="min"/>
        <cfvo type="percentile" val="30"/>
        <cfvo type="max"/>
        <color rgb="FFF8696B"/>
        <color rgb="FFFFEB84"/>
        <color rgb="FF63BE7B"/>
      </colorScale>
    </cfRule>
  </conditionalFormatting>
  <dataValidations count="1">
    <dataValidation type="whole" allowBlank="1" showInputMessage="1" showErrorMessage="1" errorTitle="Uwaga" error="Wpisz liczbę z przedziału od 1 do 144. _x000a__x000a_Dziękuję :)" sqref="B4" xr:uid="{F842CB76-D0DB-4726-8E85-DDBE36F8108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171AD-6959-4519-95F7-5957D204C079}">
  <dimension ref="A1:DZ190"/>
  <sheetViews>
    <sheetView zoomScale="55" zoomScaleNormal="55" workbookViewId="0">
      <selection activeCell="DR15" sqref="DR15"/>
    </sheetView>
  </sheetViews>
  <sheetFormatPr baseColWidth="10" defaultColWidth="8.83203125" defaultRowHeight="15"/>
  <cols>
    <col min="1" max="1" width="9.33203125" style="45" customWidth="1"/>
    <col min="2" max="2" width="4.5" style="45" customWidth="1"/>
    <col min="3" max="3" width="23.33203125" customWidth="1"/>
    <col min="4" max="11" width="20.5" customWidth="1"/>
    <col min="12" max="12" width="4.1640625" style="45" customWidth="1"/>
    <col min="13" max="22" width="20.5" style="45" customWidth="1"/>
    <col min="23" max="23" width="8.1640625" bestFit="1" customWidth="1"/>
    <col min="24" max="24" width="14.33203125" bestFit="1" customWidth="1"/>
    <col min="25" max="25" width="15.5" bestFit="1" customWidth="1"/>
    <col min="26" max="26" width="9" bestFit="1" customWidth="1"/>
    <col min="27" max="27" width="11" bestFit="1" customWidth="1"/>
    <col min="28" max="28" width="12.1640625" bestFit="1" customWidth="1"/>
    <col min="29" max="29" width="12.5" bestFit="1" customWidth="1"/>
    <col min="30" max="30" width="10.83203125" bestFit="1" customWidth="1"/>
    <col min="31" max="31" width="12.1640625" bestFit="1" customWidth="1"/>
    <col min="32" max="33" width="12.6640625" bestFit="1" customWidth="1"/>
    <col min="34" max="39" width="12.6640625" customWidth="1"/>
    <col min="40" max="41" width="18.33203125" customWidth="1"/>
    <col min="42" max="43" width="12.6640625" customWidth="1"/>
    <col min="44" max="45" width="19.1640625" customWidth="1"/>
    <col min="46" max="46" width="20" customWidth="1"/>
    <col min="47" max="47" width="19.1640625" customWidth="1"/>
    <col min="48" max="48" width="20" customWidth="1"/>
    <col min="49" max="50" width="19.1640625" customWidth="1"/>
    <col min="51" max="51" width="13.5" bestFit="1" customWidth="1"/>
    <col min="52" max="52" width="11" bestFit="1" customWidth="1"/>
    <col min="53" max="53" width="19.1640625" customWidth="1"/>
    <col min="54" max="55" width="12.6640625" customWidth="1"/>
    <col min="56" max="56" width="14.6640625" bestFit="1" customWidth="1"/>
    <col min="57" max="57" width="19.1640625" customWidth="1"/>
    <col min="58" max="58" width="12.6640625" customWidth="1"/>
    <col min="59" max="59" width="14.6640625" bestFit="1" customWidth="1"/>
    <col min="60" max="60" width="8.83203125" style="45"/>
    <col min="61" max="61" width="15.5" bestFit="1" customWidth="1"/>
    <col min="62" max="62" width="9" bestFit="1" customWidth="1"/>
    <col min="63" max="63" width="12.5" bestFit="1" customWidth="1"/>
    <col min="64" max="64" width="12.1640625" bestFit="1" customWidth="1"/>
    <col min="65" max="65" width="12.5" bestFit="1" customWidth="1"/>
    <col min="66" max="66" width="10.83203125" bestFit="1" customWidth="1"/>
    <col min="67" max="67" width="12.1640625" bestFit="1" customWidth="1"/>
    <col min="68" max="69" width="12.6640625" bestFit="1" customWidth="1"/>
    <col min="70" max="75" width="12.6640625" customWidth="1"/>
    <col min="76" max="77" width="18.33203125" customWidth="1"/>
    <col min="78" max="79" width="12.6640625" customWidth="1"/>
    <col min="80" max="81" width="19.1640625" customWidth="1"/>
    <col min="82" max="82" width="20" customWidth="1"/>
    <col min="83" max="83" width="19.1640625" customWidth="1"/>
    <col min="84" max="84" width="20" customWidth="1"/>
    <col min="85" max="86" width="19.1640625" customWidth="1"/>
    <col min="87" max="87" width="13.5" bestFit="1" customWidth="1"/>
    <col min="88" max="88" width="11" bestFit="1" customWidth="1"/>
    <col min="89" max="89" width="19.1640625" customWidth="1"/>
    <col min="90" max="91" width="12.6640625" customWidth="1"/>
    <col min="92" max="92" width="14.6640625" bestFit="1" customWidth="1"/>
    <col min="93" max="93" width="19.1640625" customWidth="1"/>
    <col min="94" max="94" width="12.6640625" customWidth="1"/>
    <col min="95" max="95" width="14.6640625" bestFit="1" customWidth="1"/>
    <col min="96" max="96" width="8.6640625" style="45"/>
    <col min="97" max="97" width="9" bestFit="1" customWidth="1"/>
    <col min="98" max="98" width="11" bestFit="1" customWidth="1"/>
    <col min="99" max="99" width="12.1640625" bestFit="1" customWidth="1"/>
    <col min="100" max="100" width="12.5" bestFit="1" customWidth="1"/>
    <col min="101" max="101" width="10.83203125" bestFit="1" customWidth="1"/>
    <col min="102" max="102" width="12.1640625" bestFit="1" customWidth="1"/>
    <col min="103" max="103" width="12.6640625" bestFit="1" customWidth="1"/>
    <col min="104" max="105" width="9.5" bestFit="1" customWidth="1"/>
    <col min="106" max="106" width="11.1640625" bestFit="1" customWidth="1"/>
    <col min="107" max="108" width="9.5" customWidth="1"/>
    <col min="109" max="109" width="15.33203125" customWidth="1"/>
    <col min="110" max="110" width="12.6640625" bestFit="1" customWidth="1"/>
    <col min="111" max="111" width="12.6640625" customWidth="1"/>
    <col min="112" max="112" width="14.6640625" bestFit="1" customWidth="1"/>
    <col min="113" max="113" width="8.6640625" style="13"/>
    <col min="114" max="115" width="11.1640625" style="13" bestFit="1" customWidth="1"/>
    <col min="116" max="130" width="8.6640625" style="13"/>
  </cols>
  <sheetData>
    <row r="1" spans="3:112" ht="25.5" customHeight="1">
      <c r="C1" s="45"/>
      <c r="D1" s="45"/>
      <c r="E1" s="45"/>
      <c r="F1" s="45"/>
      <c r="G1" s="45"/>
      <c r="H1" s="45"/>
      <c r="I1" s="45"/>
      <c r="J1" s="45"/>
      <c r="K1" s="45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</row>
    <row r="2" spans="3:112" ht="33" customHeight="1">
      <c r="C2" s="45"/>
      <c r="D2" s="45"/>
      <c r="E2" s="45"/>
      <c r="F2" s="45"/>
      <c r="G2" s="45"/>
      <c r="H2" s="45"/>
      <c r="I2" s="45"/>
      <c r="J2" s="45"/>
      <c r="K2" s="45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</row>
    <row r="3" spans="3:112" ht="18.75" customHeight="1">
      <c r="C3" s="45"/>
      <c r="D3" s="45"/>
      <c r="E3" s="45"/>
      <c r="F3" s="45"/>
      <c r="G3" s="45"/>
      <c r="H3" s="45"/>
      <c r="I3" s="45"/>
      <c r="J3" s="45"/>
      <c r="K3" s="45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</row>
    <row r="4" spans="3:112" ht="9" customHeight="1">
      <c r="C4" s="45"/>
      <c r="D4" s="45"/>
      <c r="E4" s="45"/>
      <c r="F4" s="45"/>
      <c r="G4" s="45"/>
      <c r="H4" s="45"/>
      <c r="I4" s="45"/>
      <c r="J4" s="45"/>
      <c r="K4" s="45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</row>
    <row r="5" spans="3:112" ht="9" customHeight="1">
      <c r="C5" s="45"/>
      <c r="D5" s="45"/>
      <c r="E5" s="45"/>
      <c r="F5" s="45"/>
      <c r="G5" s="45"/>
      <c r="H5" s="45"/>
      <c r="I5" s="45"/>
      <c r="J5" s="45"/>
      <c r="K5" s="45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</row>
    <row r="6" spans="3:112" ht="9" customHeight="1">
      <c r="C6" s="45"/>
      <c r="D6" s="45"/>
      <c r="E6" s="45"/>
      <c r="F6" s="45"/>
      <c r="G6" s="45"/>
      <c r="H6" s="45"/>
      <c r="I6" s="45"/>
      <c r="J6" s="45"/>
      <c r="K6" s="45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</row>
    <row r="7" spans="3:112" ht="9" customHeight="1">
      <c r="C7" s="45"/>
      <c r="D7" s="45"/>
      <c r="E7" s="45"/>
      <c r="F7" s="45"/>
      <c r="G7" s="45"/>
      <c r="H7" s="45"/>
      <c r="I7" s="45"/>
      <c r="J7" s="45"/>
      <c r="K7" s="45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</row>
    <row r="8" spans="3:112" ht="9" customHeight="1">
      <c r="C8" s="45"/>
      <c r="D8" s="45"/>
      <c r="E8" s="45"/>
      <c r="F8" s="45"/>
      <c r="G8" s="45"/>
      <c r="H8" s="45"/>
      <c r="I8" s="45"/>
      <c r="J8" s="45"/>
      <c r="K8" s="45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</row>
    <row r="9" spans="3:112" ht="33" customHeight="1">
      <c r="C9" s="45"/>
      <c r="D9" s="45"/>
      <c r="E9" s="45"/>
      <c r="F9" s="45"/>
      <c r="G9" s="45"/>
      <c r="H9" s="45"/>
      <c r="I9" s="45"/>
      <c r="J9" s="45"/>
      <c r="K9" s="45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</row>
    <row r="10" spans="3:112" ht="18.75" customHeight="1">
      <c r="C10" s="45"/>
      <c r="D10" s="45"/>
      <c r="E10" s="45"/>
      <c r="F10" s="45"/>
      <c r="G10" s="45"/>
      <c r="H10" s="45"/>
      <c r="I10" s="45"/>
      <c r="J10" s="45"/>
      <c r="K10" s="45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</row>
    <row r="11" spans="3:112" ht="46" customHeight="1">
      <c r="C11" s="45"/>
      <c r="D11" s="45"/>
      <c r="E11" s="45"/>
      <c r="F11" s="45"/>
      <c r="G11" s="45"/>
      <c r="H11" s="45"/>
      <c r="I11" s="45"/>
      <c r="J11" s="45"/>
      <c r="K11" s="45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</row>
    <row r="12" spans="3:112" ht="46" customHeight="1">
      <c r="C12" s="45"/>
      <c r="D12" s="45"/>
      <c r="E12" s="45"/>
      <c r="F12" s="45"/>
      <c r="G12" s="45"/>
      <c r="H12" s="45"/>
      <c r="I12" s="45"/>
      <c r="J12" s="45"/>
      <c r="K12" s="45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</row>
    <row r="13" spans="3:112" ht="46" customHeight="1">
      <c r="C13" s="45"/>
      <c r="D13" s="45"/>
      <c r="E13" s="45"/>
      <c r="F13" s="45"/>
      <c r="G13" s="45"/>
      <c r="H13" s="45"/>
      <c r="I13" s="45"/>
      <c r="J13" s="45"/>
      <c r="K13" s="45"/>
      <c r="X13" s="20"/>
      <c r="Y13" s="199" t="s">
        <v>108</v>
      </c>
      <c r="Z13" s="20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I13" s="199" t="s">
        <v>58</v>
      </c>
      <c r="BJ13" s="20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S13" s="199" t="s">
        <v>59</v>
      </c>
      <c r="CT13" s="20"/>
      <c r="CU13" s="20"/>
      <c r="CV13" s="20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</row>
    <row r="14" spans="3:112" ht="46" customHeight="1">
      <c r="C14" s="45"/>
      <c r="D14" s="45"/>
      <c r="E14" s="45"/>
      <c r="F14" s="45"/>
      <c r="G14" s="45"/>
      <c r="H14" s="45"/>
      <c r="I14" s="45"/>
      <c r="J14" s="45"/>
      <c r="K14" s="45"/>
      <c r="X14" s="20"/>
      <c r="Y14" s="21"/>
      <c r="Z14" s="20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I14" s="21"/>
      <c r="BJ14" s="20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S14" s="21"/>
      <c r="CT14" s="20"/>
      <c r="CU14" s="20"/>
      <c r="CV14" s="20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</row>
    <row r="15" spans="3:112" ht="46" customHeight="1" thickBot="1">
      <c r="C15" s="45"/>
      <c r="D15" s="45"/>
      <c r="E15" s="45"/>
      <c r="F15" s="45"/>
      <c r="G15" s="45"/>
      <c r="H15" s="45"/>
      <c r="I15" s="45"/>
      <c r="J15" s="45"/>
      <c r="K15" s="45"/>
      <c r="X15" s="20"/>
      <c r="Y15" s="21"/>
      <c r="Z15" s="20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I15" s="21"/>
      <c r="BJ15" s="20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S15" s="21"/>
      <c r="CT15" s="20"/>
      <c r="CU15" s="20"/>
      <c r="CV15" s="20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</row>
    <row r="16" spans="3:112" ht="51.75" customHeight="1" thickBot="1">
      <c r="C16" s="69" t="s">
        <v>98</v>
      </c>
      <c r="D16" s="65" t="s">
        <v>104</v>
      </c>
      <c r="E16" s="70" t="s">
        <v>105</v>
      </c>
      <c r="F16" s="42" t="s">
        <v>75</v>
      </c>
      <c r="G16" s="59" t="s">
        <v>74</v>
      </c>
      <c r="H16" s="43" t="s">
        <v>77</v>
      </c>
      <c r="I16" s="46" t="s">
        <v>76</v>
      </c>
      <c r="J16" s="56" t="s">
        <v>68</v>
      </c>
      <c r="K16" s="38" t="s">
        <v>67</v>
      </c>
      <c r="W16" s="15" t="s">
        <v>13</v>
      </c>
      <c r="X16" s="17" t="s">
        <v>21</v>
      </c>
      <c r="Y16" s="60" t="s">
        <v>82</v>
      </c>
      <c r="Z16" s="61" t="s">
        <v>25</v>
      </c>
      <c r="AA16" s="61" t="s">
        <v>23</v>
      </c>
      <c r="AB16" s="61" t="s">
        <v>14</v>
      </c>
      <c r="AC16" s="61" t="s">
        <v>15</v>
      </c>
      <c r="AD16" s="61" t="s">
        <v>17</v>
      </c>
      <c r="AE16" s="61" t="s">
        <v>18</v>
      </c>
      <c r="AF16" s="62" t="s">
        <v>8</v>
      </c>
      <c r="AG16" s="61" t="s">
        <v>16</v>
      </c>
      <c r="AH16" s="61" t="s">
        <v>29</v>
      </c>
      <c r="AI16" s="61" t="s">
        <v>30</v>
      </c>
      <c r="AJ16" s="61" t="s">
        <v>31</v>
      </c>
      <c r="AK16" s="61" t="s">
        <v>32</v>
      </c>
      <c r="AL16" s="61" t="s">
        <v>28</v>
      </c>
      <c r="AM16" s="61" t="s">
        <v>17</v>
      </c>
      <c r="AN16" s="61" t="s">
        <v>34</v>
      </c>
      <c r="AO16" s="61" t="s">
        <v>37</v>
      </c>
      <c r="AP16" s="61" t="s">
        <v>33</v>
      </c>
      <c r="AQ16" s="61" t="s">
        <v>17</v>
      </c>
      <c r="AR16" s="61" t="s">
        <v>35</v>
      </c>
      <c r="AS16" s="61" t="s">
        <v>38</v>
      </c>
      <c r="AT16" s="61" t="s">
        <v>41</v>
      </c>
      <c r="AU16" s="61" t="s">
        <v>36</v>
      </c>
      <c r="AV16" s="61" t="s">
        <v>46</v>
      </c>
      <c r="AW16" s="61" t="s">
        <v>40</v>
      </c>
      <c r="AX16" s="61" t="s">
        <v>46</v>
      </c>
      <c r="AY16" s="61" t="s">
        <v>78</v>
      </c>
      <c r="AZ16" s="61" t="s">
        <v>39</v>
      </c>
      <c r="BA16" s="61" t="s">
        <v>42</v>
      </c>
      <c r="BB16" s="62" t="s">
        <v>44</v>
      </c>
      <c r="BC16" s="61" t="s">
        <v>45</v>
      </c>
      <c r="BD16" s="61" t="s">
        <v>47</v>
      </c>
      <c r="BE16" s="61" t="s">
        <v>43</v>
      </c>
      <c r="BF16" s="62" t="s">
        <v>11</v>
      </c>
      <c r="BG16" s="61" t="s">
        <v>20</v>
      </c>
      <c r="BI16" s="16" t="s">
        <v>12</v>
      </c>
      <c r="BJ16" s="17" t="s">
        <v>25</v>
      </c>
      <c r="BK16" s="17" t="s">
        <v>23</v>
      </c>
      <c r="BL16" s="17" t="s">
        <v>14</v>
      </c>
      <c r="BM16" s="17" t="s">
        <v>15</v>
      </c>
      <c r="BN16" s="17" t="s">
        <v>17</v>
      </c>
      <c r="BO16" s="17" t="s">
        <v>18</v>
      </c>
      <c r="BP16" s="18" t="s">
        <v>8</v>
      </c>
      <c r="BQ16" s="17" t="s">
        <v>16</v>
      </c>
      <c r="BR16" s="17" t="s">
        <v>29</v>
      </c>
      <c r="BS16" s="17" t="s">
        <v>30</v>
      </c>
      <c r="BT16" s="17" t="s">
        <v>31</v>
      </c>
      <c r="BU16" s="17" t="s">
        <v>32</v>
      </c>
      <c r="BV16" s="17" t="s">
        <v>28</v>
      </c>
      <c r="BW16" s="17" t="s">
        <v>17</v>
      </c>
      <c r="BX16" s="17" t="s">
        <v>34</v>
      </c>
      <c r="BY16" s="17" t="s">
        <v>37</v>
      </c>
      <c r="BZ16" s="17" t="s">
        <v>33</v>
      </c>
      <c r="CA16" s="17" t="s">
        <v>17</v>
      </c>
      <c r="CB16" s="17" t="s">
        <v>35</v>
      </c>
      <c r="CC16" s="17" t="s">
        <v>38</v>
      </c>
      <c r="CD16" s="17" t="s">
        <v>41</v>
      </c>
      <c r="CE16" s="17" t="s">
        <v>36</v>
      </c>
      <c r="CF16" s="17" t="s">
        <v>46</v>
      </c>
      <c r="CG16" s="17" t="s">
        <v>40</v>
      </c>
      <c r="CH16" s="17" t="s">
        <v>46</v>
      </c>
      <c r="CI16" s="17" t="s">
        <v>78</v>
      </c>
      <c r="CJ16" s="17" t="s">
        <v>39</v>
      </c>
      <c r="CK16" s="17" t="s">
        <v>42</v>
      </c>
      <c r="CL16" s="18" t="s">
        <v>44</v>
      </c>
      <c r="CM16" s="17" t="s">
        <v>45</v>
      </c>
      <c r="CN16" s="17" t="s">
        <v>47</v>
      </c>
      <c r="CO16" s="17" t="s">
        <v>43</v>
      </c>
      <c r="CP16" s="18" t="s">
        <v>11</v>
      </c>
      <c r="CQ16" s="17" t="s">
        <v>20</v>
      </c>
      <c r="CS16" s="47" t="s">
        <v>25</v>
      </c>
      <c r="CT16" s="47" t="s">
        <v>23</v>
      </c>
      <c r="CU16" s="47" t="s">
        <v>14</v>
      </c>
      <c r="CV16" s="47" t="s">
        <v>15</v>
      </c>
      <c r="CW16" s="47" t="s">
        <v>17</v>
      </c>
      <c r="CX16" s="47" t="s">
        <v>18</v>
      </c>
      <c r="CY16" s="48" t="s">
        <v>8</v>
      </c>
      <c r="CZ16" s="47" t="s">
        <v>49</v>
      </c>
      <c r="DA16" s="47" t="s">
        <v>48</v>
      </c>
      <c r="DB16" s="47" t="s">
        <v>42</v>
      </c>
      <c r="DC16" s="48" t="s">
        <v>44</v>
      </c>
      <c r="DD16" s="47" t="s">
        <v>45</v>
      </c>
      <c r="DE16" s="47" t="s">
        <v>47</v>
      </c>
      <c r="DF16" s="47" t="s">
        <v>43</v>
      </c>
      <c r="DG16" s="48" t="s">
        <v>11</v>
      </c>
      <c r="DH16" s="47" t="s">
        <v>20</v>
      </c>
    </row>
    <row r="17" spans="2:112" ht="51.75" customHeight="1" thickBot="1">
      <c r="B17" s="69"/>
      <c r="C17" s="39">
        <v>50</v>
      </c>
      <c r="D17" s="195">
        <f>INDEX(IKE_wyniki_TOS_preferencje,MATCH(IKE_zakup_domyslny_mc,IKE_wyniki_mc,0))</f>
        <v>119870.86145923173</v>
      </c>
      <c r="E17" s="195">
        <f>INDEX(IKE_wyniki_TOS_I,MATCH(IKE_zakup_domyslny_mc,IKE_wyniki_mc,0))</f>
        <v>115073.61757203174</v>
      </c>
      <c r="F17" s="195">
        <f>INDEX(IKE_wyniki_COI_preferencje,MATCH(IKE_zakup_domyslny_mc,IKE_wyniki_mc,0))</f>
        <v>119801.85809999994</v>
      </c>
      <c r="G17" s="195">
        <f>INDEX(IKE_wyniki_COI_I,MATCH(IKE_zakup_domyslny_mc,IKE_wyniki_mc,0))</f>
        <v>115002.44809999995</v>
      </c>
      <c r="H17" s="195">
        <f>INDEX(IKE_wyniki_EDO_preferencje,MATCH(IKE_zakup_domyslny_mc,IKE_wyniki_mc,0))</f>
        <v>121999.16098732034</v>
      </c>
      <c r="I17" s="195">
        <f>INDEX(IKE_wyniki_EDO_I,MATCH(IKE_zakup_domyslny_mc,IKE_wyniki_mc,0))</f>
        <v>115290.29076314524</v>
      </c>
      <c r="J17" s="197">
        <f>INDEX(J37:J181,MATCH(IKE_zakup_domyslny_mc,C37:C181,0))</f>
        <v>115399.76705254448</v>
      </c>
      <c r="K17" s="196">
        <f>INDEX(IKE_wyniki_skumulowana_inflacja,MATCH(IKE_zakup_domyslny_mc,IKE_wyniki_mc,0))</f>
        <v>112200.41206283946</v>
      </c>
      <c r="W17" s="15"/>
      <c r="X17" s="17"/>
      <c r="Y17" s="60"/>
      <c r="Z17" s="61"/>
      <c r="AA17" s="61"/>
      <c r="AB17" s="61"/>
      <c r="AC17" s="61"/>
      <c r="AD17" s="61"/>
      <c r="AE17" s="61"/>
      <c r="AF17" s="62"/>
      <c r="AG17" s="61"/>
      <c r="AH17" s="7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2"/>
      <c r="BC17" s="61"/>
      <c r="BD17" s="61"/>
      <c r="BE17" s="61"/>
      <c r="BF17" s="62"/>
      <c r="BG17" s="61"/>
      <c r="BI17" s="16"/>
      <c r="BJ17" s="17"/>
      <c r="BK17" s="17"/>
      <c r="BL17" s="17"/>
      <c r="BM17" s="17"/>
      <c r="BN17" s="17"/>
      <c r="BO17" s="17"/>
      <c r="BP17" s="18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8"/>
      <c r="CM17" s="17"/>
      <c r="CN17" s="17"/>
      <c r="CO17" s="17"/>
      <c r="CP17" s="18"/>
      <c r="CQ17" s="17"/>
      <c r="CS17" s="47"/>
      <c r="CT17" s="47"/>
      <c r="CU17" s="47"/>
      <c r="CV17" s="47"/>
      <c r="CW17" s="47"/>
      <c r="CX17" s="47"/>
      <c r="CY17" s="48"/>
      <c r="CZ17" s="47"/>
      <c r="DA17" s="47"/>
      <c r="DB17" s="47"/>
      <c r="DC17" s="48"/>
      <c r="DD17" s="47"/>
      <c r="DE17" s="47"/>
      <c r="DF17" s="47"/>
      <c r="DG17" s="48"/>
      <c r="DH17" s="47"/>
    </row>
    <row r="18" spans="2:112" ht="9.75" customHeight="1" thickBot="1">
      <c r="B18" s="69"/>
      <c r="C18" s="45"/>
      <c r="D18" s="45"/>
      <c r="E18" s="45"/>
      <c r="F18" s="45"/>
      <c r="G18" s="45"/>
      <c r="H18" s="45"/>
      <c r="I18" s="45"/>
      <c r="J18" s="45"/>
      <c r="K18" s="45"/>
      <c r="W18" s="1"/>
      <c r="X18" s="4"/>
      <c r="Y18" s="6"/>
      <c r="Z18" s="5"/>
      <c r="AA18" s="5"/>
      <c r="AB18" s="2"/>
      <c r="AC18" s="2"/>
      <c r="AD18" s="2"/>
      <c r="AE18" s="2"/>
      <c r="AF18" s="1"/>
      <c r="AG18" s="1"/>
      <c r="AI18" s="1">
        <v>2</v>
      </c>
      <c r="AJ18" s="1">
        <v>3</v>
      </c>
      <c r="AK18" s="1">
        <v>4</v>
      </c>
      <c r="AL18" s="1"/>
      <c r="AM18" s="1"/>
      <c r="AN18" s="1"/>
      <c r="AO18" s="1"/>
      <c r="AP18" s="1"/>
      <c r="AQ18" s="1"/>
      <c r="AR18" s="1"/>
      <c r="AS18" s="1"/>
      <c r="AT18" s="2"/>
      <c r="AU18" s="1"/>
      <c r="AV18" s="2"/>
      <c r="AW18" s="1"/>
      <c r="AX18" s="1"/>
      <c r="AY18" s="2"/>
      <c r="AZ18" s="2"/>
      <c r="BA18" s="1"/>
      <c r="BB18" s="1"/>
      <c r="BC18" s="1"/>
      <c r="BD18" s="2"/>
      <c r="BE18" s="1"/>
      <c r="BF18" s="1"/>
      <c r="BG18" s="2"/>
      <c r="BI18" s="6"/>
      <c r="BJ18" s="5"/>
      <c r="BK18" s="5"/>
      <c r="BL18" s="2"/>
      <c r="BM18" s="2"/>
      <c r="BN18" s="2"/>
      <c r="BO18" s="2"/>
      <c r="BP18" s="1"/>
      <c r="BQ18" s="1"/>
      <c r="BR18" s="1"/>
      <c r="BS18" s="1">
        <v>2</v>
      </c>
      <c r="BT18" s="1">
        <v>3</v>
      </c>
      <c r="BU18" s="1">
        <v>4</v>
      </c>
      <c r="BV18" s="1"/>
      <c r="BW18" s="1"/>
      <c r="BX18" s="1"/>
      <c r="BY18" s="1"/>
      <c r="BZ18" s="1"/>
      <c r="CA18" s="1"/>
      <c r="CB18" s="1"/>
      <c r="CC18" s="1"/>
      <c r="CD18" s="2"/>
      <c r="CE18" s="1"/>
      <c r="CF18" s="2"/>
      <c r="CG18" s="1"/>
      <c r="CH18" s="1"/>
      <c r="CI18" s="2"/>
      <c r="CJ18" s="2"/>
      <c r="CK18" s="1"/>
      <c r="CL18" s="1"/>
      <c r="CM18" s="1"/>
      <c r="CN18" s="2"/>
      <c r="CO18" s="1"/>
      <c r="CP18" s="1"/>
      <c r="CQ18" s="2"/>
      <c r="CS18" s="5"/>
      <c r="CT18" s="5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1"/>
      <c r="DG18" s="1"/>
      <c r="DH18" s="2"/>
    </row>
    <row r="19" spans="2:112" ht="81.75" customHeight="1" thickBot="1">
      <c r="B19" s="69"/>
      <c r="C19" s="234" t="s">
        <v>62</v>
      </c>
      <c r="D19" s="232"/>
      <c r="E19" s="232"/>
      <c r="F19" s="232"/>
      <c r="G19" s="232"/>
      <c r="H19" s="232"/>
      <c r="I19" s="232"/>
      <c r="J19" s="232"/>
      <c r="K19" s="233"/>
      <c r="M19" s="230" t="s">
        <v>66</v>
      </c>
      <c r="N19" s="231"/>
      <c r="O19" s="231"/>
      <c r="P19" s="232"/>
      <c r="Q19" s="232"/>
      <c r="R19" s="232"/>
      <c r="S19" s="232"/>
      <c r="T19" s="232"/>
      <c r="U19" s="233"/>
      <c r="W19" s="1">
        <v>1</v>
      </c>
      <c r="X19" s="2">
        <f t="shared" ref="X19:X50" si="0">zakup_domyslny_wartosc*IFERROR((INDEX(scenariusz_I_inflacja_skumulowana,MATCH(ROUNDDOWN(W19/12,0),scenariusz_I_rok,0))+1),1)
*(1+MOD(W19,12)*INDEX(scenariusz_I_inflacja,MATCH(ROUNDUP(W19/12,0),scenariusz_I_rok,0))/12)</f>
        <v>100233.33333333333</v>
      </c>
      <c r="Y19" s="7"/>
      <c r="Z19" s="5">
        <f>zakup_domyslny_ilosc</f>
        <v>1000</v>
      </c>
      <c r="AA19" s="2">
        <f>zakup_domyslny_wartosc</f>
        <v>100000</v>
      </c>
      <c r="AB19" s="2">
        <f>zakup_domyslny_wartosc</f>
        <v>100000</v>
      </c>
      <c r="AC19" s="2">
        <f>zakup_domyslny_wartosc</f>
        <v>100000</v>
      </c>
      <c r="AD19" s="8">
        <f t="shared" ref="AD19:AD50" si="1">IF(AND(MOD($W19,zapadalnosc_TOS)&lt;=zmiana_oprocentowania_co_ile_mc_TOS,MOD($W19,zapadalnosc_TOS)&lt;&gt;0),proc_I_okres_TOS,(marza_TOS+$Y19))</f>
        <v>4.65E-2</v>
      </c>
      <c r="AE19" s="2">
        <f t="shared" ref="AE19:AE82" si="2">AC19*(1+AD19*IF(MOD($W19,12)&lt;&gt;0,MOD($W19,12),12)/12)</f>
        <v>100387.50000000001</v>
      </c>
      <c r="AF19" s="2" t="str">
        <f t="shared" ref="AF19:AF50" si="3">IF(MOD($W19,zapadalnosc_TOS)=0,"tak","nie")</f>
        <v>nie</v>
      </c>
      <c r="AG19" s="2">
        <f t="shared" ref="AG19:AG50" si="4">IF(MOD($W19,zapadalnosc_TOS)=0,0,
IF(AND(MOD($W19,zapadalnosc_TOS)&lt;zapadalnosc_TOS,MOD($W19,zapadalnosc_TOS)&lt;=koszt_wczesniejszy_wykup_ochrona_TOS),
MIN(AE19-AB19,Z19*koszt_wczesniejszy_wykup_TOS),Z19*koszt_wczesniejszy_wykup_TOS))</f>
        <v>387.50000000001455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2">
        <f>IF(AND(AF19="tak",AA20&lt;&gt;""),
 AE19-AA20,
0)</f>
        <v>0</v>
      </c>
      <c r="AU19" s="6"/>
      <c r="AV19" s="2">
        <f t="shared" ref="AV19:AV29" si="5">AZ18+AT19+AU19</f>
        <v>0</v>
      </c>
      <c r="AW19" s="6"/>
      <c r="AX19" s="2">
        <f t="shared" ref="AX19:AX50" si="6">AV19-AW19*zamiana_TOS</f>
        <v>0</v>
      </c>
      <c r="AY19" s="1">
        <f t="shared" ref="AY19:AY29" si="7">ROUNDDOWN(AX19/100,0)</f>
        <v>0</v>
      </c>
      <c r="AZ19" s="2">
        <f>AX19-AY19*100</f>
        <v>0</v>
      </c>
      <c r="BA19" s="2">
        <f t="shared" ref="BA19:BA30" si="8">AE19+AN19+AR19+AZ18</f>
        <v>100387.50000000001</v>
      </c>
      <c r="BB19" s="2">
        <f t="shared" ref="BB19:BB50" si="9">MIN(IF(MOD($W19,12)=0,INDEX(IKE_oplata_wskaznik,MATCH(ROUNDUP($W19/12,0),IKE_oplata_rok,0)),0)*BA19,200)</f>
        <v>0</v>
      </c>
      <c r="BC19" s="2">
        <f>BB19+BC18</f>
        <v>0</v>
      </c>
      <c r="BD19" s="2">
        <f t="shared" ref="BD19:BD82" si="10">BA19-BC19</f>
        <v>100387.50000000001</v>
      </c>
      <c r="BE19" s="2">
        <f>AG19+AO19+AS19</f>
        <v>387.50000000001455</v>
      </c>
      <c r="BF19" s="2">
        <f t="shared" ref="BF19:BF82" si="11">(BA19-BE19-zakup_domyslny_wartosc)*podatek_Belki</f>
        <v>0</v>
      </c>
      <c r="BG19" s="2">
        <f t="shared" ref="BG19:BG82" si="12">BA19-BC19-BE19-BF19</f>
        <v>100000</v>
      </c>
      <c r="BI19" s="7"/>
      <c r="BJ19" s="5">
        <f>zakup_domyslny_ilosc</f>
        <v>1000</v>
      </c>
      <c r="BK19" s="2">
        <f>zakup_domyslny_wartosc</f>
        <v>100000</v>
      </c>
      <c r="BL19" s="2">
        <f>zakup_domyslny_wartosc</f>
        <v>100000</v>
      </c>
      <c r="BM19" s="2">
        <f t="shared" ref="BM19:BM50" si="13">BL19</f>
        <v>100000</v>
      </c>
      <c r="BN19" s="8">
        <f t="shared" ref="BN19:BN50" si="14">IF(AND(MOD($W19,zapadalnosc_COI)&lt;=zmiana_oprocentowania_co_ile_mc_COI,MOD($W19,zapadalnosc_COI)&lt;&gt;0),proc_I_okres_COI,(marza_COI+$BI19))</f>
        <v>0.05</v>
      </c>
      <c r="BO19" s="2">
        <f t="shared" ref="BO19:BO50" si="15">BM19*(1+BN19*IF(MOD($W19,12)&lt;&gt;0,MOD($W19,12),12)/12)</f>
        <v>100416.66666666667</v>
      </c>
      <c r="BP19" s="2" t="str">
        <f t="shared" ref="BP19:BP50" si="16">IF(MOD($W19,zapadalnosc_COI)=0,"tak","nie")</f>
        <v>nie</v>
      </c>
      <c r="BQ19" s="2">
        <f t="shared" ref="BQ19:BQ50" si="17">IF(MOD($W19,zapadalnosc_COI)=0,0,
IF(AND(MOD($W19,zapadalnosc_COI)&lt;zapadalnosc_COI,MOD($W19,zapadalnosc_COI)&lt;=koszt_wczesniejszy_wykup_ochrona_COI),
MIN(BO19-BL19,BJ19*koszt_wczesniejszy_wykup_COI),BJ19*koszt_wczesniejszy_wykup_COI))</f>
        <v>416.66666666667152</v>
      </c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2">
        <f t="shared" ref="CD19:CD50" si="18">IF(MOD($W19,wyplata_odsetek_COI)=0, (BO19-BL19),0)
-IF(AND(BP19="tak",BK20&lt;&gt;""),BK20-BL19,0)</f>
        <v>0</v>
      </c>
      <c r="CE19" s="6"/>
      <c r="CF19" s="2">
        <f t="shared" ref="CF19:CF29" si="19">CJ18+CD19+CE19</f>
        <v>0</v>
      </c>
      <c r="CG19" s="6"/>
      <c r="CH19" s="2">
        <f t="shared" ref="CH19:CH50" si="20">CF19-CG19*zamiana_COI</f>
        <v>0</v>
      </c>
      <c r="CI19" s="1">
        <f t="shared" ref="CI19:CI29" si="21">ROUNDDOWN(CH19/100,0)</f>
        <v>0</v>
      </c>
      <c r="CJ19" s="2">
        <f>CH19-CI19*100</f>
        <v>0</v>
      </c>
      <c r="CK19" s="2">
        <f t="shared" ref="CK19:CK30" si="22">BO19+BX19+CB19+CJ18</f>
        <v>100416.66666666667</v>
      </c>
      <c r="CL19" s="2">
        <f t="shared" ref="CL19:CL50" si="23">MIN(IF(MOD($W19,12)=0,INDEX(IKE_oplata_wskaznik,MATCH(ROUNDUP($W19/12,0),IKE_oplata_rok,0)),0)*CK19,200)</f>
        <v>0</v>
      </c>
      <c r="CM19" s="2">
        <f>CL19+CM18</f>
        <v>0</v>
      </c>
      <c r="CN19" s="2">
        <f t="shared" ref="CN19:CN50" si="24">CK19-CM19</f>
        <v>100416.66666666667</v>
      </c>
      <c r="CO19" s="2">
        <f>BQ19+BY19+CC19</f>
        <v>416.66666666667152</v>
      </c>
      <c r="CP19" s="2">
        <f t="shared" ref="CP19:CP50" si="25">(CK19-CO19-zakup_domyslny_wartosc)*podatek_Belki</f>
        <v>0</v>
      </c>
      <c r="CQ19" s="2">
        <f t="shared" ref="CQ19:CQ50" si="26">CK19-CM19-CO19-CP19</f>
        <v>100000</v>
      </c>
      <c r="CS19" s="5">
        <f>zakup_domyslny_ilosc</f>
        <v>1000</v>
      </c>
      <c r="CT19" s="2">
        <f>zakup_domyslny_wartosc</f>
        <v>100000</v>
      </c>
      <c r="CU19" s="2">
        <f>zakup_domyslny_wartosc</f>
        <v>100000</v>
      </c>
      <c r="CV19" s="2">
        <f>zakup_domyslny_wartosc</f>
        <v>100000</v>
      </c>
      <c r="CW19" s="8">
        <f t="shared" ref="CW19:CW50" si="27">IF(AND(MOD($W19,zapadalnosc_EDO)&lt;=12,MOD($W19,zapadalnosc_EDO)&lt;&gt;0),proc_I_okres_EDO,(marza_EDO+$BI19))</f>
        <v>5.6000000000000001E-2</v>
      </c>
      <c r="CX19" s="2">
        <f t="shared" ref="CX19:CX50" si="28">CV19*(1+CW19*IF(MOD($W19,12)&lt;&gt;0,MOD($W19,12),12)/12)</f>
        <v>100466.66666666666</v>
      </c>
      <c r="CY19" s="2" t="str">
        <f t="shared" ref="CY19:CY50" si="29">IF(MOD($W19,zapadalnosc_EDO)=0,"tak","nie")</f>
        <v>nie</v>
      </c>
      <c r="CZ19" s="2">
        <f>IF(AND(CY19="tak",CT20&lt;&gt;""),
 CX19-CT20,
0)</f>
        <v>0</v>
      </c>
      <c r="DA19" s="2">
        <f>DA18+CZ19</f>
        <v>0</v>
      </c>
      <c r="DB19" s="2">
        <f>DA18+CX19</f>
        <v>100466.66666666666</v>
      </c>
      <c r="DC19" s="2">
        <f t="shared" ref="DC19:DC50" si="30">MIN(IF(MOD(W19,12)=0,INDEX(IKE_oplata_wskaznik,MATCH(ROUNDUP(W19/12,0),IKE_oplata_rok,0)),0)*DB19,200)</f>
        <v>0</v>
      </c>
      <c r="DD19" s="2">
        <f>DC19+DD18</f>
        <v>0</v>
      </c>
      <c r="DE19" s="2">
        <f t="shared" ref="DE19" si="31">DB19-DD19</f>
        <v>100466.66666666666</v>
      </c>
      <c r="DF19" s="2">
        <f t="shared" ref="DF19:DF50" si="32">IF(AND(MOD($W19,zapadalnosc_EDO)&lt;zapadalnosc_EDO,MOD($W19,zapadalnosc_EDO)&lt;&gt;0),MIN(CX19-CU19,CS19*koszt_wczesniejszy_wykup_EDO),0)</f>
        <v>466.66666666665697</v>
      </c>
      <c r="DG19" s="2">
        <f t="shared" ref="DG19:DG50" si="33">(CX19-DF19-zakup_domyslny_wartosc)*podatek_Belki</f>
        <v>0</v>
      </c>
      <c r="DH19" s="2">
        <f>DB19-DD19-DF19-DG19</f>
        <v>100000</v>
      </c>
    </row>
    <row r="20" spans="2:112" ht="64.5" customHeight="1">
      <c r="B20" s="69"/>
      <c r="C20" s="37" t="s">
        <v>7</v>
      </c>
      <c r="D20" s="65" t="s">
        <v>104</v>
      </c>
      <c r="E20" s="70" t="s">
        <v>105</v>
      </c>
      <c r="F20" s="42" t="s">
        <v>75</v>
      </c>
      <c r="G20" s="59" t="s">
        <v>74</v>
      </c>
      <c r="H20" s="43" t="s">
        <v>77</v>
      </c>
      <c r="I20" s="46" t="s">
        <v>76</v>
      </c>
      <c r="J20" s="56" t="s">
        <v>68</v>
      </c>
      <c r="K20" s="38" t="s">
        <v>67</v>
      </c>
      <c r="M20" s="37" t="s">
        <v>7</v>
      </c>
      <c r="N20" s="65" t="s">
        <v>104</v>
      </c>
      <c r="O20" s="70" t="s">
        <v>105</v>
      </c>
      <c r="P20" s="42" t="s">
        <v>75</v>
      </c>
      <c r="Q20" s="59" t="s">
        <v>74</v>
      </c>
      <c r="R20" s="43" t="s">
        <v>77</v>
      </c>
      <c r="S20" s="46" t="s">
        <v>76</v>
      </c>
      <c r="T20" s="56" t="s">
        <v>68</v>
      </c>
      <c r="U20" s="38" t="str">
        <f>OBLIGACJE!$K$23</f>
        <v>Skumulowana INFLACJA</v>
      </c>
      <c r="W20" s="1">
        <f t="shared" ref="W20:W51" si="34">W19+1</f>
        <v>2</v>
      </c>
      <c r="X20" s="2">
        <f t="shared" si="0"/>
        <v>100466.66666666666</v>
      </c>
      <c r="Y20" s="7"/>
      <c r="Z20" s="5">
        <f t="shared" ref="Z20:Z51" si="35">IF(AF19="tak",
ROUNDDOWN(AE19/zamiana_TOS,0),
Z19)</f>
        <v>1000</v>
      </c>
      <c r="AA20" s="2">
        <f t="shared" ref="AA20:AA51" si="36">IF(AF19="tak",
Z20*zamiana_TOS,
AA19)</f>
        <v>100000</v>
      </c>
      <c r="AB20" s="2">
        <f t="shared" ref="AB20:AB83" si="37">IF(AF19="tak",
Z20*100,
AB19)</f>
        <v>100000</v>
      </c>
      <c r="AC20" s="2">
        <f t="shared" ref="AC20:AC51" si="38">IF(AF19="tak",
 AB20,
IF(MOD($W20,kapitalizacja_odsetek_mc_TOS)&lt;&gt;1,AC19,AE19))</f>
        <v>100000</v>
      </c>
      <c r="AD20" s="8">
        <f t="shared" si="1"/>
        <v>4.65E-2</v>
      </c>
      <c r="AE20" s="2">
        <f t="shared" si="2"/>
        <v>100774.99999999999</v>
      </c>
      <c r="AF20" s="2" t="str">
        <f t="shared" si="3"/>
        <v>nie</v>
      </c>
      <c r="AG20" s="2">
        <f t="shared" si="4"/>
        <v>774.99999999998545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2">
        <f t="shared" ref="AT20:AT83" si="39">IF(AND(AF20="tak",AA21&lt;&gt;""),
 AE20-AA21,
0)</f>
        <v>0</v>
      </c>
      <c r="AU20" s="6"/>
      <c r="AV20" s="2">
        <f t="shared" si="5"/>
        <v>0</v>
      </c>
      <c r="AW20" s="6"/>
      <c r="AX20" s="2">
        <f t="shared" si="6"/>
        <v>0</v>
      </c>
      <c r="AY20" s="1">
        <f t="shared" si="7"/>
        <v>0</v>
      </c>
      <c r="AZ20" s="2">
        <f t="shared" ref="AZ20:AZ83" si="40">AX20-AY20*100</f>
        <v>0</v>
      </c>
      <c r="BA20" s="2">
        <f t="shared" si="8"/>
        <v>100774.99999999999</v>
      </c>
      <c r="BB20" s="2">
        <f t="shared" si="9"/>
        <v>0</v>
      </c>
      <c r="BC20" s="2">
        <f t="shared" ref="BC20:BC83" si="41">BB20+BC19</f>
        <v>0</v>
      </c>
      <c r="BD20" s="2">
        <f t="shared" si="10"/>
        <v>100774.99999999999</v>
      </c>
      <c r="BE20" s="2">
        <f t="shared" ref="BE20:BE83" si="42">AG20+AO20+AS20</f>
        <v>774.99999999998545</v>
      </c>
      <c r="BF20" s="2">
        <f t="shared" si="11"/>
        <v>0</v>
      </c>
      <c r="BG20" s="2">
        <f t="shared" si="12"/>
        <v>100000</v>
      </c>
      <c r="BI20" s="7"/>
      <c r="BJ20" s="5">
        <f t="shared" ref="BJ20:BJ51" si="43">IF(BP19="tak",
ROUNDDOWN(BO19/zamiana_COI,0),
BJ19)</f>
        <v>1000</v>
      </c>
      <c r="BK20" s="2">
        <f t="shared" ref="BK20:BK51" si="44">IF(BP19="tak",
BJ20*zamiana_COI,
BK19)</f>
        <v>100000</v>
      </c>
      <c r="BL20" s="2">
        <f t="shared" ref="BL20:BL51" si="45">IF(BP19="tak",
BJ20*100,
BL19)</f>
        <v>100000</v>
      </c>
      <c r="BM20" s="2">
        <f t="shared" si="13"/>
        <v>100000</v>
      </c>
      <c r="BN20" s="8">
        <f t="shared" si="14"/>
        <v>0.05</v>
      </c>
      <c r="BO20" s="2">
        <f t="shared" si="15"/>
        <v>100833.33333333333</v>
      </c>
      <c r="BP20" s="2" t="str">
        <f t="shared" si="16"/>
        <v>nie</v>
      </c>
      <c r="BQ20" s="2">
        <f t="shared" si="17"/>
        <v>833.33333333332848</v>
      </c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2">
        <f t="shared" si="18"/>
        <v>0</v>
      </c>
      <c r="CE20" s="6"/>
      <c r="CF20" s="2">
        <f t="shared" si="19"/>
        <v>0</v>
      </c>
      <c r="CG20" s="6"/>
      <c r="CH20" s="2">
        <f t="shared" si="20"/>
        <v>0</v>
      </c>
      <c r="CI20" s="1">
        <f t="shared" si="21"/>
        <v>0</v>
      </c>
      <c r="CJ20" s="2">
        <f t="shared" ref="CJ20:CJ31" si="46">CH20-CI20*100</f>
        <v>0</v>
      </c>
      <c r="CK20" s="2">
        <f t="shared" si="22"/>
        <v>100833.33333333333</v>
      </c>
      <c r="CL20" s="2">
        <f t="shared" si="23"/>
        <v>0</v>
      </c>
      <c r="CM20" s="2">
        <f t="shared" ref="CM20:CM83" si="47">CL20+CM19</f>
        <v>0</v>
      </c>
      <c r="CN20" s="2">
        <f t="shared" si="24"/>
        <v>100833.33333333333</v>
      </c>
      <c r="CO20" s="2">
        <f t="shared" ref="CO20:CO83" si="48">BQ20+BY20+CC20</f>
        <v>833.33333333332848</v>
      </c>
      <c r="CP20" s="2">
        <f t="shared" si="25"/>
        <v>0</v>
      </c>
      <c r="CQ20" s="2">
        <f t="shared" si="26"/>
        <v>100000</v>
      </c>
      <c r="CS20" s="5">
        <f t="shared" ref="CS20:CS51" si="49">IF(CY19="tak",
ROUNDDOWN(CX19/zamiana_EDO,0),
CS19)</f>
        <v>1000</v>
      </c>
      <c r="CT20" s="2">
        <f t="shared" ref="CT20:CT51" si="50">IF(CY19="tak",
CS20*zamiana_EDO,
CT19)</f>
        <v>100000</v>
      </c>
      <c r="CU20" s="2">
        <f t="shared" ref="CU20:CU51" si="51">IF(CY19="tak",
CS20*100,
CU19)</f>
        <v>100000</v>
      </c>
      <c r="CV20" s="2">
        <f t="shared" ref="CV20:CV51" si="52">IF(CY19="tak",
 CU20,
IF(MOD($W20,kapitalizacja_odsetek_mc_EDO)&lt;&gt;1,CV19,CX19))</f>
        <v>100000</v>
      </c>
      <c r="CW20" s="8">
        <f t="shared" si="27"/>
        <v>5.6000000000000001E-2</v>
      </c>
      <c r="CX20" s="2">
        <f t="shared" si="28"/>
        <v>100933.33333333334</v>
      </c>
      <c r="CY20" s="2" t="str">
        <f t="shared" si="29"/>
        <v>nie</v>
      </c>
      <c r="CZ20" s="2">
        <f t="shared" ref="CZ20:CZ83" si="53">IF(AND(CY20="tak",CT21&lt;&gt;""),
 CX20-CT21,
0)</f>
        <v>0</v>
      </c>
      <c r="DA20" s="2">
        <f t="shared" ref="DA20:DA83" si="54">DA19+CZ20</f>
        <v>0</v>
      </c>
      <c r="DB20" s="2">
        <f t="shared" ref="DB20:DB83" si="55">DA19+CX20</f>
        <v>100933.33333333334</v>
      </c>
      <c r="DC20" s="2">
        <f t="shared" si="30"/>
        <v>0</v>
      </c>
      <c r="DD20" s="2">
        <f t="shared" ref="DD20:DD83" si="56">DC20+DD19</f>
        <v>0</v>
      </c>
      <c r="DE20" s="2">
        <f t="shared" ref="DE20:DE83" si="57">DB20-DD20</f>
        <v>100933.33333333334</v>
      </c>
      <c r="DF20" s="2">
        <f t="shared" si="32"/>
        <v>933.33333333334303</v>
      </c>
      <c r="DG20" s="2">
        <f t="shared" si="33"/>
        <v>0</v>
      </c>
      <c r="DH20" s="2">
        <f t="shared" ref="DH20:DH83" si="58">DB20-DD20-DF20-DG20</f>
        <v>100000</v>
      </c>
    </row>
    <row r="21" spans="2:112">
      <c r="C21" s="51">
        <v>0</v>
      </c>
      <c r="D21" s="2">
        <f t="shared" ref="D21:K21" si="59">zakup_domyslny_wartosc</f>
        <v>100000</v>
      </c>
      <c r="E21" s="2">
        <f t="shared" si="59"/>
        <v>100000</v>
      </c>
      <c r="F21" s="2">
        <f t="shared" si="59"/>
        <v>100000</v>
      </c>
      <c r="G21" s="2">
        <f t="shared" si="59"/>
        <v>100000</v>
      </c>
      <c r="H21" s="2">
        <f t="shared" si="59"/>
        <v>100000</v>
      </c>
      <c r="I21" s="2">
        <f t="shared" si="59"/>
        <v>100000</v>
      </c>
      <c r="J21" s="52">
        <f t="shared" si="59"/>
        <v>100000</v>
      </c>
      <c r="K21" s="44">
        <f t="shared" si="59"/>
        <v>100000</v>
      </c>
      <c r="M21" s="51">
        <v>0</v>
      </c>
      <c r="N21" s="25">
        <f t="shared" ref="N21:N33" si="60">D21/zakup_domyslny_wartosc-1</f>
        <v>0</v>
      </c>
      <c r="O21" s="25">
        <f t="shared" ref="O21:O33" si="61">E21/zakup_domyslny_wartosc-1</f>
        <v>0</v>
      </c>
      <c r="P21" s="25">
        <f t="shared" ref="P21:P33" si="62">F21/zakup_domyslny_wartosc-1</f>
        <v>0</v>
      </c>
      <c r="Q21" s="25">
        <f t="shared" ref="Q21:Q33" si="63">G21/zakup_domyslny_wartosc-1</f>
        <v>0</v>
      </c>
      <c r="R21" s="25">
        <f t="shared" ref="R21:R33" si="64">H21/zakup_domyslny_wartosc-1</f>
        <v>0</v>
      </c>
      <c r="S21" s="25">
        <f t="shared" ref="S21:S33" si="65">I21/zakup_domyslny_wartosc-1</f>
        <v>0</v>
      </c>
      <c r="T21" s="25">
        <f t="shared" ref="T21:T33" si="66">J21/zakup_domyslny_wartosc-1</f>
        <v>0</v>
      </c>
      <c r="U21" s="27">
        <f t="shared" ref="U21:U33" si="67">K21/zakup_domyslny_wartosc-1</f>
        <v>0</v>
      </c>
      <c r="W21" s="1">
        <f t="shared" si="34"/>
        <v>3</v>
      </c>
      <c r="X21" s="2">
        <f t="shared" si="0"/>
        <v>100699.99999999999</v>
      </c>
      <c r="Y21" s="7"/>
      <c r="Z21" s="5">
        <f t="shared" si="35"/>
        <v>1000</v>
      </c>
      <c r="AA21" s="2">
        <f t="shared" si="36"/>
        <v>100000</v>
      </c>
      <c r="AB21" s="2">
        <f t="shared" si="37"/>
        <v>100000</v>
      </c>
      <c r="AC21" s="2">
        <f t="shared" si="38"/>
        <v>100000</v>
      </c>
      <c r="AD21" s="8">
        <f t="shared" si="1"/>
        <v>4.65E-2</v>
      </c>
      <c r="AE21" s="2">
        <f t="shared" si="2"/>
        <v>101162.5</v>
      </c>
      <c r="AF21" s="2" t="str">
        <f t="shared" si="3"/>
        <v>nie</v>
      </c>
      <c r="AG21" s="2">
        <f t="shared" si="4"/>
        <v>1000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2">
        <f t="shared" si="39"/>
        <v>0</v>
      </c>
      <c r="AU21" s="6"/>
      <c r="AV21" s="2">
        <f t="shared" si="5"/>
        <v>0</v>
      </c>
      <c r="AW21" s="6"/>
      <c r="AX21" s="2">
        <f t="shared" si="6"/>
        <v>0</v>
      </c>
      <c r="AY21" s="1">
        <f t="shared" si="7"/>
        <v>0</v>
      </c>
      <c r="AZ21" s="2">
        <f t="shared" si="40"/>
        <v>0</v>
      </c>
      <c r="BA21" s="2">
        <f t="shared" si="8"/>
        <v>101162.5</v>
      </c>
      <c r="BB21" s="2">
        <f t="shared" si="9"/>
        <v>0</v>
      </c>
      <c r="BC21" s="2">
        <f t="shared" si="41"/>
        <v>0</v>
      </c>
      <c r="BD21" s="2">
        <f t="shared" si="10"/>
        <v>101162.5</v>
      </c>
      <c r="BE21" s="2">
        <f t="shared" si="42"/>
        <v>1000</v>
      </c>
      <c r="BF21" s="2">
        <f t="shared" si="11"/>
        <v>30.875</v>
      </c>
      <c r="BG21" s="2">
        <f t="shared" si="12"/>
        <v>100131.625</v>
      </c>
      <c r="BI21" s="7"/>
      <c r="BJ21" s="5">
        <f t="shared" si="43"/>
        <v>1000</v>
      </c>
      <c r="BK21" s="2">
        <f t="shared" si="44"/>
        <v>100000</v>
      </c>
      <c r="BL21" s="2">
        <f t="shared" si="45"/>
        <v>100000</v>
      </c>
      <c r="BM21" s="2">
        <f t="shared" si="13"/>
        <v>100000</v>
      </c>
      <c r="BN21" s="8">
        <f t="shared" si="14"/>
        <v>0.05</v>
      </c>
      <c r="BO21" s="2">
        <f t="shared" si="15"/>
        <v>101250</v>
      </c>
      <c r="BP21" s="2" t="str">
        <f t="shared" si="16"/>
        <v>nie</v>
      </c>
      <c r="BQ21" s="2">
        <f t="shared" si="17"/>
        <v>1250</v>
      </c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2">
        <f t="shared" si="18"/>
        <v>0</v>
      </c>
      <c r="CE21" s="6"/>
      <c r="CF21" s="2">
        <f t="shared" si="19"/>
        <v>0</v>
      </c>
      <c r="CG21" s="6"/>
      <c r="CH21" s="2">
        <f t="shared" si="20"/>
        <v>0</v>
      </c>
      <c r="CI21" s="1">
        <f t="shared" si="21"/>
        <v>0</v>
      </c>
      <c r="CJ21" s="2">
        <f t="shared" si="46"/>
        <v>0</v>
      </c>
      <c r="CK21" s="2">
        <f t="shared" si="22"/>
        <v>101250</v>
      </c>
      <c r="CL21" s="2">
        <f t="shared" si="23"/>
        <v>0</v>
      </c>
      <c r="CM21" s="2">
        <f t="shared" si="47"/>
        <v>0</v>
      </c>
      <c r="CN21" s="2">
        <f t="shared" si="24"/>
        <v>101250</v>
      </c>
      <c r="CO21" s="2">
        <f t="shared" si="48"/>
        <v>1250</v>
      </c>
      <c r="CP21" s="2">
        <f t="shared" si="25"/>
        <v>0</v>
      </c>
      <c r="CQ21" s="2">
        <f t="shared" si="26"/>
        <v>100000</v>
      </c>
      <c r="CS21" s="5">
        <f t="shared" si="49"/>
        <v>1000</v>
      </c>
      <c r="CT21" s="2">
        <f t="shared" si="50"/>
        <v>100000</v>
      </c>
      <c r="CU21" s="2">
        <f t="shared" si="51"/>
        <v>100000</v>
      </c>
      <c r="CV21" s="2">
        <f t="shared" si="52"/>
        <v>100000</v>
      </c>
      <c r="CW21" s="8">
        <f t="shared" si="27"/>
        <v>5.6000000000000001E-2</v>
      </c>
      <c r="CX21" s="2">
        <f t="shared" si="28"/>
        <v>101400</v>
      </c>
      <c r="CY21" s="2" t="str">
        <f t="shared" si="29"/>
        <v>nie</v>
      </c>
      <c r="CZ21" s="2">
        <f t="shared" si="53"/>
        <v>0</v>
      </c>
      <c r="DA21" s="2">
        <f t="shared" si="54"/>
        <v>0</v>
      </c>
      <c r="DB21" s="2">
        <f t="shared" si="55"/>
        <v>101400</v>
      </c>
      <c r="DC21" s="2">
        <f t="shared" si="30"/>
        <v>0</v>
      </c>
      <c r="DD21" s="2">
        <f t="shared" si="56"/>
        <v>0</v>
      </c>
      <c r="DE21" s="2">
        <f t="shared" si="57"/>
        <v>101400</v>
      </c>
      <c r="DF21" s="2">
        <f t="shared" si="32"/>
        <v>1400</v>
      </c>
      <c r="DG21" s="2">
        <f t="shared" si="33"/>
        <v>0</v>
      </c>
      <c r="DH21" s="2">
        <f t="shared" si="58"/>
        <v>100000</v>
      </c>
    </row>
    <row r="22" spans="2:112">
      <c r="C22" s="23">
        <v>1</v>
      </c>
      <c r="D22" s="2">
        <f t="shared" ref="D22:D33" si="68">INDEX(IKE_wyniki_TOS_preferencje,MATCH(C22*12,IKE_wyniki_mc,0))</f>
        <v>104650</v>
      </c>
      <c r="E22" s="2">
        <f t="shared" ref="E22:E33" si="69">INDEX(IKE_wyniki_TOS_I,MATCH(C22*12,IKE_wyniki_mc,0))</f>
        <v>102956.5</v>
      </c>
      <c r="F22" s="2">
        <f t="shared" ref="F22:F33" si="70">INDEX(IKE_wyniki_COI_preferencje,MATCH(C22*12,IKE_wyniki_mc,0))</f>
        <v>105000</v>
      </c>
      <c r="G22" s="2">
        <f t="shared" ref="G22:G33" si="71">INDEX(IKE_wyniki_COI_I,MATCH(C22*12,IKE_wyniki_mc,0))</f>
        <v>102430</v>
      </c>
      <c r="H22" s="2">
        <f t="shared" ref="H22:H33" si="72">INDEX(IKE_wyniki_EDO_preferencje,MATCH(C22*12,IKE_wyniki_mc,0))</f>
        <v>105600</v>
      </c>
      <c r="I22" s="2">
        <f t="shared" ref="I22:I33" si="73">INDEX(IKE_wyniki_EDO_I,MATCH(C22*12,IKE_wyniki_mc,0))</f>
        <v>102106</v>
      </c>
      <c r="J22" s="52">
        <f t="shared" ref="J22:J33" si="74">FV(INDEX(scenariusz_I_konto,MATCH(C22,scenariusz_I_rok,0))/12*(1-podatek_Belki),12,0,-J21,1)</f>
        <v>103497.33896192575</v>
      </c>
      <c r="K22" s="44">
        <f t="shared" ref="K22:K33" si="75">INDEX(IKE_wyniki_skumulowana_inflacja,MATCH(C22*12,IKE_wyniki_mc,0))</f>
        <v>102800</v>
      </c>
      <c r="M22" s="23">
        <v>1</v>
      </c>
      <c r="N22" s="25">
        <f t="shared" si="60"/>
        <v>4.6499999999999986E-2</v>
      </c>
      <c r="O22" s="25">
        <f t="shared" si="61"/>
        <v>2.9565000000000063E-2</v>
      </c>
      <c r="P22" s="25">
        <f t="shared" si="62"/>
        <v>5.0000000000000044E-2</v>
      </c>
      <c r="Q22" s="25">
        <f t="shared" si="63"/>
        <v>2.4299999999999988E-2</v>
      </c>
      <c r="R22" s="25">
        <f t="shared" si="64"/>
        <v>5.600000000000005E-2</v>
      </c>
      <c r="S22" s="26">
        <f t="shared" si="65"/>
        <v>2.1060000000000079E-2</v>
      </c>
      <c r="T22" s="25">
        <f t="shared" si="66"/>
        <v>3.4973389619257444E-2</v>
      </c>
      <c r="U22" s="27">
        <f t="shared" si="67"/>
        <v>2.8000000000000025E-2</v>
      </c>
      <c r="W22" s="1">
        <f t="shared" si="34"/>
        <v>4</v>
      </c>
      <c r="X22" s="2">
        <f t="shared" si="0"/>
        <v>100933.33333333334</v>
      </c>
      <c r="Y22" s="7"/>
      <c r="Z22" s="5">
        <f t="shared" si="35"/>
        <v>1000</v>
      </c>
      <c r="AA22" s="2">
        <f t="shared" si="36"/>
        <v>100000</v>
      </c>
      <c r="AB22" s="2">
        <f t="shared" si="37"/>
        <v>100000</v>
      </c>
      <c r="AC22" s="2">
        <f t="shared" si="38"/>
        <v>100000</v>
      </c>
      <c r="AD22" s="8">
        <f t="shared" si="1"/>
        <v>4.65E-2</v>
      </c>
      <c r="AE22" s="2">
        <f t="shared" si="2"/>
        <v>101550</v>
      </c>
      <c r="AF22" s="2" t="str">
        <f t="shared" si="3"/>
        <v>nie</v>
      </c>
      <c r="AG22" s="2">
        <f t="shared" si="4"/>
        <v>1000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2">
        <f t="shared" si="39"/>
        <v>0</v>
      </c>
      <c r="AU22" s="6"/>
      <c r="AV22" s="2">
        <f t="shared" si="5"/>
        <v>0</v>
      </c>
      <c r="AW22" s="6"/>
      <c r="AX22" s="2">
        <f t="shared" si="6"/>
        <v>0</v>
      </c>
      <c r="AY22" s="1">
        <f t="shared" si="7"/>
        <v>0</v>
      </c>
      <c r="AZ22" s="2">
        <f t="shared" si="40"/>
        <v>0</v>
      </c>
      <c r="BA22" s="2">
        <f t="shared" si="8"/>
        <v>101550</v>
      </c>
      <c r="BB22" s="2">
        <f t="shared" si="9"/>
        <v>0</v>
      </c>
      <c r="BC22" s="2">
        <f t="shared" si="41"/>
        <v>0</v>
      </c>
      <c r="BD22" s="2">
        <f t="shared" si="10"/>
        <v>101550</v>
      </c>
      <c r="BE22" s="2">
        <f t="shared" si="42"/>
        <v>1000</v>
      </c>
      <c r="BF22" s="2">
        <f t="shared" si="11"/>
        <v>104.5</v>
      </c>
      <c r="BG22" s="2">
        <f t="shared" si="12"/>
        <v>100445.5</v>
      </c>
      <c r="BI22" s="7"/>
      <c r="BJ22" s="5">
        <f t="shared" si="43"/>
        <v>1000</v>
      </c>
      <c r="BK22" s="2">
        <f t="shared" si="44"/>
        <v>100000</v>
      </c>
      <c r="BL22" s="2">
        <f t="shared" si="45"/>
        <v>100000</v>
      </c>
      <c r="BM22" s="2">
        <f t="shared" si="13"/>
        <v>100000</v>
      </c>
      <c r="BN22" s="8">
        <f t="shared" si="14"/>
        <v>0.05</v>
      </c>
      <c r="BO22" s="2">
        <f t="shared" si="15"/>
        <v>101666.66666666666</v>
      </c>
      <c r="BP22" s="2" t="str">
        <f t="shared" si="16"/>
        <v>nie</v>
      </c>
      <c r="BQ22" s="2">
        <f t="shared" si="17"/>
        <v>1666.666666666657</v>
      </c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2">
        <f t="shared" si="18"/>
        <v>0</v>
      </c>
      <c r="CE22" s="6"/>
      <c r="CF22" s="2">
        <f t="shared" si="19"/>
        <v>0</v>
      </c>
      <c r="CG22" s="6"/>
      <c r="CH22" s="2">
        <f t="shared" si="20"/>
        <v>0</v>
      </c>
      <c r="CI22" s="1">
        <f t="shared" si="21"/>
        <v>0</v>
      </c>
      <c r="CJ22" s="2">
        <f t="shared" si="46"/>
        <v>0</v>
      </c>
      <c r="CK22" s="2">
        <f t="shared" si="22"/>
        <v>101666.66666666666</v>
      </c>
      <c r="CL22" s="2">
        <f t="shared" si="23"/>
        <v>0</v>
      </c>
      <c r="CM22" s="2">
        <f t="shared" si="47"/>
        <v>0</v>
      </c>
      <c r="CN22" s="2">
        <f t="shared" si="24"/>
        <v>101666.66666666666</v>
      </c>
      <c r="CO22" s="2">
        <f t="shared" si="48"/>
        <v>1666.666666666657</v>
      </c>
      <c r="CP22" s="2">
        <f t="shared" si="25"/>
        <v>0</v>
      </c>
      <c r="CQ22" s="2">
        <f t="shared" si="26"/>
        <v>100000</v>
      </c>
      <c r="CS22" s="5">
        <f t="shared" si="49"/>
        <v>1000</v>
      </c>
      <c r="CT22" s="2">
        <f t="shared" si="50"/>
        <v>100000</v>
      </c>
      <c r="CU22" s="2">
        <f t="shared" si="51"/>
        <v>100000</v>
      </c>
      <c r="CV22" s="2">
        <f t="shared" si="52"/>
        <v>100000</v>
      </c>
      <c r="CW22" s="8">
        <f t="shared" si="27"/>
        <v>5.6000000000000001E-2</v>
      </c>
      <c r="CX22" s="2">
        <f t="shared" si="28"/>
        <v>101866.66666666666</v>
      </c>
      <c r="CY22" s="2" t="str">
        <f t="shared" si="29"/>
        <v>nie</v>
      </c>
      <c r="CZ22" s="2">
        <f t="shared" si="53"/>
        <v>0</v>
      </c>
      <c r="DA22" s="2">
        <f t="shared" si="54"/>
        <v>0</v>
      </c>
      <c r="DB22" s="2">
        <f t="shared" si="55"/>
        <v>101866.66666666666</v>
      </c>
      <c r="DC22" s="2">
        <f t="shared" si="30"/>
        <v>0</v>
      </c>
      <c r="DD22" s="2">
        <f t="shared" si="56"/>
        <v>0</v>
      </c>
      <c r="DE22" s="2">
        <f t="shared" si="57"/>
        <v>101866.66666666666</v>
      </c>
      <c r="DF22" s="2">
        <f t="shared" si="32"/>
        <v>1866.666666666657</v>
      </c>
      <c r="DG22" s="2">
        <f t="shared" si="33"/>
        <v>0</v>
      </c>
      <c r="DH22" s="2">
        <f t="shared" si="58"/>
        <v>100000</v>
      </c>
    </row>
    <row r="23" spans="2:112">
      <c r="C23" s="23">
        <v>2</v>
      </c>
      <c r="D23" s="2">
        <f t="shared" si="68"/>
        <v>109340.99904</v>
      </c>
      <c r="E23" s="2">
        <f t="shared" si="69"/>
        <v>106722.91628999999</v>
      </c>
      <c r="F23" s="2">
        <f t="shared" si="70"/>
        <v>109374.71999999999</v>
      </c>
      <c r="G23" s="2">
        <f t="shared" si="71"/>
        <v>105859.21999999999</v>
      </c>
      <c r="H23" s="2">
        <f t="shared" si="72"/>
        <v>110491.72992</v>
      </c>
      <c r="I23" s="2">
        <f t="shared" si="73"/>
        <v>106034.65792</v>
      </c>
      <c r="J23" s="52">
        <f t="shared" si="74"/>
        <v>107116.99172199753</v>
      </c>
      <c r="K23" s="44">
        <f t="shared" si="75"/>
        <v>105678.39999999999</v>
      </c>
      <c r="M23" s="23">
        <v>2</v>
      </c>
      <c r="N23" s="25">
        <f t="shared" si="60"/>
        <v>9.3409990399999865E-2</v>
      </c>
      <c r="O23" s="25">
        <f t="shared" si="61"/>
        <v>6.7229162899999917E-2</v>
      </c>
      <c r="P23" s="25">
        <f t="shared" si="62"/>
        <v>9.3747199999999919E-2</v>
      </c>
      <c r="Q23" s="25">
        <f t="shared" si="63"/>
        <v>5.8592199999999872E-2</v>
      </c>
      <c r="R23" s="25">
        <f t="shared" si="64"/>
        <v>0.10491729920000004</v>
      </c>
      <c r="S23" s="26">
        <f t="shared" si="65"/>
        <v>6.0346579199999972E-2</v>
      </c>
      <c r="T23" s="53">
        <f t="shared" si="66"/>
        <v>7.1169917219975343E-2</v>
      </c>
      <c r="U23" s="27">
        <f t="shared" si="67"/>
        <v>5.6783999999999946E-2</v>
      </c>
      <c r="W23" s="1">
        <f t="shared" si="34"/>
        <v>5</v>
      </c>
      <c r="X23" s="2">
        <f t="shared" si="0"/>
        <v>101166.66666666667</v>
      </c>
      <c r="Y23" s="7"/>
      <c r="Z23" s="5">
        <f t="shared" si="35"/>
        <v>1000</v>
      </c>
      <c r="AA23" s="2">
        <f t="shared" si="36"/>
        <v>100000</v>
      </c>
      <c r="AB23" s="2">
        <f t="shared" si="37"/>
        <v>100000</v>
      </c>
      <c r="AC23" s="2">
        <f t="shared" si="38"/>
        <v>100000</v>
      </c>
      <c r="AD23" s="8">
        <f t="shared" si="1"/>
        <v>4.65E-2</v>
      </c>
      <c r="AE23" s="2">
        <f t="shared" si="2"/>
        <v>101937.49999999999</v>
      </c>
      <c r="AF23" s="2" t="str">
        <f t="shared" si="3"/>
        <v>nie</v>
      </c>
      <c r="AG23" s="2">
        <f t="shared" si="4"/>
        <v>1000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2">
        <f t="shared" si="39"/>
        <v>0</v>
      </c>
      <c r="AU23" s="6"/>
      <c r="AV23" s="2">
        <f t="shared" si="5"/>
        <v>0</v>
      </c>
      <c r="AW23" s="6"/>
      <c r="AX23" s="2">
        <f t="shared" si="6"/>
        <v>0</v>
      </c>
      <c r="AY23" s="1">
        <f t="shared" si="7"/>
        <v>0</v>
      </c>
      <c r="AZ23" s="2">
        <f t="shared" si="40"/>
        <v>0</v>
      </c>
      <c r="BA23" s="2">
        <f t="shared" si="8"/>
        <v>101937.49999999999</v>
      </c>
      <c r="BB23" s="2">
        <f t="shared" si="9"/>
        <v>0</v>
      </c>
      <c r="BC23" s="2">
        <f t="shared" si="41"/>
        <v>0</v>
      </c>
      <c r="BD23" s="2">
        <f t="shared" si="10"/>
        <v>101937.49999999999</v>
      </c>
      <c r="BE23" s="2">
        <f t="shared" si="42"/>
        <v>1000</v>
      </c>
      <c r="BF23" s="2">
        <f t="shared" si="11"/>
        <v>178.12499999999724</v>
      </c>
      <c r="BG23" s="2">
        <f t="shared" si="12"/>
        <v>100759.37499999999</v>
      </c>
      <c r="BI23" s="7"/>
      <c r="BJ23" s="5">
        <f t="shared" si="43"/>
        <v>1000</v>
      </c>
      <c r="BK23" s="2">
        <f t="shared" si="44"/>
        <v>100000</v>
      </c>
      <c r="BL23" s="2">
        <f t="shared" si="45"/>
        <v>100000</v>
      </c>
      <c r="BM23" s="2">
        <f t="shared" si="13"/>
        <v>100000</v>
      </c>
      <c r="BN23" s="8">
        <f t="shared" si="14"/>
        <v>0.05</v>
      </c>
      <c r="BO23" s="2">
        <f t="shared" si="15"/>
        <v>102083.33333333333</v>
      </c>
      <c r="BP23" s="2" t="str">
        <f t="shared" si="16"/>
        <v>nie</v>
      </c>
      <c r="BQ23" s="2">
        <f t="shared" si="17"/>
        <v>2000</v>
      </c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2">
        <f t="shared" si="18"/>
        <v>0</v>
      </c>
      <c r="CE23" s="6"/>
      <c r="CF23" s="2">
        <f t="shared" si="19"/>
        <v>0</v>
      </c>
      <c r="CG23" s="6"/>
      <c r="CH23" s="2">
        <f t="shared" si="20"/>
        <v>0</v>
      </c>
      <c r="CI23" s="1">
        <f t="shared" si="21"/>
        <v>0</v>
      </c>
      <c r="CJ23" s="2">
        <f t="shared" si="46"/>
        <v>0</v>
      </c>
      <c r="CK23" s="2">
        <f t="shared" si="22"/>
        <v>102083.33333333333</v>
      </c>
      <c r="CL23" s="2">
        <f t="shared" si="23"/>
        <v>0</v>
      </c>
      <c r="CM23" s="2">
        <f t="shared" si="47"/>
        <v>0</v>
      </c>
      <c r="CN23" s="2">
        <f t="shared" si="24"/>
        <v>102083.33333333333</v>
      </c>
      <c r="CO23" s="2">
        <f t="shared" si="48"/>
        <v>2000</v>
      </c>
      <c r="CP23" s="2">
        <f t="shared" si="25"/>
        <v>15.833333333332412</v>
      </c>
      <c r="CQ23" s="2">
        <f t="shared" si="26"/>
        <v>100067.5</v>
      </c>
      <c r="CS23" s="5">
        <f t="shared" si="49"/>
        <v>1000</v>
      </c>
      <c r="CT23" s="2">
        <f t="shared" si="50"/>
        <v>100000</v>
      </c>
      <c r="CU23" s="2">
        <f t="shared" si="51"/>
        <v>100000</v>
      </c>
      <c r="CV23" s="2">
        <f t="shared" si="52"/>
        <v>100000</v>
      </c>
      <c r="CW23" s="8">
        <f t="shared" si="27"/>
        <v>5.6000000000000001E-2</v>
      </c>
      <c r="CX23" s="2">
        <f t="shared" si="28"/>
        <v>102333.33333333334</v>
      </c>
      <c r="CY23" s="2" t="str">
        <f t="shared" si="29"/>
        <v>nie</v>
      </c>
      <c r="CZ23" s="2">
        <f t="shared" si="53"/>
        <v>0</v>
      </c>
      <c r="DA23" s="2">
        <f t="shared" si="54"/>
        <v>0</v>
      </c>
      <c r="DB23" s="2">
        <f t="shared" si="55"/>
        <v>102333.33333333334</v>
      </c>
      <c r="DC23" s="2">
        <f t="shared" si="30"/>
        <v>0</v>
      </c>
      <c r="DD23" s="2">
        <f t="shared" si="56"/>
        <v>0</v>
      </c>
      <c r="DE23" s="2">
        <f t="shared" si="57"/>
        <v>102333.33333333334</v>
      </c>
      <c r="DF23" s="2">
        <f t="shared" si="32"/>
        <v>2333.333333333343</v>
      </c>
      <c r="DG23" s="2">
        <f t="shared" si="33"/>
        <v>0</v>
      </c>
      <c r="DH23" s="2">
        <f t="shared" si="58"/>
        <v>100000</v>
      </c>
    </row>
    <row r="24" spans="2:112">
      <c r="C24" s="23">
        <v>3</v>
      </c>
      <c r="D24" s="2">
        <f t="shared" si="68"/>
        <v>113692.96026486125</v>
      </c>
      <c r="E24" s="2">
        <f t="shared" si="69"/>
        <v>111025.50369728624</v>
      </c>
      <c r="F24" s="2">
        <f t="shared" si="70"/>
        <v>113943.28499999997</v>
      </c>
      <c r="G24" s="2">
        <f t="shared" si="71"/>
        <v>109454.28499999997</v>
      </c>
      <c r="H24" s="2">
        <f t="shared" si="72"/>
        <v>115629.86096640001</v>
      </c>
      <c r="I24" s="2">
        <f t="shared" si="73"/>
        <v>110163.4895104</v>
      </c>
      <c r="J24" s="52">
        <f t="shared" si="74"/>
        <v>110863.23600833373</v>
      </c>
      <c r="K24" s="44">
        <f t="shared" si="75"/>
        <v>108637.3952</v>
      </c>
      <c r="M24" s="23">
        <v>3</v>
      </c>
      <c r="N24" s="25">
        <f t="shared" si="60"/>
        <v>0.13692960264861243</v>
      </c>
      <c r="O24" s="25">
        <f t="shared" si="61"/>
        <v>0.11025503697286254</v>
      </c>
      <c r="P24" s="25">
        <f t="shared" si="62"/>
        <v>0.13943284999999972</v>
      </c>
      <c r="Q24" s="25">
        <f t="shared" si="63"/>
        <v>9.4542849999999845E-2</v>
      </c>
      <c r="R24" s="25">
        <f t="shared" si="64"/>
        <v>0.156298609664</v>
      </c>
      <c r="S24" s="26">
        <f t="shared" si="65"/>
        <v>0.10163489510400003</v>
      </c>
      <c r="T24" s="53">
        <f t="shared" si="66"/>
        <v>0.10863236008333721</v>
      </c>
      <c r="U24" s="27">
        <f t="shared" si="67"/>
        <v>8.6373951999999976E-2</v>
      </c>
      <c r="W24" s="1">
        <f t="shared" si="34"/>
        <v>6</v>
      </c>
      <c r="X24" s="2">
        <f t="shared" si="0"/>
        <v>101400</v>
      </c>
      <c r="Y24" s="7"/>
      <c r="Z24" s="5">
        <f t="shared" si="35"/>
        <v>1000</v>
      </c>
      <c r="AA24" s="2">
        <f t="shared" si="36"/>
        <v>100000</v>
      </c>
      <c r="AB24" s="2">
        <f t="shared" si="37"/>
        <v>100000</v>
      </c>
      <c r="AC24" s="2">
        <f t="shared" si="38"/>
        <v>100000</v>
      </c>
      <c r="AD24" s="8">
        <f t="shared" si="1"/>
        <v>4.65E-2</v>
      </c>
      <c r="AE24" s="2">
        <f t="shared" si="2"/>
        <v>102325</v>
      </c>
      <c r="AF24" s="2" t="str">
        <f t="shared" si="3"/>
        <v>nie</v>
      </c>
      <c r="AG24" s="2">
        <f t="shared" si="4"/>
        <v>1000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2">
        <f t="shared" si="39"/>
        <v>0</v>
      </c>
      <c r="AU24" s="6"/>
      <c r="AV24" s="2">
        <f t="shared" si="5"/>
        <v>0</v>
      </c>
      <c r="AW24" s="6"/>
      <c r="AX24" s="2">
        <f t="shared" si="6"/>
        <v>0</v>
      </c>
      <c r="AY24" s="1">
        <f t="shared" si="7"/>
        <v>0</v>
      </c>
      <c r="AZ24" s="2">
        <f t="shared" si="40"/>
        <v>0</v>
      </c>
      <c r="BA24" s="2">
        <f t="shared" si="8"/>
        <v>102325</v>
      </c>
      <c r="BB24" s="2">
        <f t="shared" si="9"/>
        <v>0</v>
      </c>
      <c r="BC24" s="2">
        <f t="shared" si="41"/>
        <v>0</v>
      </c>
      <c r="BD24" s="2">
        <f t="shared" si="10"/>
        <v>102325</v>
      </c>
      <c r="BE24" s="2">
        <f t="shared" si="42"/>
        <v>1000</v>
      </c>
      <c r="BF24" s="2">
        <f t="shared" si="11"/>
        <v>251.75</v>
      </c>
      <c r="BG24" s="2">
        <f t="shared" si="12"/>
        <v>101073.25</v>
      </c>
      <c r="BI24" s="7"/>
      <c r="BJ24" s="5">
        <f t="shared" si="43"/>
        <v>1000</v>
      </c>
      <c r="BK24" s="2">
        <f t="shared" si="44"/>
        <v>100000</v>
      </c>
      <c r="BL24" s="2">
        <f t="shared" si="45"/>
        <v>100000</v>
      </c>
      <c r="BM24" s="2">
        <f t="shared" si="13"/>
        <v>100000</v>
      </c>
      <c r="BN24" s="8">
        <f t="shared" si="14"/>
        <v>0.05</v>
      </c>
      <c r="BO24" s="2">
        <f t="shared" si="15"/>
        <v>102499.99999999999</v>
      </c>
      <c r="BP24" s="2" t="str">
        <f t="shared" si="16"/>
        <v>nie</v>
      </c>
      <c r="BQ24" s="2">
        <f t="shared" si="17"/>
        <v>2000</v>
      </c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2">
        <f t="shared" si="18"/>
        <v>0</v>
      </c>
      <c r="CE24" s="6"/>
      <c r="CF24" s="2">
        <f t="shared" si="19"/>
        <v>0</v>
      </c>
      <c r="CG24" s="6"/>
      <c r="CH24" s="2">
        <f t="shared" si="20"/>
        <v>0</v>
      </c>
      <c r="CI24" s="1">
        <f t="shared" si="21"/>
        <v>0</v>
      </c>
      <c r="CJ24" s="2">
        <f t="shared" si="46"/>
        <v>0</v>
      </c>
      <c r="CK24" s="2">
        <f t="shared" si="22"/>
        <v>102499.99999999999</v>
      </c>
      <c r="CL24" s="2">
        <f t="shared" si="23"/>
        <v>0</v>
      </c>
      <c r="CM24" s="2">
        <f t="shared" si="47"/>
        <v>0</v>
      </c>
      <c r="CN24" s="2">
        <f t="shared" si="24"/>
        <v>102499.99999999999</v>
      </c>
      <c r="CO24" s="2">
        <f t="shared" si="48"/>
        <v>2000</v>
      </c>
      <c r="CP24" s="2">
        <f t="shared" si="25"/>
        <v>94.999999999997243</v>
      </c>
      <c r="CQ24" s="2">
        <f t="shared" si="26"/>
        <v>100404.99999999999</v>
      </c>
      <c r="CS24" s="5">
        <f t="shared" si="49"/>
        <v>1000</v>
      </c>
      <c r="CT24" s="2">
        <f t="shared" si="50"/>
        <v>100000</v>
      </c>
      <c r="CU24" s="2">
        <f t="shared" si="51"/>
        <v>100000</v>
      </c>
      <c r="CV24" s="2">
        <f t="shared" si="52"/>
        <v>100000</v>
      </c>
      <c r="CW24" s="8">
        <f t="shared" si="27"/>
        <v>5.6000000000000001E-2</v>
      </c>
      <c r="CX24" s="2">
        <f t="shared" si="28"/>
        <v>102800</v>
      </c>
      <c r="CY24" s="2" t="str">
        <f t="shared" si="29"/>
        <v>nie</v>
      </c>
      <c r="CZ24" s="2">
        <f t="shared" si="53"/>
        <v>0</v>
      </c>
      <c r="DA24" s="2">
        <f t="shared" si="54"/>
        <v>0</v>
      </c>
      <c r="DB24" s="2">
        <f t="shared" si="55"/>
        <v>102800</v>
      </c>
      <c r="DC24" s="2">
        <f t="shared" si="30"/>
        <v>0</v>
      </c>
      <c r="DD24" s="2">
        <f t="shared" si="56"/>
        <v>0</v>
      </c>
      <c r="DE24" s="2">
        <f t="shared" si="57"/>
        <v>102800</v>
      </c>
      <c r="DF24" s="2">
        <f t="shared" si="32"/>
        <v>2800</v>
      </c>
      <c r="DG24" s="2">
        <f t="shared" si="33"/>
        <v>0</v>
      </c>
      <c r="DH24" s="2">
        <f t="shared" si="58"/>
        <v>100000</v>
      </c>
    </row>
    <row r="25" spans="2:112">
      <c r="C25" s="23">
        <v>4</v>
      </c>
      <c r="D25" s="2">
        <f t="shared" si="68"/>
        <v>118945.46767173173</v>
      </c>
      <c r="E25" s="2">
        <f t="shared" si="69"/>
        <v>114324.04860415673</v>
      </c>
      <c r="F25" s="2">
        <f t="shared" si="70"/>
        <v>118719.85809999995</v>
      </c>
      <c r="G25" s="2">
        <f t="shared" si="71"/>
        <v>114835.45309999996</v>
      </c>
      <c r="H25" s="2">
        <f t="shared" si="72"/>
        <v>121026.77710159874</v>
      </c>
      <c r="I25" s="2">
        <f t="shared" si="73"/>
        <v>114502.65981571074</v>
      </c>
      <c r="J25" s="52">
        <f t="shared" si="74"/>
        <v>114740.49915570488</v>
      </c>
      <c r="K25" s="44">
        <f t="shared" si="75"/>
        <v>111679.2422656</v>
      </c>
      <c r="M25" s="23">
        <v>4</v>
      </c>
      <c r="N25" s="25">
        <f t="shared" si="60"/>
        <v>0.18945467671731731</v>
      </c>
      <c r="O25" s="25">
        <f t="shared" si="61"/>
        <v>0.14324048604156725</v>
      </c>
      <c r="P25" s="25">
        <f t="shared" si="62"/>
        <v>0.18719858099999964</v>
      </c>
      <c r="Q25" s="25">
        <f t="shared" si="63"/>
        <v>0.14835453099999962</v>
      </c>
      <c r="R25" s="25">
        <f t="shared" si="64"/>
        <v>0.21026777101598748</v>
      </c>
      <c r="S25" s="26">
        <f t="shared" si="65"/>
        <v>0.14502659815710728</v>
      </c>
      <c r="T25" s="53">
        <f t="shared" si="66"/>
        <v>0.14740499155704878</v>
      </c>
      <c r="U25" s="27">
        <f t="shared" si="67"/>
        <v>0.11679242265599998</v>
      </c>
      <c r="W25" s="1">
        <f t="shared" si="34"/>
        <v>7</v>
      </c>
      <c r="X25" s="2">
        <f t="shared" si="0"/>
        <v>101633.33333333333</v>
      </c>
      <c r="Y25" s="8">
        <f t="shared" ref="Y25:Y56" si="76">MAX(INDEX(scenariusz_I_WIBOR6M,MATCH(ROUNDUP(W25/12,0),scenariusz_I_rok,0)),0)</f>
        <v>4.1300000000000003E-2</v>
      </c>
      <c r="Z25" s="5">
        <f t="shared" si="35"/>
        <v>1000</v>
      </c>
      <c r="AA25" s="2">
        <f t="shared" si="36"/>
        <v>100000</v>
      </c>
      <c r="AB25" s="2">
        <f t="shared" si="37"/>
        <v>100000</v>
      </c>
      <c r="AC25" s="2">
        <f t="shared" si="38"/>
        <v>100000</v>
      </c>
      <c r="AD25" s="8">
        <f t="shared" si="1"/>
        <v>4.65E-2</v>
      </c>
      <c r="AE25" s="2">
        <f t="shared" si="2"/>
        <v>102712.5</v>
      </c>
      <c r="AF25" s="2" t="str">
        <f t="shared" si="3"/>
        <v>nie</v>
      </c>
      <c r="AG25" s="2">
        <f t="shared" si="4"/>
        <v>1000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2">
        <f t="shared" si="39"/>
        <v>0</v>
      </c>
      <c r="AU25" s="6"/>
      <c r="AV25" s="2">
        <f t="shared" si="5"/>
        <v>0</v>
      </c>
      <c r="AW25" s="6"/>
      <c r="AX25" s="2">
        <f t="shared" si="6"/>
        <v>0</v>
      </c>
      <c r="AY25" s="1">
        <f t="shared" si="7"/>
        <v>0</v>
      </c>
      <c r="AZ25" s="2">
        <f t="shared" si="40"/>
        <v>0</v>
      </c>
      <c r="BA25" s="2">
        <f t="shared" si="8"/>
        <v>102712.5</v>
      </c>
      <c r="BB25" s="2">
        <f t="shared" si="9"/>
        <v>0</v>
      </c>
      <c r="BC25" s="2">
        <f t="shared" si="41"/>
        <v>0</v>
      </c>
      <c r="BD25" s="2">
        <f t="shared" si="10"/>
        <v>102712.5</v>
      </c>
      <c r="BE25" s="2">
        <f t="shared" si="42"/>
        <v>1000</v>
      </c>
      <c r="BF25" s="2">
        <f t="shared" si="11"/>
        <v>325.375</v>
      </c>
      <c r="BG25" s="2">
        <f t="shared" si="12"/>
        <v>101387.125</v>
      </c>
      <c r="BI25" s="7"/>
      <c r="BJ25" s="5">
        <f t="shared" si="43"/>
        <v>1000</v>
      </c>
      <c r="BK25" s="2">
        <f t="shared" si="44"/>
        <v>100000</v>
      </c>
      <c r="BL25" s="2">
        <f t="shared" si="45"/>
        <v>100000</v>
      </c>
      <c r="BM25" s="2">
        <f t="shared" si="13"/>
        <v>100000</v>
      </c>
      <c r="BN25" s="8">
        <f t="shared" si="14"/>
        <v>0.05</v>
      </c>
      <c r="BO25" s="2">
        <f t="shared" si="15"/>
        <v>102916.66666666666</v>
      </c>
      <c r="BP25" s="2" t="str">
        <f t="shared" si="16"/>
        <v>nie</v>
      </c>
      <c r="BQ25" s="2">
        <f t="shared" si="17"/>
        <v>2000</v>
      </c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2">
        <f t="shared" si="18"/>
        <v>0</v>
      </c>
      <c r="CE25" s="6"/>
      <c r="CF25" s="2">
        <f t="shared" si="19"/>
        <v>0</v>
      </c>
      <c r="CG25" s="6"/>
      <c r="CH25" s="2">
        <f t="shared" si="20"/>
        <v>0</v>
      </c>
      <c r="CI25" s="1">
        <f t="shared" si="21"/>
        <v>0</v>
      </c>
      <c r="CJ25" s="2">
        <f t="shared" si="46"/>
        <v>0</v>
      </c>
      <c r="CK25" s="2">
        <f t="shared" si="22"/>
        <v>102916.66666666666</v>
      </c>
      <c r="CL25" s="2">
        <f t="shared" si="23"/>
        <v>0</v>
      </c>
      <c r="CM25" s="2">
        <f t="shared" si="47"/>
        <v>0</v>
      </c>
      <c r="CN25" s="2">
        <f t="shared" si="24"/>
        <v>102916.66666666666</v>
      </c>
      <c r="CO25" s="2">
        <f t="shared" si="48"/>
        <v>2000</v>
      </c>
      <c r="CP25" s="2">
        <f t="shared" si="25"/>
        <v>174.16666666666484</v>
      </c>
      <c r="CQ25" s="2">
        <f t="shared" si="26"/>
        <v>100742.49999999999</v>
      </c>
      <c r="CS25" s="5">
        <f t="shared" si="49"/>
        <v>1000</v>
      </c>
      <c r="CT25" s="2">
        <f t="shared" si="50"/>
        <v>100000</v>
      </c>
      <c r="CU25" s="2">
        <f t="shared" si="51"/>
        <v>100000</v>
      </c>
      <c r="CV25" s="2">
        <f t="shared" si="52"/>
        <v>100000</v>
      </c>
      <c r="CW25" s="8">
        <f t="shared" si="27"/>
        <v>5.6000000000000001E-2</v>
      </c>
      <c r="CX25" s="2">
        <f t="shared" si="28"/>
        <v>103266.66666666666</v>
      </c>
      <c r="CY25" s="2" t="str">
        <f t="shared" si="29"/>
        <v>nie</v>
      </c>
      <c r="CZ25" s="2">
        <f t="shared" si="53"/>
        <v>0</v>
      </c>
      <c r="DA25" s="2">
        <f t="shared" si="54"/>
        <v>0</v>
      </c>
      <c r="DB25" s="2">
        <f t="shared" si="55"/>
        <v>103266.66666666666</v>
      </c>
      <c r="DC25" s="2">
        <f t="shared" si="30"/>
        <v>0</v>
      </c>
      <c r="DD25" s="2">
        <f t="shared" si="56"/>
        <v>0</v>
      </c>
      <c r="DE25" s="2">
        <f t="shared" si="57"/>
        <v>103266.66666666666</v>
      </c>
      <c r="DF25" s="2">
        <f t="shared" si="32"/>
        <v>3000</v>
      </c>
      <c r="DG25" s="2">
        <f t="shared" si="33"/>
        <v>50.666666666664824</v>
      </c>
      <c r="DH25" s="2">
        <f t="shared" si="58"/>
        <v>100215.99999999999</v>
      </c>
    </row>
    <row r="26" spans="2:112" ht="14.5" customHeight="1">
      <c r="C26" s="23">
        <v>5</v>
      </c>
      <c r="D26" s="2">
        <f t="shared" si="68"/>
        <v>124335.31563156898</v>
      </c>
      <c r="E26" s="2">
        <f t="shared" si="69"/>
        <v>118658.94764624399</v>
      </c>
      <c r="F26" s="2">
        <f t="shared" si="70"/>
        <v>124527.09354999996</v>
      </c>
      <c r="G26" s="2">
        <f t="shared" si="71"/>
        <v>117805.76854999996</v>
      </c>
      <c r="H26" s="2">
        <f t="shared" si="72"/>
        <v>126695.48344018996</v>
      </c>
      <c r="I26" s="2">
        <f t="shared" si="73"/>
        <v>119062.84852457933</v>
      </c>
      <c r="J26" s="52">
        <f t="shared" si="74"/>
        <v>118753.36333778543</v>
      </c>
      <c r="K26" s="44">
        <f t="shared" si="75"/>
        <v>114806.2610490368</v>
      </c>
      <c r="M26" s="23">
        <v>5</v>
      </c>
      <c r="N26" s="25">
        <f t="shared" si="60"/>
        <v>0.24335315631568988</v>
      </c>
      <c r="O26" s="25">
        <f t="shared" si="61"/>
        <v>0.18658947646243984</v>
      </c>
      <c r="P26" s="25">
        <f t="shared" si="62"/>
        <v>0.24527093549999957</v>
      </c>
      <c r="Q26" s="25">
        <f t="shared" si="63"/>
        <v>0.17805768549999956</v>
      </c>
      <c r="R26" s="25">
        <f t="shared" si="64"/>
        <v>0.26695483440189949</v>
      </c>
      <c r="S26" s="26">
        <f t="shared" si="65"/>
        <v>0.19062848524579334</v>
      </c>
      <c r="T26" s="53">
        <f t="shared" si="66"/>
        <v>0.18753363337785434</v>
      </c>
      <c r="U26" s="27">
        <f t="shared" si="67"/>
        <v>0.14806261049036795</v>
      </c>
      <c r="W26" s="1">
        <f t="shared" si="34"/>
        <v>8</v>
      </c>
      <c r="X26" s="2">
        <f t="shared" si="0"/>
        <v>101866.66666666666</v>
      </c>
      <c r="Y26" s="8">
        <f t="shared" si="76"/>
        <v>4.1300000000000003E-2</v>
      </c>
      <c r="Z26" s="5">
        <f t="shared" si="35"/>
        <v>1000</v>
      </c>
      <c r="AA26" s="2">
        <f t="shared" si="36"/>
        <v>100000</v>
      </c>
      <c r="AB26" s="2">
        <f t="shared" si="37"/>
        <v>100000</v>
      </c>
      <c r="AC26" s="2">
        <f t="shared" si="38"/>
        <v>100000</v>
      </c>
      <c r="AD26" s="8">
        <f t="shared" si="1"/>
        <v>4.65E-2</v>
      </c>
      <c r="AE26" s="2">
        <f t="shared" si="2"/>
        <v>103099.99999999999</v>
      </c>
      <c r="AF26" s="2" t="str">
        <f t="shared" si="3"/>
        <v>nie</v>
      </c>
      <c r="AG26" s="2">
        <f t="shared" si="4"/>
        <v>1000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2">
        <f t="shared" si="39"/>
        <v>0</v>
      </c>
      <c r="AU26" s="6"/>
      <c r="AV26" s="2">
        <f t="shared" si="5"/>
        <v>0</v>
      </c>
      <c r="AW26" s="6"/>
      <c r="AX26" s="2">
        <f t="shared" si="6"/>
        <v>0</v>
      </c>
      <c r="AY26" s="1">
        <f t="shared" si="7"/>
        <v>0</v>
      </c>
      <c r="AZ26" s="2">
        <f t="shared" si="40"/>
        <v>0</v>
      </c>
      <c r="BA26" s="2">
        <f t="shared" si="8"/>
        <v>103099.99999999999</v>
      </c>
      <c r="BB26" s="2">
        <f t="shared" si="9"/>
        <v>0</v>
      </c>
      <c r="BC26" s="2">
        <f t="shared" si="41"/>
        <v>0</v>
      </c>
      <c r="BD26" s="2">
        <f t="shared" si="10"/>
        <v>103099.99999999999</v>
      </c>
      <c r="BE26" s="2">
        <f t="shared" si="42"/>
        <v>1000</v>
      </c>
      <c r="BF26" s="2">
        <f t="shared" si="11"/>
        <v>398.99999999999721</v>
      </c>
      <c r="BG26" s="2">
        <f t="shared" si="12"/>
        <v>101700.99999999999</v>
      </c>
      <c r="BI26" s="7"/>
      <c r="BJ26" s="5">
        <f t="shared" si="43"/>
        <v>1000</v>
      </c>
      <c r="BK26" s="2">
        <f t="shared" si="44"/>
        <v>100000</v>
      </c>
      <c r="BL26" s="2">
        <f t="shared" si="45"/>
        <v>100000</v>
      </c>
      <c r="BM26" s="2">
        <f t="shared" si="13"/>
        <v>100000</v>
      </c>
      <c r="BN26" s="8">
        <f t="shared" si="14"/>
        <v>0.05</v>
      </c>
      <c r="BO26" s="2">
        <f t="shared" si="15"/>
        <v>103333.33333333334</v>
      </c>
      <c r="BP26" s="2" t="str">
        <f t="shared" si="16"/>
        <v>nie</v>
      </c>
      <c r="BQ26" s="2">
        <f t="shared" si="17"/>
        <v>2000</v>
      </c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2">
        <f t="shared" si="18"/>
        <v>0</v>
      </c>
      <c r="CE26" s="6"/>
      <c r="CF26" s="2">
        <f t="shared" si="19"/>
        <v>0</v>
      </c>
      <c r="CG26" s="6"/>
      <c r="CH26" s="2">
        <f t="shared" si="20"/>
        <v>0</v>
      </c>
      <c r="CI26" s="1">
        <f t="shared" si="21"/>
        <v>0</v>
      </c>
      <c r="CJ26" s="2">
        <f t="shared" si="46"/>
        <v>0</v>
      </c>
      <c r="CK26" s="2">
        <f t="shared" si="22"/>
        <v>103333.33333333334</v>
      </c>
      <c r="CL26" s="2">
        <f t="shared" si="23"/>
        <v>0</v>
      </c>
      <c r="CM26" s="2">
        <f t="shared" si="47"/>
        <v>0</v>
      </c>
      <c r="CN26" s="2">
        <f t="shared" si="24"/>
        <v>103333.33333333334</v>
      </c>
      <c r="CO26" s="2">
        <f t="shared" si="48"/>
        <v>2000</v>
      </c>
      <c r="CP26" s="2">
        <f t="shared" si="25"/>
        <v>253.33333333333519</v>
      </c>
      <c r="CQ26" s="2">
        <f t="shared" si="26"/>
        <v>101080.00000000001</v>
      </c>
      <c r="CS26" s="5">
        <f t="shared" si="49"/>
        <v>1000</v>
      </c>
      <c r="CT26" s="2">
        <f t="shared" si="50"/>
        <v>100000</v>
      </c>
      <c r="CU26" s="2">
        <f t="shared" si="51"/>
        <v>100000</v>
      </c>
      <c r="CV26" s="2">
        <f t="shared" si="52"/>
        <v>100000</v>
      </c>
      <c r="CW26" s="8">
        <f t="shared" si="27"/>
        <v>5.6000000000000001E-2</v>
      </c>
      <c r="CX26" s="2">
        <f t="shared" si="28"/>
        <v>103733.33333333334</v>
      </c>
      <c r="CY26" s="2" t="str">
        <f t="shared" si="29"/>
        <v>nie</v>
      </c>
      <c r="CZ26" s="2">
        <f t="shared" si="53"/>
        <v>0</v>
      </c>
      <c r="DA26" s="2">
        <f t="shared" si="54"/>
        <v>0</v>
      </c>
      <c r="DB26" s="2">
        <f t="shared" si="55"/>
        <v>103733.33333333334</v>
      </c>
      <c r="DC26" s="2">
        <f t="shared" si="30"/>
        <v>0</v>
      </c>
      <c r="DD26" s="2">
        <f t="shared" si="56"/>
        <v>0</v>
      </c>
      <c r="DE26" s="2">
        <f t="shared" si="57"/>
        <v>103733.33333333334</v>
      </c>
      <c r="DF26" s="2">
        <f t="shared" si="32"/>
        <v>3000</v>
      </c>
      <c r="DG26" s="2">
        <f t="shared" si="33"/>
        <v>139.33333333333519</v>
      </c>
      <c r="DH26" s="2">
        <f t="shared" si="58"/>
        <v>100594.00000000001</v>
      </c>
    </row>
    <row r="27" spans="2:112" ht="15" customHeight="1">
      <c r="C27" s="23">
        <v>6</v>
      </c>
      <c r="D27" s="2">
        <f t="shared" si="68"/>
        <v>129339.87500861984</v>
      </c>
      <c r="E27" s="2">
        <f t="shared" si="69"/>
        <v>123607.17149744177</v>
      </c>
      <c r="F27" s="2">
        <f t="shared" si="70"/>
        <v>129835.19146999993</v>
      </c>
      <c r="G27" s="2">
        <f t="shared" si="71"/>
        <v>121979.95546999994</v>
      </c>
      <c r="H27" s="2">
        <f t="shared" si="72"/>
        <v>132649.63734692385</v>
      </c>
      <c r="I27" s="2">
        <f t="shared" si="73"/>
        <v>123855.2759553639</v>
      </c>
      <c r="J27" s="52">
        <f t="shared" si="74"/>
        <v>122906.57098239505</v>
      </c>
      <c r="K27" s="44">
        <f t="shared" si="75"/>
        <v>118020.83635840983</v>
      </c>
      <c r="M27" s="23">
        <v>6</v>
      </c>
      <c r="N27" s="25">
        <f t="shared" si="60"/>
        <v>0.29339875008619831</v>
      </c>
      <c r="O27" s="25">
        <f t="shared" si="61"/>
        <v>0.23607171497441759</v>
      </c>
      <c r="P27" s="25">
        <f t="shared" si="62"/>
        <v>0.29835191469999933</v>
      </c>
      <c r="Q27" s="25">
        <f t="shared" si="63"/>
        <v>0.21979955469999934</v>
      </c>
      <c r="R27" s="25">
        <f t="shared" si="64"/>
        <v>0.32649637346923854</v>
      </c>
      <c r="S27" s="26">
        <f t="shared" si="65"/>
        <v>0.23855275955363897</v>
      </c>
      <c r="T27" s="53">
        <f t="shared" si="66"/>
        <v>0.22906570982395036</v>
      </c>
      <c r="U27" s="27">
        <f t="shared" si="67"/>
        <v>0.18020836358409831</v>
      </c>
      <c r="W27" s="1">
        <f t="shared" si="34"/>
        <v>9</v>
      </c>
      <c r="X27" s="2">
        <f t="shared" si="0"/>
        <v>102099.99999999999</v>
      </c>
      <c r="Y27" s="8">
        <f t="shared" si="76"/>
        <v>4.1300000000000003E-2</v>
      </c>
      <c r="Z27" s="5">
        <f t="shared" si="35"/>
        <v>1000</v>
      </c>
      <c r="AA27" s="2">
        <f t="shared" si="36"/>
        <v>100000</v>
      </c>
      <c r="AB27" s="2">
        <f t="shared" si="37"/>
        <v>100000</v>
      </c>
      <c r="AC27" s="2">
        <f t="shared" si="38"/>
        <v>100000</v>
      </c>
      <c r="AD27" s="8">
        <f t="shared" si="1"/>
        <v>4.65E-2</v>
      </c>
      <c r="AE27" s="2">
        <f t="shared" si="2"/>
        <v>103487.5</v>
      </c>
      <c r="AF27" s="2" t="str">
        <f t="shared" si="3"/>
        <v>nie</v>
      </c>
      <c r="AG27" s="2">
        <f t="shared" si="4"/>
        <v>1000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2">
        <f t="shared" si="39"/>
        <v>0</v>
      </c>
      <c r="AU27" s="6"/>
      <c r="AV27" s="2">
        <f t="shared" si="5"/>
        <v>0</v>
      </c>
      <c r="AW27" s="6"/>
      <c r="AX27" s="2">
        <f t="shared" si="6"/>
        <v>0</v>
      </c>
      <c r="AY27" s="1">
        <f t="shared" si="7"/>
        <v>0</v>
      </c>
      <c r="AZ27" s="2">
        <f t="shared" si="40"/>
        <v>0</v>
      </c>
      <c r="BA27" s="2">
        <f t="shared" si="8"/>
        <v>103487.5</v>
      </c>
      <c r="BB27" s="2">
        <f t="shared" si="9"/>
        <v>0</v>
      </c>
      <c r="BC27" s="2">
        <f t="shared" si="41"/>
        <v>0</v>
      </c>
      <c r="BD27" s="2">
        <f t="shared" si="10"/>
        <v>103487.5</v>
      </c>
      <c r="BE27" s="2">
        <f t="shared" si="42"/>
        <v>1000</v>
      </c>
      <c r="BF27" s="2">
        <f t="shared" si="11"/>
        <v>472.625</v>
      </c>
      <c r="BG27" s="2">
        <f t="shared" si="12"/>
        <v>102014.875</v>
      </c>
      <c r="BI27" s="7"/>
      <c r="BJ27" s="5">
        <f t="shared" si="43"/>
        <v>1000</v>
      </c>
      <c r="BK27" s="2">
        <f t="shared" si="44"/>
        <v>100000</v>
      </c>
      <c r="BL27" s="2">
        <f t="shared" si="45"/>
        <v>100000</v>
      </c>
      <c r="BM27" s="2">
        <f t="shared" si="13"/>
        <v>100000</v>
      </c>
      <c r="BN27" s="8">
        <f t="shared" si="14"/>
        <v>0.05</v>
      </c>
      <c r="BO27" s="2">
        <f t="shared" si="15"/>
        <v>103750.00000000001</v>
      </c>
      <c r="BP27" s="2" t="str">
        <f t="shared" si="16"/>
        <v>nie</v>
      </c>
      <c r="BQ27" s="2">
        <f t="shared" si="17"/>
        <v>2000</v>
      </c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2">
        <f t="shared" si="18"/>
        <v>0</v>
      </c>
      <c r="CE27" s="6"/>
      <c r="CF27" s="2">
        <f t="shared" si="19"/>
        <v>0</v>
      </c>
      <c r="CG27" s="6"/>
      <c r="CH27" s="2">
        <f t="shared" si="20"/>
        <v>0</v>
      </c>
      <c r="CI27" s="1">
        <f t="shared" si="21"/>
        <v>0</v>
      </c>
      <c r="CJ27" s="2">
        <f t="shared" si="46"/>
        <v>0</v>
      </c>
      <c r="CK27" s="2">
        <f t="shared" si="22"/>
        <v>103750.00000000001</v>
      </c>
      <c r="CL27" s="2">
        <f t="shared" si="23"/>
        <v>0</v>
      </c>
      <c r="CM27" s="2">
        <f t="shared" si="47"/>
        <v>0</v>
      </c>
      <c r="CN27" s="2">
        <f t="shared" si="24"/>
        <v>103750.00000000001</v>
      </c>
      <c r="CO27" s="2">
        <f t="shared" si="48"/>
        <v>2000</v>
      </c>
      <c r="CP27" s="2">
        <f t="shared" si="25"/>
        <v>332.50000000000279</v>
      </c>
      <c r="CQ27" s="2">
        <f t="shared" si="26"/>
        <v>101417.50000000001</v>
      </c>
      <c r="CS27" s="5">
        <f t="shared" si="49"/>
        <v>1000</v>
      </c>
      <c r="CT27" s="2">
        <f t="shared" si="50"/>
        <v>100000</v>
      </c>
      <c r="CU27" s="2">
        <f t="shared" si="51"/>
        <v>100000</v>
      </c>
      <c r="CV27" s="2">
        <f t="shared" si="52"/>
        <v>100000</v>
      </c>
      <c r="CW27" s="8">
        <f t="shared" si="27"/>
        <v>5.6000000000000001E-2</v>
      </c>
      <c r="CX27" s="2">
        <f t="shared" si="28"/>
        <v>104200</v>
      </c>
      <c r="CY27" s="2" t="str">
        <f t="shared" si="29"/>
        <v>nie</v>
      </c>
      <c r="CZ27" s="2">
        <f t="shared" si="53"/>
        <v>0</v>
      </c>
      <c r="DA27" s="2">
        <f t="shared" si="54"/>
        <v>0</v>
      </c>
      <c r="DB27" s="2">
        <f t="shared" si="55"/>
        <v>104200</v>
      </c>
      <c r="DC27" s="2">
        <f t="shared" si="30"/>
        <v>0</v>
      </c>
      <c r="DD27" s="2">
        <f t="shared" si="56"/>
        <v>0</v>
      </c>
      <c r="DE27" s="2">
        <f t="shared" si="57"/>
        <v>104200</v>
      </c>
      <c r="DF27" s="2">
        <f t="shared" si="32"/>
        <v>3000</v>
      </c>
      <c r="DG27" s="2">
        <f t="shared" si="33"/>
        <v>228</v>
      </c>
      <c r="DH27" s="2">
        <f t="shared" si="58"/>
        <v>100972</v>
      </c>
    </row>
    <row r="28" spans="2:112">
      <c r="C28" s="23">
        <v>7</v>
      </c>
      <c r="D28" s="2">
        <f t="shared" si="68"/>
        <v>135379.0276075025</v>
      </c>
      <c r="E28" s="2">
        <f t="shared" si="69"/>
        <v>127414.95559632443</v>
      </c>
      <c r="F28" s="2">
        <f t="shared" si="70"/>
        <v>135374.79766999994</v>
      </c>
      <c r="G28" s="2">
        <f t="shared" si="71"/>
        <v>126351.05766999995</v>
      </c>
      <c r="H28" s="2">
        <f t="shared" si="72"/>
        <v>138903.58108893796</v>
      </c>
      <c r="I28" s="2">
        <f t="shared" si="73"/>
        <v>128891.73035058315</v>
      </c>
      <c r="J28" s="52">
        <f t="shared" si="74"/>
        <v>127205.03037612927</v>
      </c>
      <c r="K28" s="44">
        <f t="shared" si="75"/>
        <v>121325.41977644531</v>
      </c>
      <c r="M28" s="23">
        <v>7</v>
      </c>
      <c r="N28" s="25">
        <f t="shared" si="60"/>
        <v>0.35379027607502511</v>
      </c>
      <c r="O28" s="25">
        <f t="shared" si="61"/>
        <v>0.27414955596324431</v>
      </c>
      <c r="P28" s="25">
        <f t="shared" si="62"/>
        <v>0.35374797669999936</v>
      </c>
      <c r="Q28" s="25">
        <f t="shared" si="63"/>
        <v>0.26351057669999944</v>
      </c>
      <c r="R28" s="25">
        <f t="shared" si="64"/>
        <v>0.38903581088937966</v>
      </c>
      <c r="S28" s="26">
        <f t="shared" si="65"/>
        <v>0.28891730350583145</v>
      </c>
      <c r="T28" s="53">
        <f t="shared" si="66"/>
        <v>0.27205030376129269</v>
      </c>
      <c r="U28" s="27">
        <f t="shared" si="67"/>
        <v>0.21325419776445309</v>
      </c>
      <c r="W28" s="1">
        <f t="shared" si="34"/>
        <v>10</v>
      </c>
      <c r="X28" s="2">
        <f t="shared" si="0"/>
        <v>102333.33333333334</v>
      </c>
      <c r="Y28" s="8">
        <f t="shared" si="76"/>
        <v>4.1300000000000003E-2</v>
      </c>
      <c r="Z28" s="5">
        <f t="shared" si="35"/>
        <v>1000</v>
      </c>
      <c r="AA28" s="2">
        <f t="shared" si="36"/>
        <v>100000</v>
      </c>
      <c r="AB28" s="2">
        <f t="shared" si="37"/>
        <v>100000</v>
      </c>
      <c r="AC28" s="2">
        <f t="shared" si="38"/>
        <v>100000</v>
      </c>
      <c r="AD28" s="8">
        <f t="shared" si="1"/>
        <v>4.65E-2</v>
      </c>
      <c r="AE28" s="2">
        <f t="shared" si="2"/>
        <v>103875</v>
      </c>
      <c r="AF28" s="2" t="str">
        <f t="shared" si="3"/>
        <v>nie</v>
      </c>
      <c r="AG28" s="2">
        <f t="shared" si="4"/>
        <v>1000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2">
        <f t="shared" si="39"/>
        <v>0</v>
      </c>
      <c r="AU28" s="6"/>
      <c r="AV28" s="2">
        <f t="shared" si="5"/>
        <v>0</v>
      </c>
      <c r="AW28" s="6"/>
      <c r="AX28" s="2">
        <f t="shared" si="6"/>
        <v>0</v>
      </c>
      <c r="AY28" s="1">
        <f t="shared" si="7"/>
        <v>0</v>
      </c>
      <c r="AZ28" s="2">
        <f t="shared" si="40"/>
        <v>0</v>
      </c>
      <c r="BA28" s="2">
        <f t="shared" si="8"/>
        <v>103875</v>
      </c>
      <c r="BB28" s="2">
        <f t="shared" si="9"/>
        <v>0</v>
      </c>
      <c r="BC28" s="2">
        <f t="shared" si="41"/>
        <v>0</v>
      </c>
      <c r="BD28" s="2">
        <f t="shared" si="10"/>
        <v>103875</v>
      </c>
      <c r="BE28" s="2">
        <f t="shared" si="42"/>
        <v>1000</v>
      </c>
      <c r="BF28" s="2">
        <f t="shared" si="11"/>
        <v>546.25</v>
      </c>
      <c r="BG28" s="2">
        <f t="shared" si="12"/>
        <v>102328.75</v>
      </c>
      <c r="BI28" s="7"/>
      <c r="BJ28" s="5">
        <f t="shared" si="43"/>
        <v>1000</v>
      </c>
      <c r="BK28" s="2">
        <f t="shared" si="44"/>
        <v>100000</v>
      </c>
      <c r="BL28" s="2">
        <f t="shared" si="45"/>
        <v>100000</v>
      </c>
      <c r="BM28" s="2">
        <f t="shared" si="13"/>
        <v>100000</v>
      </c>
      <c r="BN28" s="8">
        <f t="shared" si="14"/>
        <v>0.05</v>
      </c>
      <c r="BO28" s="2">
        <f t="shared" si="15"/>
        <v>104166.66666666667</v>
      </c>
      <c r="BP28" s="2" t="str">
        <f t="shared" si="16"/>
        <v>nie</v>
      </c>
      <c r="BQ28" s="2">
        <f t="shared" si="17"/>
        <v>2000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2">
        <f t="shared" si="18"/>
        <v>0</v>
      </c>
      <c r="CE28" s="6"/>
      <c r="CF28" s="2">
        <f t="shared" si="19"/>
        <v>0</v>
      </c>
      <c r="CG28" s="6"/>
      <c r="CH28" s="2">
        <f t="shared" si="20"/>
        <v>0</v>
      </c>
      <c r="CI28" s="1">
        <f t="shared" si="21"/>
        <v>0</v>
      </c>
      <c r="CJ28" s="2">
        <f t="shared" si="46"/>
        <v>0</v>
      </c>
      <c r="CK28" s="2">
        <f t="shared" si="22"/>
        <v>104166.66666666667</v>
      </c>
      <c r="CL28" s="2">
        <f t="shared" si="23"/>
        <v>0</v>
      </c>
      <c r="CM28" s="2">
        <f t="shared" si="47"/>
        <v>0</v>
      </c>
      <c r="CN28" s="2">
        <f t="shared" si="24"/>
        <v>104166.66666666667</v>
      </c>
      <c r="CO28" s="2">
        <f t="shared" si="48"/>
        <v>2000</v>
      </c>
      <c r="CP28" s="2">
        <f t="shared" si="25"/>
        <v>411.6666666666676</v>
      </c>
      <c r="CQ28" s="2">
        <f t="shared" si="26"/>
        <v>101755</v>
      </c>
      <c r="CS28" s="5">
        <f t="shared" si="49"/>
        <v>1000</v>
      </c>
      <c r="CT28" s="2">
        <f t="shared" si="50"/>
        <v>100000</v>
      </c>
      <c r="CU28" s="2">
        <f t="shared" si="51"/>
        <v>100000</v>
      </c>
      <c r="CV28" s="2">
        <f t="shared" si="52"/>
        <v>100000</v>
      </c>
      <c r="CW28" s="8">
        <f t="shared" si="27"/>
        <v>5.6000000000000001E-2</v>
      </c>
      <c r="CX28" s="2">
        <f t="shared" si="28"/>
        <v>104666.66666666666</v>
      </c>
      <c r="CY28" s="2" t="str">
        <f t="shared" si="29"/>
        <v>nie</v>
      </c>
      <c r="CZ28" s="2">
        <f t="shared" si="53"/>
        <v>0</v>
      </c>
      <c r="DA28" s="2">
        <f t="shared" si="54"/>
        <v>0</v>
      </c>
      <c r="DB28" s="2">
        <f t="shared" si="55"/>
        <v>104666.66666666666</v>
      </c>
      <c r="DC28" s="2">
        <f t="shared" si="30"/>
        <v>0</v>
      </c>
      <c r="DD28" s="2">
        <f t="shared" si="56"/>
        <v>0</v>
      </c>
      <c r="DE28" s="2">
        <f t="shared" si="57"/>
        <v>104666.66666666666</v>
      </c>
      <c r="DF28" s="2">
        <f t="shared" si="32"/>
        <v>3000</v>
      </c>
      <c r="DG28" s="2">
        <f t="shared" si="33"/>
        <v>316.66666666666481</v>
      </c>
      <c r="DH28" s="2">
        <f t="shared" si="58"/>
        <v>101349.99999999999</v>
      </c>
    </row>
    <row r="29" spans="2:112">
      <c r="C29" s="23">
        <v>8</v>
      </c>
      <c r="D29" s="2">
        <f t="shared" si="68"/>
        <v>141680.82667880945</v>
      </c>
      <c r="E29" s="2">
        <f t="shared" si="69"/>
        <v>132491.46972713136</v>
      </c>
      <c r="F29" s="2">
        <f t="shared" si="70"/>
        <v>141170.90126999997</v>
      </c>
      <c r="G29" s="2">
        <f t="shared" si="71"/>
        <v>132617.80526999998</v>
      </c>
      <c r="H29" s="2">
        <f t="shared" si="72"/>
        <v>145472.37611981816</v>
      </c>
      <c r="I29" s="2">
        <f t="shared" si="73"/>
        <v>134184.59654602231</v>
      </c>
      <c r="J29" s="52">
        <f t="shared" si="74"/>
        <v>131653.82146500313</v>
      </c>
      <c r="K29" s="44">
        <f t="shared" si="75"/>
        <v>124722.53153018578</v>
      </c>
      <c r="M29" s="23">
        <v>8</v>
      </c>
      <c r="N29" s="25">
        <f t="shared" si="60"/>
        <v>0.41680826678809457</v>
      </c>
      <c r="O29" s="25">
        <f t="shared" si="61"/>
        <v>0.32491469727131372</v>
      </c>
      <c r="P29" s="25">
        <f t="shared" si="62"/>
        <v>0.41170901269999982</v>
      </c>
      <c r="Q29" s="25">
        <f t="shared" si="63"/>
        <v>0.32617805269999978</v>
      </c>
      <c r="R29" s="25">
        <f t="shared" si="64"/>
        <v>0.45472376119818159</v>
      </c>
      <c r="S29" s="26">
        <f t="shared" si="65"/>
        <v>0.34184596546022306</v>
      </c>
      <c r="T29" s="53">
        <f t="shared" si="66"/>
        <v>0.31653821465003129</v>
      </c>
      <c r="U29" s="27">
        <f t="shared" si="67"/>
        <v>0.24722531530185776</v>
      </c>
      <c r="W29" s="1">
        <f t="shared" si="34"/>
        <v>11</v>
      </c>
      <c r="X29" s="2">
        <f t="shared" si="0"/>
        <v>102566.66666666667</v>
      </c>
      <c r="Y29" s="8">
        <f t="shared" si="76"/>
        <v>4.1300000000000003E-2</v>
      </c>
      <c r="Z29" s="5">
        <f t="shared" si="35"/>
        <v>1000</v>
      </c>
      <c r="AA29" s="2">
        <f t="shared" si="36"/>
        <v>100000</v>
      </c>
      <c r="AB29" s="2">
        <f t="shared" si="37"/>
        <v>100000</v>
      </c>
      <c r="AC29" s="2">
        <f t="shared" si="38"/>
        <v>100000</v>
      </c>
      <c r="AD29" s="8">
        <f t="shared" si="1"/>
        <v>4.65E-2</v>
      </c>
      <c r="AE29" s="2">
        <f t="shared" si="2"/>
        <v>104262.49999999999</v>
      </c>
      <c r="AF29" s="2" t="str">
        <f t="shared" si="3"/>
        <v>nie</v>
      </c>
      <c r="AG29" s="2">
        <f t="shared" si="4"/>
        <v>1000</v>
      </c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2">
        <f t="shared" si="39"/>
        <v>0</v>
      </c>
      <c r="AU29" s="6"/>
      <c r="AV29" s="2">
        <f t="shared" si="5"/>
        <v>0</v>
      </c>
      <c r="AW29" s="6"/>
      <c r="AX29" s="2">
        <f t="shared" si="6"/>
        <v>0</v>
      </c>
      <c r="AY29" s="1">
        <f t="shared" si="7"/>
        <v>0</v>
      </c>
      <c r="AZ29" s="2">
        <f t="shared" si="40"/>
        <v>0</v>
      </c>
      <c r="BA29" s="2">
        <f t="shared" si="8"/>
        <v>104262.49999999999</v>
      </c>
      <c r="BB29" s="2">
        <f t="shared" si="9"/>
        <v>0</v>
      </c>
      <c r="BC29" s="2">
        <f t="shared" si="41"/>
        <v>0</v>
      </c>
      <c r="BD29" s="2">
        <f t="shared" si="10"/>
        <v>104262.49999999999</v>
      </c>
      <c r="BE29" s="2">
        <f t="shared" si="42"/>
        <v>1000</v>
      </c>
      <c r="BF29" s="2">
        <f t="shared" si="11"/>
        <v>619.87499999999727</v>
      </c>
      <c r="BG29" s="2">
        <f t="shared" si="12"/>
        <v>102642.62499999999</v>
      </c>
      <c r="BI29" s="7"/>
      <c r="BJ29" s="5">
        <f t="shared" si="43"/>
        <v>1000</v>
      </c>
      <c r="BK29" s="2">
        <f t="shared" si="44"/>
        <v>100000</v>
      </c>
      <c r="BL29" s="2">
        <f t="shared" si="45"/>
        <v>100000</v>
      </c>
      <c r="BM29" s="2">
        <f t="shared" si="13"/>
        <v>100000</v>
      </c>
      <c r="BN29" s="8">
        <f t="shared" si="14"/>
        <v>0.05</v>
      </c>
      <c r="BO29" s="2">
        <f t="shared" si="15"/>
        <v>104583.33333333334</v>
      </c>
      <c r="BP29" s="2" t="str">
        <f t="shared" si="16"/>
        <v>nie</v>
      </c>
      <c r="BQ29" s="2">
        <f t="shared" si="17"/>
        <v>2000</v>
      </c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2">
        <f t="shared" si="18"/>
        <v>0</v>
      </c>
      <c r="CE29" s="6"/>
      <c r="CF29" s="2">
        <f t="shared" si="19"/>
        <v>0</v>
      </c>
      <c r="CG29" s="6"/>
      <c r="CH29" s="2">
        <f t="shared" si="20"/>
        <v>0</v>
      </c>
      <c r="CI29" s="1">
        <f t="shared" si="21"/>
        <v>0</v>
      </c>
      <c r="CJ29" s="2">
        <f t="shared" si="46"/>
        <v>0</v>
      </c>
      <c r="CK29" s="2">
        <f t="shared" si="22"/>
        <v>104583.33333333334</v>
      </c>
      <c r="CL29" s="2">
        <f t="shared" si="23"/>
        <v>0</v>
      </c>
      <c r="CM29" s="2">
        <f t="shared" si="47"/>
        <v>0</v>
      </c>
      <c r="CN29" s="2">
        <f t="shared" si="24"/>
        <v>104583.33333333334</v>
      </c>
      <c r="CO29" s="2">
        <f t="shared" si="48"/>
        <v>2000</v>
      </c>
      <c r="CP29" s="2">
        <f t="shared" si="25"/>
        <v>490.83333333333519</v>
      </c>
      <c r="CQ29" s="2">
        <f t="shared" si="26"/>
        <v>102092.50000000001</v>
      </c>
      <c r="CS29" s="5">
        <f t="shared" si="49"/>
        <v>1000</v>
      </c>
      <c r="CT29" s="2">
        <f t="shared" si="50"/>
        <v>100000</v>
      </c>
      <c r="CU29" s="2">
        <f t="shared" si="51"/>
        <v>100000</v>
      </c>
      <c r="CV29" s="2">
        <f t="shared" si="52"/>
        <v>100000</v>
      </c>
      <c r="CW29" s="8">
        <f t="shared" si="27"/>
        <v>5.6000000000000001E-2</v>
      </c>
      <c r="CX29" s="2">
        <f t="shared" si="28"/>
        <v>105133.33333333333</v>
      </c>
      <c r="CY29" s="2" t="str">
        <f t="shared" si="29"/>
        <v>nie</v>
      </c>
      <c r="CZ29" s="2">
        <f t="shared" si="53"/>
        <v>0</v>
      </c>
      <c r="DA29" s="2">
        <f t="shared" si="54"/>
        <v>0</v>
      </c>
      <c r="DB29" s="2">
        <f t="shared" si="55"/>
        <v>105133.33333333333</v>
      </c>
      <c r="DC29" s="2">
        <f t="shared" si="30"/>
        <v>0</v>
      </c>
      <c r="DD29" s="2">
        <f t="shared" si="56"/>
        <v>0</v>
      </c>
      <c r="DE29" s="2">
        <f t="shared" si="57"/>
        <v>105133.33333333333</v>
      </c>
      <c r="DF29" s="2">
        <f t="shared" si="32"/>
        <v>3000</v>
      </c>
      <c r="DG29" s="2">
        <f t="shared" si="33"/>
        <v>405.3333333333324</v>
      </c>
      <c r="DH29" s="2">
        <f t="shared" si="58"/>
        <v>101728</v>
      </c>
    </row>
    <row r="30" spans="2:112">
      <c r="C30" s="23">
        <v>9</v>
      </c>
      <c r="D30" s="2">
        <f t="shared" si="68"/>
        <v>147533.90107839101</v>
      </c>
      <c r="E30" s="2">
        <f t="shared" si="69"/>
        <v>138257.99651623028</v>
      </c>
      <c r="F30" s="2">
        <f t="shared" si="70"/>
        <v>148032.79366999996</v>
      </c>
      <c r="G30" s="2">
        <f t="shared" si="71"/>
        <v>136357.46966999996</v>
      </c>
      <c r="H30" s="2">
        <f t="shared" si="72"/>
        <v>152356.47331218058</v>
      </c>
      <c r="I30" s="2">
        <f t="shared" si="73"/>
        <v>139731.52031884252</v>
      </c>
      <c r="J30" s="52">
        <f t="shared" si="74"/>
        <v>136258.20185796285</v>
      </c>
      <c r="K30" s="44">
        <f t="shared" si="75"/>
        <v>128214.76241303099</v>
      </c>
      <c r="M30" s="23">
        <v>9</v>
      </c>
      <c r="N30" s="25">
        <f t="shared" si="60"/>
        <v>0.47533901078390994</v>
      </c>
      <c r="O30" s="25">
        <f t="shared" si="61"/>
        <v>0.38257996516230275</v>
      </c>
      <c r="P30" s="25">
        <f t="shared" si="62"/>
        <v>0.48032793669999951</v>
      </c>
      <c r="Q30" s="25">
        <f t="shared" si="63"/>
        <v>0.36357469669999953</v>
      </c>
      <c r="R30" s="25">
        <f t="shared" si="64"/>
        <v>0.52356473312180585</v>
      </c>
      <c r="S30" s="26">
        <f t="shared" si="65"/>
        <v>0.39731520318842528</v>
      </c>
      <c r="T30" s="53">
        <f t="shared" si="66"/>
        <v>0.36258201857962846</v>
      </c>
      <c r="U30" s="27">
        <f t="shared" si="67"/>
        <v>0.2821476241303098</v>
      </c>
      <c r="W30" s="1">
        <f t="shared" si="34"/>
        <v>12</v>
      </c>
      <c r="X30" s="2">
        <f t="shared" si="0"/>
        <v>102800</v>
      </c>
      <c r="Y30" s="8">
        <f t="shared" si="76"/>
        <v>4.1300000000000003E-2</v>
      </c>
      <c r="Z30" s="5">
        <f t="shared" si="35"/>
        <v>1000</v>
      </c>
      <c r="AA30" s="2">
        <f t="shared" si="36"/>
        <v>100000</v>
      </c>
      <c r="AB30" s="2">
        <f t="shared" si="37"/>
        <v>100000</v>
      </c>
      <c r="AC30" s="2">
        <f t="shared" si="38"/>
        <v>100000</v>
      </c>
      <c r="AD30" s="8">
        <f t="shared" si="1"/>
        <v>4.65E-2</v>
      </c>
      <c r="AE30" s="2">
        <f t="shared" si="2"/>
        <v>104650</v>
      </c>
      <c r="AF30" s="2" t="str">
        <f t="shared" si="3"/>
        <v>nie</v>
      </c>
      <c r="AG30" s="2">
        <f t="shared" si="4"/>
        <v>1000</v>
      </c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2">
        <f t="shared" si="39"/>
        <v>0</v>
      </c>
      <c r="AU30" s="6"/>
      <c r="AV30" s="2">
        <f>AZ29+AT30+AU30</f>
        <v>0</v>
      </c>
      <c r="AW30" s="1">
        <f t="shared" ref="AW30:AW61" si="77">IF(AT30&lt;&gt;0,MIN(IF(AK30&lt;&gt;"",AK30,0),ROUNDDOWN(AV30/zamiana_TOS,0)),0)</f>
        <v>0</v>
      </c>
      <c r="AX30" s="2">
        <f t="shared" si="6"/>
        <v>0</v>
      </c>
      <c r="AY30" s="1">
        <f>ROUNDDOWN(AX30/100,0)</f>
        <v>0</v>
      </c>
      <c r="AZ30" s="2">
        <f t="shared" si="40"/>
        <v>0</v>
      </c>
      <c r="BA30" s="2">
        <f t="shared" si="8"/>
        <v>104650</v>
      </c>
      <c r="BB30" s="2">
        <f t="shared" si="9"/>
        <v>0</v>
      </c>
      <c r="BC30" s="2">
        <f t="shared" si="41"/>
        <v>0</v>
      </c>
      <c r="BD30" s="2">
        <f t="shared" si="10"/>
        <v>104650</v>
      </c>
      <c r="BE30" s="2">
        <f t="shared" si="42"/>
        <v>1000</v>
      </c>
      <c r="BF30" s="2">
        <f t="shared" si="11"/>
        <v>693.5</v>
      </c>
      <c r="BG30" s="2">
        <f t="shared" si="12"/>
        <v>102956.5</v>
      </c>
      <c r="BI30" s="7"/>
      <c r="BJ30" s="5">
        <f t="shared" si="43"/>
        <v>1000</v>
      </c>
      <c r="BK30" s="2">
        <f t="shared" si="44"/>
        <v>100000</v>
      </c>
      <c r="BL30" s="2">
        <f t="shared" si="45"/>
        <v>100000</v>
      </c>
      <c r="BM30" s="2">
        <f t="shared" si="13"/>
        <v>100000</v>
      </c>
      <c r="BN30" s="8">
        <f t="shared" si="14"/>
        <v>0.05</v>
      </c>
      <c r="BO30" s="2">
        <f t="shared" si="15"/>
        <v>105000</v>
      </c>
      <c r="BP30" s="2" t="str">
        <f t="shared" si="16"/>
        <v>nie</v>
      </c>
      <c r="BQ30" s="2">
        <f t="shared" si="17"/>
        <v>2000</v>
      </c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2">
        <f t="shared" si="18"/>
        <v>5000</v>
      </c>
      <c r="CE30" s="6"/>
      <c r="CF30" s="2">
        <f>CJ29+CD30+CE30</f>
        <v>5000</v>
      </c>
      <c r="CG30" s="1">
        <f t="shared" ref="CG30:CG61" si="78">IF(CD30&lt;&gt;0,MIN(IF(BU30&lt;&gt;"",BU30,0),ROUNDDOWN(CF30/zamiana_COI,0)),0)</f>
        <v>0</v>
      </c>
      <c r="CH30" s="2">
        <f t="shared" si="20"/>
        <v>5000</v>
      </c>
      <c r="CI30" s="1">
        <f>ROUNDDOWN(CH30/100,0)</f>
        <v>50</v>
      </c>
      <c r="CJ30" s="2">
        <f t="shared" si="46"/>
        <v>0</v>
      </c>
      <c r="CK30" s="2">
        <f t="shared" si="22"/>
        <v>105000</v>
      </c>
      <c r="CL30" s="2">
        <f t="shared" si="23"/>
        <v>0</v>
      </c>
      <c r="CM30" s="2">
        <f t="shared" si="47"/>
        <v>0</v>
      </c>
      <c r="CN30" s="2">
        <f t="shared" si="24"/>
        <v>105000</v>
      </c>
      <c r="CO30" s="2">
        <f t="shared" si="48"/>
        <v>2000</v>
      </c>
      <c r="CP30" s="2">
        <f t="shared" si="25"/>
        <v>570</v>
      </c>
      <c r="CQ30" s="2">
        <f t="shared" si="26"/>
        <v>102430</v>
      </c>
      <c r="CS30" s="5">
        <f t="shared" si="49"/>
        <v>1000</v>
      </c>
      <c r="CT30" s="2">
        <f t="shared" si="50"/>
        <v>100000</v>
      </c>
      <c r="CU30" s="2">
        <f t="shared" si="51"/>
        <v>100000</v>
      </c>
      <c r="CV30" s="2">
        <f t="shared" si="52"/>
        <v>100000</v>
      </c>
      <c r="CW30" s="8">
        <f t="shared" si="27"/>
        <v>5.6000000000000001E-2</v>
      </c>
      <c r="CX30" s="2">
        <f t="shared" si="28"/>
        <v>105600</v>
      </c>
      <c r="CY30" s="2" t="str">
        <f t="shared" si="29"/>
        <v>nie</v>
      </c>
      <c r="CZ30" s="2">
        <f t="shared" si="53"/>
        <v>0</v>
      </c>
      <c r="DA30" s="2">
        <f t="shared" si="54"/>
        <v>0</v>
      </c>
      <c r="DB30" s="2">
        <f t="shared" si="55"/>
        <v>105600</v>
      </c>
      <c r="DC30" s="2">
        <f t="shared" si="30"/>
        <v>0</v>
      </c>
      <c r="DD30" s="2">
        <f t="shared" si="56"/>
        <v>0</v>
      </c>
      <c r="DE30" s="2">
        <f t="shared" si="57"/>
        <v>105600</v>
      </c>
      <c r="DF30" s="2">
        <f t="shared" si="32"/>
        <v>3000</v>
      </c>
      <c r="DG30" s="2">
        <f t="shared" si="33"/>
        <v>494</v>
      </c>
      <c r="DH30" s="2">
        <f t="shared" si="58"/>
        <v>102106</v>
      </c>
    </row>
    <row r="31" spans="2:112">
      <c r="C31" s="23">
        <v>10</v>
      </c>
      <c r="D31" s="2">
        <f t="shared" si="68"/>
        <v>154344.88655753754</v>
      </c>
      <c r="E31" s="2">
        <f t="shared" si="69"/>
        <v>142542.44759537681</v>
      </c>
      <c r="F31" s="2">
        <f t="shared" si="70"/>
        <v>154432.33066999994</v>
      </c>
      <c r="G31" s="2">
        <f t="shared" si="71"/>
        <v>141399.70066999996</v>
      </c>
      <c r="H31" s="2">
        <f t="shared" si="72"/>
        <v>159571.00716977642</v>
      </c>
      <c r="I31" s="2">
        <f t="shared" si="73"/>
        <v>147974.69643275815</v>
      </c>
      <c r="J31" s="52">
        <f t="shared" si="74"/>
        <v>141023.61304036083</v>
      </c>
      <c r="K31" s="44">
        <f t="shared" si="75"/>
        <v>131804.77576059586</v>
      </c>
      <c r="M31" s="23">
        <v>10</v>
      </c>
      <c r="N31" s="25">
        <f t="shared" si="60"/>
        <v>0.54344886557537531</v>
      </c>
      <c r="O31" s="25">
        <f t="shared" si="61"/>
        <v>0.4254244759537682</v>
      </c>
      <c r="P31" s="25">
        <f t="shared" si="62"/>
        <v>0.54432330669999929</v>
      </c>
      <c r="Q31" s="25">
        <f t="shared" si="63"/>
        <v>0.41399700669999961</v>
      </c>
      <c r="R31" s="25">
        <f t="shared" si="64"/>
        <v>0.59571007169776413</v>
      </c>
      <c r="S31" s="26">
        <f t="shared" si="65"/>
        <v>0.47974696432758157</v>
      </c>
      <c r="T31" s="53">
        <f t="shared" si="66"/>
        <v>0.41023613040360818</v>
      </c>
      <c r="U31" s="27">
        <f t="shared" si="67"/>
        <v>0.3180477576059586</v>
      </c>
      <c r="W31" s="1">
        <f t="shared" si="34"/>
        <v>13</v>
      </c>
      <c r="X31" s="2">
        <f t="shared" si="0"/>
        <v>103039.86666666667</v>
      </c>
      <c r="Y31" s="8">
        <f t="shared" si="76"/>
        <v>4.1300000000000003E-2</v>
      </c>
      <c r="Z31" s="5">
        <f t="shared" si="35"/>
        <v>1000</v>
      </c>
      <c r="AA31" s="2">
        <f t="shared" si="36"/>
        <v>100000</v>
      </c>
      <c r="AB31" s="2">
        <f t="shared" si="37"/>
        <v>100000</v>
      </c>
      <c r="AC31" s="2">
        <f t="shared" si="38"/>
        <v>104650</v>
      </c>
      <c r="AD31" s="8">
        <f t="shared" si="1"/>
        <v>4.65E-2</v>
      </c>
      <c r="AE31" s="2">
        <f t="shared" si="2"/>
        <v>105055.51875</v>
      </c>
      <c r="AF31" s="2" t="str">
        <f t="shared" si="3"/>
        <v>nie</v>
      </c>
      <c r="AG31" s="2">
        <f t="shared" si="4"/>
        <v>1000</v>
      </c>
      <c r="AH31" s="1">
        <f t="shared" ref="AH31:AH94" si="79">IF(AT30&lt;&gt;0,AW30+AY30,AH30)</f>
        <v>0</v>
      </c>
      <c r="AI31" s="6"/>
      <c r="AJ31" s="6"/>
      <c r="AK31" s="6"/>
      <c r="AL31" s="2">
        <f>AH31*100</f>
        <v>0</v>
      </c>
      <c r="AM31" s="8">
        <f t="shared" ref="AM31:AM62" si="80">proc_I_okres_TOS</f>
        <v>4.65E-2</v>
      </c>
      <c r="AN31" s="2">
        <f>AL31*(1+AM31*IF(MOD($W31,12)&lt;&gt;0,MOD($W31,12),12)/12)</f>
        <v>0</v>
      </c>
      <c r="AO31" s="2">
        <f t="shared" ref="AO31:AO62" si="81">MIN(AH31*koszt_wczesniejszy_wykup_TOS,AN31-AL31)</f>
        <v>0</v>
      </c>
      <c r="AP31" s="6"/>
      <c r="AQ31" s="6"/>
      <c r="AR31" s="6"/>
      <c r="AS31" s="6"/>
      <c r="AT31" s="2">
        <f t="shared" si="39"/>
        <v>0</v>
      </c>
      <c r="AU31" s="2">
        <f>IF(MOD($W31,12)=0,AN31-AL31+AR31-AP31+AK31*100,0)</f>
        <v>0</v>
      </c>
      <c r="AV31" s="2">
        <f t="shared" ref="AV31:AV94" si="82">AZ30+AT31+AU31</f>
        <v>0</v>
      </c>
      <c r="AW31" s="1">
        <f t="shared" si="77"/>
        <v>0</v>
      </c>
      <c r="AX31" s="2">
        <f t="shared" si="6"/>
        <v>0</v>
      </c>
      <c r="AY31" s="1">
        <f t="shared" ref="AY31:AY94" si="83">ROUNDDOWN(AX31/100,0)</f>
        <v>0</v>
      </c>
      <c r="AZ31" s="2">
        <f t="shared" si="40"/>
        <v>0</v>
      </c>
      <c r="BA31" s="2">
        <f>AE31+AN31+AR31+AZ30</f>
        <v>105055.51875</v>
      </c>
      <c r="BB31" s="2">
        <f t="shared" si="9"/>
        <v>0</v>
      </c>
      <c r="BC31" s="2">
        <f t="shared" si="41"/>
        <v>0</v>
      </c>
      <c r="BD31" s="2">
        <f t="shared" si="10"/>
        <v>105055.51875</v>
      </c>
      <c r="BE31" s="2">
        <f t="shared" si="42"/>
        <v>1000</v>
      </c>
      <c r="BF31" s="2">
        <f t="shared" si="11"/>
        <v>770.54856250000057</v>
      </c>
      <c r="BG31" s="2">
        <f t="shared" si="12"/>
        <v>103284.9701875</v>
      </c>
      <c r="BI31" s="8">
        <f t="shared" ref="BI31:BI62" si="84">MAX(INDEX(scenariusz_I_inflacja,MATCH(ROUNDUP(W31/12,0)-1,scenariusz_I_rok,0)),0)</f>
        <v>2.8000000000000001E-2</v>
      </c>
      <c r="BJ31" s="5">
        <f t="shared" si="43"/>
        <v>1000</v>
      </c>
      <c r="BK31" s="2">
        <f t="shared" si="44"/>
        <v>100000</v>
      </c>
      <c r="BL31" s="2">
        <f t="shared" si="45"/>
        <v>100000</v>
      </c>
      <c r="BM31" s="2">
        <f t="shared" si="13"/>
        <v>100000</v>
      </c>
      <c r="BN31" s="8">
        <f t="shared" si="14"/>
        <v>4.2999999999999997E-2</v>
      </c>
      <c r="BO31" s="2">
        <f t="shared" si="15"/>
        <v>100358.33333333333</v>
      </c>
      <c r="BP31" s="2" t="str">
        <f t="shared" si="16"/>
        <v>nie</v>
      </c>
      <c r="BQ31" s="2">
        <f t="shared" si="17"/>
        <v>2000</v>
      </c>
      <c r="BR31" s="1">
        <f t="shared" ref="BR31:BR62" si="85">IF(CD30&lt;&gt;0,CG30+CI30,BR30)</f>
        <v>50</v>
      </c>
      <c r="BS31" s="6"/>
      <c r="BT31" s="6"/>
      <c r="BU31" s="6"/>
      <c r="BV31" s="2">
        <f>BR31*100</f>
        <v>5000</v>
      </c>
      <c r="BW31" s="8">
        <f t="shared" ref="BW31:BW62" si="86">proc_I_okres_COI</f>
        <v>0.05</v>
      </c>
      <c r="BX31" s="2">
        <f>BV31*(1+BW31*IF(MOD($W31,12)&lt;&gt;0,MOD($W31,12),12)/12)</f>
        <v>5020.833333333333</v>
      </c>
      <c r="BY31" s="2">
        <f t="shared" ref="BY31:BY62" si="87">MIN(BR31*koszt_wczesniejszy_wykup_COI,BX31-BV31)</f>
        <v>20.83333333333303</v>
      </c>
      <c r="BZ31" s="6"/>
      <c r="CA31" s="6"/>
      <c r="CB31" s="6"/>
      <c r="CC31" s="6"/>
      <c r="CD31" s="2">
        <f t="shared" si="18"/>
        <v>0</v>
      </c>
      <c r="CE31" s="2">
        <f>IF(MOD($W31,12)=0,BX31-BV31+CB31-BZ31+BU31*100,0)</f>
        <v>0</v>
      </c>
      <c r="CF31" s="2">
        <f t="shared" ref="CF31" si="88">CJ30+CD31+CE31</f>
        <v>0</v>
      </c>
      <c r="CG31" s="1">
        <f t="shared" si="78"/>
        <v>0</v>
      </c>
      <c r="CH31" s="2">
        <f t="shared" si="20"/>
        <v>0</v>
      </c>
      <c r="CI31" s="1">
        <f t="shared" ref="CI31:CI94" si="89">ROUNDDOWN(CH31/100,0)</f>
        <v>0</v>
      </c>
      <c r="CJ31" s="2">
        <f t="shared" si="46"/>
        <v>0</v>
      </c>
      <c r="CK31" s="2">
        <f>BO31+BX31+CB31+CJ30</f>
        <v>105379.16666666666</v>
      </c>
      <c r="CL31" s="2">
        <f t="shared" si="23"/>
        <v>0</v>
      </c>
      <c r="CM31" s="2">
        <f t="shared" si="47"/>
        <v>0</v>
      </c>
      <c r="CN31" s="2">
        <f t="shared" si="24"/>
        <v>105379.16666666666</v>
      </c>
      <c r="CO31" s="2">
        <f t="shared" si="48"/>
        <v>2020.833333333333</v>
      </c>
      <c r="CP31" s="2">
        <f t="shared" si="25"/>
        <v>638.08333333333246</v>
      </c>
      <c r="CQ31" s="2">
        <f t="shared" si="26"/>
        <v>102720.25</v>
      </c>
      <c r="CS31" s="5">
        <f t="shared" si="49"/>
        <v>1000</v>
      </c>
      <c r="CT31" s="2">
        <f t="shared" si="50"/>
        <v>100000</v>
      </c>
      <c r="CU31" s="2">
        <f t="shared" si="51"/>
        <v>100000</v>
      </c>
      <c r="CV31" s="2">
        <f t="shared" si="52"/>
        <v>105600</v>
      </c>
      <c r="CW31" s="8">
        <f t="shared" si="27"/>
        <v>4.8000000000000001E-2</v>
      </c>
      <c r="CX31" s="2">
        <f t="shared" si="28"/>
        <v>106022.39999999999</v>
      </c>
      <c r="CY31" s="2" t="str">
        <f t="shared" si="29"/>
        <v>nie</v>
      </c>
      <c r="CZ31" s="2">
        <f t="shared" si="53"/>
        <v>0</v>
      </c>
      <c r="DA31" s="2">
        <f t="shared" si="54"/>
        <v>0</v>
      </c>
      <c r="DB31" s="2">
        <f t="shared" si="55"/>
        <v>106022.39999999999</v>
      </c>
      <c r="DC31" s="2">
        <f t="shared" si="30"/>
        <v>0</v>
      </c>
      <c r="DD31" s="2">
        <f t="shared" si="56"/>
        <v>0</v>
      </c>
      <c r="DE31" s="2">
        <f t="shared" si="57"/>
        <v>106022.39999999999</v>
      </c>
      <c r="DF31" s="2">
        <f t="shared" si="32"/>
        <v>3000</v>
      </c>
      <c r="DG31" s="2">
        <f t="shared" si="33"/>
        <v>574.25599999999895</v>
      </c>
      <c r="DH31" s="2">
        <f t="shared" si="58"/>
        <v>102448.144</v>
      </c>
    </row>
    <row r="32" spans="2:112" ht="15.75" customHeight="1">
      <c r="C32" s="23">
        <v>11</v>
      </c>
      <c r="D32" s="2">
        <f t="shared" si="68"/>
        <v>161317.31704633404</v>
      </c>
      <c r="E32" s="2">
        <f t="shared" si="69"/>
        <v>148159.97341767332</v>
      </c>
      <c r="F32" s="2">
        <f t="shared" si="70"/>
        <v>161093.74356999993</v>
      </c>
      <c r="G32" s="2">
        <f t="shared" si="71"/>
        <v>146659.23456999994</v>
      </c>
      <c r="H32" s="2">
        <f t="shared" si="72"/>
        <v>168583.49125537105</v>
      </c>
      <c r="I32" s="2">
        <f t="shared" si="73"/>
        <v>151345.65725537104</v>
      </c>
      <c r="J32" s="52">
        <f t="shared" si="74"/>
        <v>145955.68680473676</v>
      </c>
      <c r="K32" s="44">
        <f t="shared" si="75"/>
        <v>135495.30948189253</v>
      </c>
      <c r="M32" s="23">
        <v>11</v>
      </c>
      <c r="N32" s="25">
        <f t="shared" si="60"/>
        <v>0.6131731704633403</v>
      </c>
      <c r="O32" s="25">
        <f t="shared" si="61"/>
        <v>0.48159973417673307</v>
      </c>
      <c r="P32" s="25">
        <f t="shared" si="62"/>
        <v>0.61093743569999925</v>
      </c>
      <c r="Q32" s="25">
        <f t="shared" si="63"/>
        <v>0.46659234569999941</v>
      </c>
      <c r="R32" s="25">
        <f t="shared" si="64"/>
        <v>0.68583491255371043</v>
      </c>
      <c r="S32" s="26">
        <f t="shared" si="65"/>
        <v>0.51345657255371036</v>
      </c>
      <c r="T32" s="53">
        <f t="shared" si="66"/>
        <v>0.45955686804736762</v>
      </c>
      <c r="U32" s="27">
        <f t="shared" si="67"/>
        <v>0.35495309481892523</v>
      </c>
      <c r="W32" s="1">
        <f t="shared" si="34"/>
        <v>14</v>
      </c>
      <c r="X32" s="2">
        <f t="shared" si="0"/>
        <v>103279.73333333332</v>
      </c>
      <c r="Y32" s="8">
        <f t="shared" si="76"/>
        <v>4.1300000000000003E-2</v>
      </c>
      <c r="Z32" s="5">
        <f t="shared" si="35"/>
        <v>1000</v>
      </c>
      <c r="AA32" s="2">
        <f t="shared" si="36"/>
        <v>100000</v>
      </c>
      <c r="AB32" s="2">
        <f t="shared" si="37"/>
        <v>100000</v>
      </c>
      <c r="AC32" s="2">
        <f t="shared" si="38"/>
        <v>104650</v>
      </c>
      <c r="AD32" s="8">
        <f t="shared" si="1"/>
        <v>4.65E-2</v>
      </c>
      <c r="AE32" s="2">
        <f t="shared" si="2"/>
        <v>105461.03749999999</v>
      </c>
      <c r="AF32" s="2" t="str">
        <f t="shared" si="3"/>
        <v>nie</v>
      </c>
      <c r="AG32" s="2">
        <f t="shared" si="4"/>
        <v>1000</v>
      </c>
      <c r="AH32" s="1">
        <f t="shared" si="79"/>
        <v>0</v>
      </c>
      <c r="AI32" s="6"/>
      <c r="AJ32" s="6"/>
      <c r="AK32" s="6"/>
      <c r="AL32" s="2">
        <f t="shared" ref="AL32:AL95" si="90">AH32*100</f>
        <v>0</v>
      </c>
      <c r="AM32" s="8">
        <f t="shared" si="80"/>
        <v>4.65E-2</v>
      </c>
      <c r="AN32" s="2">
        <f t="shared" ref="AN32:AN95" si="91">AL32*(1+AM32*IF(MOD($W32,12)&lt;&gt;0,MOD($W32,12),12)/12)</f>
        <v>0</v>
      </c>
      <c r="AO32" s="2">
        <f t="shared" si="81"/>
        <v>0</v>
      </c>
      <c r="AP32" s="6"/>
      <c r="AQ32" s="6"/>
      <c r="AR32" s="6"/>
      <c r="AS32" s="6"/>
      <c r="AT32" s="2">
        <f t="shared" si="39"/>
        <v>0</v>
      </c>
      <c r="AU32" s="2">
        <f t="shared" ref="AU32:AU95" si="92">IF(MOD($W32,12)=0,AN32-AL32+AR32-AP32+AK32*100,0)</f>
        <v>0</v>
      </c>
      <c r="AV32" s="2">
        <f t="shared" si="82"/>
        <v>0</v>
      </c>
      <c r="AW32" s="1">
        <f t="shared" si="77"/>
        <v>0</v>
      </c>
      <c r="AX32" s="2">
        <f t="shared" si="6"/>
        <v>0</v>
      </c>
      <c r="AY32" s="1">
        <f t="shared" si="83"/>
        <v>0</v>
      </c>
      <c r="AZ32" s="2">
        <f t="shared" si="40"/>
        <v>0</v>
      </c>
      <c r="BA32" s="2">
        <f t="shared" ref="BA32:BA95" si="93">AE32+AN32+AR32+AZ31</f>
        <v>105461.03749999999</v>
      </c>
      <c r="BB32" s="2">
        <f t="shared" si="9"/>
        <v>0</v>
      </c>
      <c r="BC32" s="2">
        <f t="shared" si="41"/>
        <v>0</v>
      </c>
      <c r="BD32" s="2">
        <f t="shared" si="10"/>
        <v>105461.03749999999</v>
      </c>
      <c r="BE32" s="2">
        <f t="shared" si="42"/>
        <v>1000</v>
      </c>
      <c r="BF32" s="2">
        <f t="shared" si="11"/>
        <v>847.5971249999983</v>
      </c>
      <c r="BG32" s="2">
        <f t="shared" si="12"/>
        <v>103613.44037499999</v>
      </c>
      <c r="BI32" s="8">
        <f t="shared" si="84"/>
        <v>2.8000000000000001E-2</v>
      </c>
      <c r="BJ32" s="5">
        <f t="shared" si="43"/>
        <v>1000</v>
      </c>
      <c r="BK32" s="2">
        <f t="shared" si="44"/>
        <v>100000</v>
      </c>
      <c r="BL32" s="2">
        <f t="shared" si="45"/>
        <v>100000</v>
      </c>
      <c r="BM32" s="2">
        <f t="shared" si="13"/>
        <v>100000</v>
      </c>
      <c r="BN32" s="8">
        <f t="shared" si="14"/>
        <v>4.2999999999999997E-2</v>
      </c>
      <c r="BO32" s="2">
        <f t="shared" si="15"/>
        <v>100716.66666666667</v>
      </c>
      <c r="BP32" s="2" t="str">
        <f t="shared" si="16"/>
        <v>nie</v>
      </c>
      <c r="BQ32" s="2">
        <f t="shared" si="17"/>
        <v>2000</v>
      </c>
      <c r="BR32" s="1">
        <f t="shared" si="85"/>
        <v>50</v>
      </c>
      <c r="BS32" s="6"/>
      <c r="BT32" s="6"/>
      <c r="BU32" s="6"/>
      <c r="BV32" s="2">
        <f t="shared" ref="BV32:BV95" si="94">BR32*100</f>
        <v>5000</v>
      </c>
      <c r="BW32" s="8">
        <f t="shared" si="86"/>
        <v>0.05</v>
      </c>
      <c r="BX32" s="2">
        <f t="shared" ref="BX32:BX95" si="95">BV32*(1+BW32*IF(MOD($W32,12)&lt;&gt;0,MOD($W32,12),12)/12)</f>
        <v>5041.666666666667</v>
      </c>
      <c r="BY32" s="2">
        <f t="shared" si="87"/>
        <v>41.66666666666697</v>
      </c>
      <c r="BZ32" s="6"/>
      <c r="CA32" s="6"/>
      <c r="CB32" s="6"/>
      <c r="CC32" s="6"/>
      <c r="CD32" s="2">
        <f t="shared" si="18"/>
        <v>0</v>
      </c>
      <c r="CE32" s="2">
        <f t="shared" ref="CE32:CE95" si="96">IF(MOD($W32,12)=0,BX32-BV32+CB32-BZ32+BU32*100,0)</f>
        <v>0</v>
      </c>
      <c r="CF32" s="2">
        <f t="shared" ref="CF32:CF95" si="97">CJ31+CD32+CE32</f>
        <v>0</v>
      </c>
      <c r="CG32" s="1">
        <f t="shared" si="78"/>
        <v>0</v>
      </c>
      <c r="CH32" s="2">
        <f t="shared" si="20"/>
        <v>0</v>
      </c>
      <c r="CI32" s="1">
        <f t="shared" si="89"/>
        <v>0</v>
      </c>
      <c r="CJ32" s="2">
        <f t="shared" ref="CJ32:CJ95" si="98">CH32-CI32*100</f>
        <v>0</v>
      </c>
      <c r="CK32" s="2">
        <f t="shared" ref="CK32:CK95" si="99">BO32+BX32+CB32+CJ31</f>
        <v>105758.33333333334</v>
      </c>
      <c r="CL32" s="2">
        <f t="shared" si="23"/>
        <v>0</v>
      </c>
      <c r="CM32" s="2">
        <f t="shared" si="47"/>
        <v>0</v>
      </c>
      <c r="CN32" s="2">
        <f t="shared" si="24"/>
        <v>105758.33333333334</v>
      </c>
      <c r="CO32" s="2">
        <f t="shared" si="48"/>
        <v>2041.666666666667</v>
      </c>
      <c r="CP32" s="2">
        <f t="shared" si="25"/>
        <v>706.16666666666765</v>
      </c>
      <c r="CQ32" s="2">
        <f t="shared" si="26"/>
        <v>103010.5</v>
      </c>
      <c r="CS32" s="5">
        <f t="shared" si="49"/>
        <v>1000</v>
      </c>
      <c r="CT32" s="2">
        <f t="shared" si="50"/>
        <v>100000</v>
      </c>
      <c r="CU32" s="2">
        <f t="shared" si="51"/>
        <v>100000</v>
      </c>
      <c r="CV32" s="2">
        <f t="shared" si="52"/>
        <v>105600</v>
      </c>
      <c r="CW32" s="8">
        <f t="shared" si="27"/>
        <v>4.8000000000000001E-2</v>
      </c>
      <c r="CX32" s="2">
        <f t="shared" si="28"/>
        <v>106444.8</v>
      </c>
      <c r="CY32" s="2" t="str">
        <f t="shared" si="29"/>
        <v>nie</v>
      </c>
      <c r="CZ32" s="2">
        <f t="shared" si="53"/>
        <v>0</v>
      </c>
      <c r="DA32" s="2">
        <f t="shared" si="54"/>
        <v>0</v>
      </c>
      <c r="DB32" s="2">
        <f t="shared" si="55"/>
        <v>106444.8</v>
      </c>
      <c r="DC32" s="2">
        <f t="shared" si="30"/>
        <v>0</v>
      </c>
      <c r="DD32" s="2">
        <f t="shared" si="56"/>
        <v>0</v>
      </c>
      <c r="DE32" s="2">
        <f t="shared" si="57"/>
        <v>106444.8</v>
      </c>
      <c r="DF32" s="2">
        <f t="shared" si="32"/>
        <v>3000</v>
      </c>
      <c r="DG32" s="2">
        <f t="shared" si="33"/>
        <v>654.51200000000051</v>
      </c>
      <c r="DH32" s="2">
        <f t="shared" si="58"/>
        <v>102790.288</v>
      </c>
    </row>
    <row r="33" spans="2:112" ht="15" customHeight="1" thickBot="1">
      <c r="C33" s="57">
        <v>12</v>
      </c>
      <c r="D33" s="66">
        <f t="shared" si="68"/>
        <v>167768.99383472811</v>
      </c>
      <c r="E33" s="66">
        <f t="shared" si="69"/>
        <v>154558.09071315094</v>
      </c>
      <c r="F33" s="66">
        <f t="shared" si="70"/>
        <v>168046.53386999993</v>
      </c>
      <c r="G33" s="66">
        <f t="shared" si="71"/>
        <v>153912.75086999993</v>
      </c>
      <c r="H33" s="66">
        <f t="shared" si="72"/>
        <v>176570.9463041657</v>
      </c>
      <c r="I33" s="66">
        <f t="shared" si="73"/>
        <v>157781.60331216571</v>
      </c>
      <c r="J33" s="58">
        <f t="shared" si="74"/>
        <v>151060.25190650515</v>
      </c>
      <c r="K33" s="67">
        <f t="shared" si="75"/>
        <v>139289.17814738554</v>
      </c>
      <c r="M33" s="28">
        <v>12</v>
      </c>
      <c r="N33" s="29">
        <f t="shared" si="60"/>
        <v>0.6776899383472812</v>
      </c>
      <c r="O33" s="29">
        <f t="shared" si="61"/>
        <v>0.54558090713150942</v>
      </c>
      <c r="P33" s="29">
        <f t="shared" si="62"/>
        <v>0.68046533869999926</v>
      </c>
      <c r="Q33" s="29">
        <f t="shared" si="63"/>
        <v>0.53912750869999937</v>
      </c>
      <c r="R33" s="29">
        <f t="shared" si="64"/>
        <v>0.76570946304165699</v>
      </c>
      <c r="S33" s="30">
        <f t="shared" si="65"/>
        <v>0.57781603312165708</v>
      </c>
      <c r="T33" s="54">
        <f t="shared" si="66"/>
        <v>0.51060251906505139</v>
      </c>
      <c r="U33" s="31">
        <f t="shared" si="67"/>
        <v>0.39289178147385528</v>
      </c>
      <c r="W33" s="1">
        <f t="shared" si="34"/>
        <v>15</v>
      </c>
      <c r="X33" s="2">
        <f t="shared" si="0"/>
        <v>103519.59999999999</v>
      </c>
      <c r="Y33" s="8">
        <f t="shared" si="76"/>
        <v>4.1300000000000003E-2</v>
      </c>
      <c r="Z33" s="5">
        <f t="shared" si="35"/>
        <v>1000</v>
      </c>
      <c r="AA33" s="2">
        <f t="shared" si="36"/>
        <v>100000</v>
      </c>
      <c r="AB33" s="2">
        <f t="shared" si="37"/>
        <v>100000</v>
      </c>
      <c r="AC33" s="2">
        <f t="shared" si="38"/>
        <v>104650</v>
      </c>
      <c r="AD33" s="8">
        <f t="shared" si="1"/>
        <v>4.65E-2</v>
      </c>
      <c r="AE33" s="2">
        <f t="shared" si="2"/>
        <v>105866.55624999999</v>
      </c>
      <c r="AF33" s="2" t="str">
        <f t="shared" si="3"/>
        <v>nie</v>
      </c>
      <c r="AG33" s="2">
        <f t="shared" si="4"/>
        <v>1000</v>
      </c>
      <c r="AH33" s="1">
        <f t="shared" si="79"/>
        <v>0</v>
      </c>
      <c r="AI33" s="6"/>
      <c r="AJ33" s="6"/>
      <c r="AK33" s="6"/>
      <c r="AL33" s="2">
        <f t="shared" si="90"/>
        <v>0</v>
      </c>
      <c r="AM33" s="8">
        <f t="shared" si="80"/>
        <v>4.65E-2</v>
      </c>
      <c r="AN33" s="2">
        <f t="shared" si="91"/>
        <v>0</v>
      </c>
      <c r="AO33" s="2">
        <f t="shared" si="81"/>
        <v>0</v>
      </c>
      <c r="AP33" s="6"/>
      <c r="AQ33" s="6"/>
      <c r="AR33" s="6"/>
      <c r="AS33" s="6"/>
      <c r="AT33" s="2">
        <f t="shared" si="39"/>
        <v>0</v>
      </c>
      <c r="AU33" s="2">
        <f t="shared" si="92"/>
        <v>0</v>
      </c>
      <c r="AV33" s="2">
        <f t="shared" si="82"/>
        <v>0</v>
      </c>
      <c r="AW33" s="1">
        <f t="shared" si="77"/>
        <v>0</v>
      </c>
      <c r="AX33" s="2">
        <f t="shared" si="6"/>
        <v>0</v>
      </c>
      <c r="AY33" s="1">
        <f t="shared" si="83"/>
        <v>0</v>
      </c>
      <c r="AZ33" s="2">
        <f t="shared" si="40"/>
        <v>0</v>
      </c>
      <c r="BA33" s="2">
        <f t="shared" si="93"/>
        <v>105866.55624999999</v>
      </c>
      <c r="BB33" s="2">
        <f t="shared" si="9"/>
        <v>0</v>
      </c>
      <c r="BC33" s="2">
        <f t="shared" si="41"/>
        <v>0</v>
      </c>
      <c r="BD33" s="2">
        <f t="shared" si="10"/>
        <v>105866.55624999999</v>
      </c>
      <c r="BE33" s="2">
        <f t="shared" si="42"/>
        <v>1000</v>
      </c>
      <c r="BF33" s="2">
        <f t="shared" si="11"/>
        <v>924.64568749999887</v>
      </c>
      <c r="BG33" s="2">
        <f t="shared" si="12"/>
        <v>103941.91056249999</v>
      </c>
      <c r="BI33" s="8">
        <f t="shared" si="84"/>
        <v>2.8000000000000001E-2</v>
      </c>
      <c r="BJ33" s="5">
        <f t="shared" si="43"/>
        <v>1000</v>
      </c>
      <c r="BK33" s="2">
        <f t="shared" si="44"/>
        <v>100000</v>
      </c>
      <c r="BL33" s="2">
        <f t="shared" si="45"/>
        <v>100000</v>
      </c>
      <c r="BM33" s="2">
        <f t="shared" si="13"/>
        <v>100000</v>
      </c>
      <c r="BN33" s="8">
        <f t="shared" si="14"/>
        <v>4.2999999999999997E-2</v>
      </c>
      <c r="BO33" s="2">
        <f t="shared" si="15"/>
        <v>101075</v>
      </c>
      <c r="BP33" s="2" t="str">
        <f t="shared" si="16"/>
        <v>nie</v>
      </c>
      <c r="BQ33" s="2">
        <f t="shared" si="17"/>
        <v>2000</v>
      </c>
      <c r="BR33" s="1">
        <f t="shared" si="85"/>
        <v>50</v>
      </c>
      <c r="BS33" s="6"/>
      <c r="BT33" s="6"/>
      <c r="BU33" s="6"/>
      <c r="BV33" s="2">
        <f t="shared" si="94"/>
        <v>5000</v>
      </c>
      <c r="BW33" s="8">
        <f t="shared" si="86"/>
        <v>0.05</v>
      </c>
      <c r="BX33" s="2">
        <f t="shared" si="95"/>
        <v>5062.5</v>
      </c>
      <c r="BY33" s="2">
        <f t="shared" si="87"/>
        <v>62.5</v>
      </c>
      <c r="BZ33" s="6"/>
      <c r="CA33" s="6"/>
      <c r="CB33" s="6"/>
      <c r="CC33" s="6"/>
      <c r="CD33" s="2">
        <f t="shared" si="18"/>
        <v>0</v>
      </c>
      <c r="CE33" s="2">
        <f t="shared" si="96"/>
        <v>0</v>
      </c>
      <c r="CF33" s="2">
        <f t="shared" si="97"/>
        <v>0</v>
      </c>
      <c r="CG33" s="1">
        <f t="shared" si="78"/>
        <v>0</v>
      </c>
      <c r="CH33" s="2">
        <f t="shared" si="20"/>
        <v>0</v>
      </c>
      <c r="CI33" s="1">
        <f t="shared" si="89"/>
        <v>0</v>
      </c>
      <c r="CJ33" s="2">
        <f t="shared" si="98"/>
        <v>0</v>
      </c>
      <c r="CK33" s="2">
        <f t="shared" si="99"/>
        <v>106137.5</v>
      </c>
      <c r="CL33" s="2">
        <f t="shared" si="23"/>
        <v>0</v>
      </c>
      <c r="CM33" s="2">
        <f t="shared" si="47"/>
        <v>0</v>
      </c>
      <c r="CN33" s="2">
        <f t="shared" si="24"/>
        <v>106137.5</v>
      </c>
      <c r="CO33" s="2">
        <f t="shared" si="48"/>
        <v>2062.5</v>
      </c>
      <c r="CP33" s="2">
        <f t="shared" si="25"/>
        <v>774.25</v>
      </c>
      <c r="CQ33" s="2">
        <f t="shared" si="26"/>
        <v>103300.75</v>
      </c>
      <c r="CS33" s="5">
        <f t="shared" si="49"/>
        <v>1000</v>
      </c>
      <c r="CT33" s="2">
        <f t="shared" si="50"/>
        <v>100000</v>
      </c>
      <c r="CU33" s="2">
        <f t="shared" si="51"/>
        <v>100000</v>
      </c>
      <c r="CV33" s="2">
        <f t="shared" si="52"/>
        <v>105600</v>
      </c>
      <c r="CW33" s="8">
        <f t="shared" si="27"/>
        <v>4.8000000000000001E-2</v>
      </c>
      <c r="CX33" s="2">
        <f t="shared" si="28"/>
        <v>106867.2</v>
      </c>
      <c r="CY33" s="2" t="str">
        <f t="shared" si="29"/>
        <v>nie</v>
      </c>
      <c r="CZ33" s="2">
        <f t="shared" si="53"/>
        <v>0</v>
      </c>
      <c r="DA33" s="2">
        <f t="shared" si="54"/>
        <v>0</v>
      </c>
      <c r="DB33" s="2">
        <f t="shared" si="55"/>
        <v>106867.2</v>
      </c>
      <c r="DC33" s="2">
        <f t="shared" si="30"/>
        <v>0</v>
      </c>
      <c r="DD33" s="2">
        <f t="shared" si="56"/>
        <v>0</v>
      </c>
      <c r="DE33" s="2">
        <f t="shared" si="57"/>
        <v>106867.2</v>
      </c>
      <c r="DF33" s="2">
        <f t="shared" si="32"/>
        <v>3000</v>
      </c>
      <c r="DG33" s="2">
        <f t="shared" si="33"/>
        <v>734.76799999999946</v>
      </c>
      <c r="DH33" s="2">
        <f t="shared" si="58"/>
        <v>103132.432</v>
      </c>
    </row>
    <row r="34" spans="2:112" ht="23.5" customHeight="1" thickBot="1">
      <c r="M34" s="49">
        <f>zakup_domyslny_mc</f>
        <v>50</v>
      </c>
      <c r="N34" s="40">
        <f t="shared" ref="N34:U34" si="100">D17/zakup_domyslny_wartosc-1</f>
        <v>0.19870861459231737</v>
      </c>
      <c r="O34" s="40">
        <f t="shared" si="100"/>
        <v>0.15073617572031739</v>
      </c>
      <c r="P34" s="40">
        <f t="shared" si="100"/>
        <v>0.19801858099999947</v>
      </c>
      <c r="Q34" s="40">
        <f t="shared" si="100"/>
        <v>0.15002448099999954</v>
      </c>
      <c r="R34" s="40">
        <f t="shared" si="100"/>
        <v>0.21999160987320332</v>
      </c>
      <c r="S34" s="40">
        <f t="shared" si="100"/>
        <v>0.15290290763145231</v>
      </c>
      <c r="T34" s="40">
        <f t="shared" si="100"/>
        <v>0.15399767052544489</v>
      </c>
      <c r="U34" s="41">
        <f t="shared" si="100"/>
        <v>0.12200412062839461</v>
      </c>
      <c r="W34" s="1">
        <f t="shared" si="34"/>
        <v>16</v>
      </c>
      <c r="X34" s="2">
        <f t="shared" si="0"/>
        <v>103759.46666666667</v>
      </c>
      <c r="Y34" s="8">
        <f t="shared" si="76"/>
        <v>4.1300000000000003E-2</v>
      </c>
      <c r="Z34" s="5">
        <f t="shared" si="35"/>
        <v>1000</v>
      </c>
      <c r="AA34" s="2">
        <f t="shared" si="36"/>
        <v>100000</v>
      </c>
      <c r="AB34" s="2">
        <f t="shared" si="37"/>
        <v>100000</v>
      </c>
      <c r="AC34" s="2">
        <f t="shared" si="38"/>
        <v>104650</v>
      </c>
      <c r="AD34" s="8">
        <f t="shared" si="1"/>
        <v>4.65E-2</v>
      </c>
      <c r="AE34" s="2">
        <f t="shared" si="2"/>
        <v>106272.07500000001</v>
      </c>
      <c r="AF34" s="2" t="str">
        <f t="shared" si="3"/>
        <v>nie</v>
      </c>
      <c r="AG34" s="2">
        <f t="shared" si="4"/>
        <v>1000</v>
      </c>
      <c r="AH34" s="1">
        <f t="shared" si="79"/>
        <v>0</v>
      </c>
      <c r="AI34" s="6"/>
      <c r="AJ34" s="6"/>
      <c r="AK34" s="6"/>
      <c r="AL34" s="2">
        <f t="shared" si="90"/>
        <v>0</v>
      </c>
      <c r="AM34" s="8">
        <f t="shared" si="80"/>
        <v>4.65E-2</v>
      </c>
      <c r="AN34" s="2">
        <f t="shared" si="91"/>
        <v>0</v>
      </c>
      <c r="AO34" s="2">
        <f t="shared" si="81"/>
        <v>0</v>
      </c>
      <c r="AP34" s="6"/>
      <c r="AQ34" s="6"/>
      <c r="AR34" s="6"/>
      <c r="AS34" s="6"/>
      <c r="AT34" s="2">
        <f t="shared" si="39"/>
        <v>0</v>
      </c>
      <c r="AU34" s="2">
        <f t="shared" si="92"/>
        <v>0</v>
      </c>
      <c r="AV34" s="2">
        <f t="shared" si="82"/>
        <v>0</v>
      </c>
      <c r="AW34" s="1">
        <f t="shared" si="77"/>
        <v>0</v>
      </c>
      <c r="AX34" s="2">
        <f t="shared" si="6"/>
        <v>0</v>
      </c>
      <c r="AY34" s="1">
        <f t="shared" si="83"/>
        <v>0</v>
      </c>
      <c r="AZ34" s="2">
        <f t="shared" si="40"/>
        <v>0</v>
      </c>
      <c r="BA34" s="2">
        <f t="shared" si="93"/>
        <v>106272.07500000001</v>
      </c>
      <c r="BB34" s="2">
        <f t="shared" si="9"/>
        <v>0</v>
      </c>
      <c r="BC34" s="2">
        <f t="shared" si="41"/>
        <v>0</v>
      </c>
      <c r="BD34" s="2">
        <f t="shared" si="10"/>
        <v>106272.07500000001</v>
      </c>
      <c r="BE34" s="2">
        <f t="shared" si="42"/>
        <v>1000</v>
      </c>
      <c r="BF34" s="2">
        <f t="shared" si="11"/>
        <v>1001.6942500000022</v>
      </c>
      <c r="BG34" s="2">
        <f t="shared" si="12"/>
        <v>104270.38075000001</v>
      </c>
      <c r="BI34" s="8">
        <f t="shared" si="84"/>
        <v>2.8000000000000001E-2</v>
      </c>
      <c r="BJ34" s="5">
        <f t="shared" si="43"/>
        <v>1000</v>
      </c>
      <c r="BK34" s="2">
        <f t="shared" si="44"/>
        <v>100000</v>
      </c>
      <c r="BL34" s="2">
        <f t="shared" si="45"/>
        <v>100000</v>
      </c>
      <c r="BM34" s="2">
        <f t="shared" si="13"/>
        <v>100000</v>
      </c>
      <c r="BN34" s="8">
        <f t="shared" si="14"/>
        <v>4.2999999999999997E-2</v>
      </c>
      <c r="BO34" s="2">
        <f t="shared" si="15"/>
        <v>101433.33333333333</v>
      </c>
      <c r="BP34" s="2" t="str">
        <f t="shared" si="16"/>
        <v>nie</v>
      </c>
      <c r="BQ34" s="2">
        <f t="shared" si="17"/>
        <v>2000</v>
      </c>
      <c r="BR34" s="1">
        <f t="shared" si="85"/>
        <v>50</v>
      </c>
      <c r="BS34" s="6"/>
      <c r="BT34" s="6"/>
      <c r="BU34" s="6"/>
      <c r="BV34" s="2">
        <f t="shared" si="94"/>
        <v>5000</v>
      </c>
      <c r="BW34" s="8">
        <f t="shared" si="86"/>
        <v>0.05</v>
      </c>
      <c r="BX34" s="2">
        <f t="shared" si="95"/>
        <v>5083.333333333333</v>
      </c>
      <c r="BY34" s="2">
        <f t="shared" si="87"/>
        <v>83.33333333333303</v>
      </c>
      <c r="BZ34" s="6"/>
      <c r="CA34" s="6"/>
      <c r="CB34" s="6"/>
      <c r="CC34" s="6"/>
      <c r="CD34" s="2">
        <f t="shared" si="18"/>
        <v>0</v>
      </c>
      <c r="CE34" s="2">
        <f t="shared" si="96"/>
        <v>0</v>
      </c>
      <c r="CF34" s="2">
        <f t="shared" si="97"/>
        <v>0</v>
      </c>
      <c r="CG34" s="1">
        <f t="shared" si="78"/>
        <v>0</v>
      </c>
      <c r="CH34" s="2">
        <f t="shared" si="20"/>
        <v>0</v>
      </c>
      <c r="CI34" s="1">
        <f t="shared" si="89"/>
        <v>0</v>
      </c>
      <c r="CJ34" s="2">
        <f t="shared" si="98"/>
        <v>0</v>
      </c>
      <c r="CK34" s="2">
        <f t="shared" si="99"/>
        <v>106516.66666666666</v>
      </c>
      <c r="CL34" s="2">
        <f t="shared" si="23"/>
        <v>0</v>
      </c>
      <c r="CM34" s="2">
        <f t="shared" si="47"/>
        <v>0</v>
      </c>
      <c r="CN34" s="2">
        <f t="shared" si="24"/>
        <v>106516.66666666666</v>
      </c>
      <c r="CO34" s="2">
        <f t="shared" si="48"/>
        <v>2083.333333333333</v>
      </c>
      <c r="CP34" s="2">
        <f t="shared" si="25"/>
        <v>842.33333333333246</v>
      </c>
      <c r="CQ34" s="2">
        <f t="shared" si="26"/>
        <v>103591</v>
      </c>
      <c r="CS34" s="5">
        <f t="shared" si="49"/>
        <v>1000</v>
      </c>
      <c r="CT34" s="2">
        <f t="shared" si="50"/>
        <v>100000</v>
      </c>
      <c r="CU34" s="2">
        <f t="shared" si="51"/>
        <v>100000</v>
      </c>
      <c r="CV34" s="2">
        <f t="shared" si="52"/>
        <v>105600</v>
      </c>
      <c r="CW34" s="8">
        <f t="shared" si="27"/>
        <v>4.8000000000000001E-2</v>
      </c>
      <c r="CX34" s="2">
        <f t="shared" si="28"/>
        <v>107289.60000000001</v>
      </c>
      <c r="CY34" s="2" t="str">
        <f t="shared" si="29"/>
        <v>nie</v>
      </c>
      <c r="CZ34" s="2">
        <f t="shared" si="53"/>
        <v>0</v>
      </c>
      <c r="DA34" s="2">
        <f t="shared" si="54"/>
        <v>0</v>
      </c>
      <c r="DB34" s="2">
        <f t="shared" si="55"/>
        <v>107289.60000000001</v>
      </c>
      <c r="DC34" s="2">
        <f t="shared" si="30"/>
        <v>0</v>
      </c>
      <c r="DD34" s="2">
        <f t="shared" si="56"/>
        <v>0</v>
      </c>
      <c r="DE34" s="2">
        <f t="shared" si="57"/>
        <v>107289.60000000001</v>
      </c>
      <c r="DF34" s="2">
        <f t="shared" si="32"/>
        <v>3000</v>
      </c>
      <c r="DG34" s="2">
        <f t="shared" si="33"/>
        <v>815.02400000000114</v>
      </c>
      <c r="DH34" s="2">
        <f t="shared" si="58"/>
        <v>103474.576</v>
      </c>
    </row>
    <row r="35" spans="2:112">
      <c r="W35" s="1">
        <f t="shared" si="34"/>
        <v>17</v>
      </c>
      <c r="X35" s="2">
        <f t="shared" si="0"/>
        <v>103999.33333333334</v>
      </c>
      <c r="Y35" s="8">
        <f t="shared" si="76"/>
        <v>4.1300000000000003E-2</v>
      </c>
      <c r="Z35" s="5">
        <f t="shared" si="35"/>
        <v>1000</v>
      </c>
      <c r="AA35" s="2">
        <f t="shared" si="36"/>
        <v>100000</v>
      </c>
      <c r="AB35" s="2">
        <f t="shared" si="37"/>
        <v>100000</v>
      </c>
      <c r="AC35" s="2">
        <f t="shared" si="38"/>
        <v>104650</v>
      </c>
      <c r="AD35" s="8">
        <f t="shared" si="1"/>
        <v>4.65E-2</v>
      </c>
      <c r="AE35" s="2">
        <f t="shared" si="2"/>
        <v>106677.59374999999</v>
      </c>
      <c r="AF35" s="2" t="str">
        <f t="shared" si="3"/>
        <v>nie</v>
      </c>
      <c r="AG35" s="2">
        <f t="shared" si="4"/>
        <v>1000</v>
      </c>
      <c r="AH35" s="1">
        <f t="shared" si="79"/>
        <v>0</v>
      </c>
      <c r="AI35" s="6"/>
      <c r="AJ35" s="6"/>
      <c r="AK35" s="6"/>
      <c r="AL35" s="2">
        <f t="shared" si="90"/>
        <v>0</v>
      </c>
      <c r="AM35" s="8">
        <f t="shared" si="80"/>
        <v>4.65E-2</v>
      </c>
      <c r="AN35" s="2">
        <f t="shared" si="91"/>
        <v>0</v>
      </c>
      <c r="AO35" s="2">
        <f t="shared" si="81"/>
        <v>0</v>
      </c>
      <c r="AP35" s="6"/>
      <c r="AQ35" s="6"/>
      <c r="AR35" s="6"/>
      <c r="AS35" s="6"/>
      <c r="AT35" s="2">
        <f t="shared" si="39"/>
        <v>0</v>
      </c>
      <c r="AU35" s="2">
        <f t="shared" si="92"/>
        <v>0</v>
      </c>
      <c r="AV35" s="2">
        <f t="shared" si="82"/>
        <v>0</v>
      </c>
      <c r="AW35" s="1">
        <f t="shared" si="77"/>
        <v>0</v>
      </c>
      <c r="AX35" s="2">
        <f t="shared" si="6"/>
        <v>0</v>
      </c>
      <c r="AY35" s="1">
        <f t="shared" si="83"/>
        <v>0</v>
      </c>
      <c r="AZ35" s="2">
        <f t="shared" si="40"/>
        <v>0</v>
      </c>
      <c r="BA35" s="2">
        <f t="shared" si="93"/>
        <v>106677.59374999999</v>
      </c>
      <c r="BB35" s="2">
        <f t="shared" si="9"/>
        <v>0</v>
      </c>
      <c r="BC35" s="2">
        <f t="shared" si="41"/>
        <v>0</v>
      </c>
      <c r="BD35" s="2">
        <f t="shared" si="10"/>
        <v>106677.59374999999</v>
      </c>
      <c r="BE35" s="2">
        <f t="shared" si="42"/>
        <v>1000</v>
      </c>
      <c r="BF35" s="2">
        <f t="shared" si="11"/>
        <v>1078.7428124999972</v>
      </c>
      <c r="BG35" s="2">
        <f t="shared" si="12"/>
        <v>104598.85093749998</v>
      </c>
      <c r="BI35" s="8">
        <f t="shared" si="84"/>
        <v>2.8000000000000001E-2</v>
      </c>
      <c r="BJ35" s="5">
        <f t="shared" si="43"/>
        <v>1000</v>
      </c>
      <c r="BK35" s="2">
        <f t="shared" si="44"/>
        <v>100000</v>
      </c>
      <c r="BL35" s="2">
        <f t="shared" si="45"/>
        <v>100000</v>
      </c>
      <c r="BM35" s="2">
        <f t="shared" si="13"/>
        <v>100000</v>
      </c>
      <c r="BN35" s="8">
        <f t="shared" si="14"/>
        <v>4.2999999999999997E-2</v>
      </c>
      <c r="BO35" s="2">
        <f t="shared" si="15"/>
        <v>101791.66666666666</v>
      </c>
      <c r="BP35" s="2" t="str">
        <f t="shared" si="16"/>
        <v>nie</v>
      </c>
      <c r="BQ35" s="2">
        <f t="shared" si="17"/>
        <v>2000</v>
      </c>
      <c r="BR35" s="1">
        <f t="shared" si="85"/>
        <v>50</v>
      </c>
      <c r="BS35" s="6"/>
      <c r="BT35" s="6"/>
      <c r="BU35" s="6"/>
      <c r="BV35" s="2">
        <f t="shared" si="94"/>
        <v>5000</v>
      </c>
      <c r="BW35" s="8">
        <f t="shared" si="86"/>
        <v>0.05</v>
      </c>
      <c r="BX35" s="2">
        <f t="shared" si="95"/>
        <v>5104.1666666666661</v>
      </c>
      <c r="BY35" s="2">
        <f t="shared" si="87"/>
        <v>100</v>
      </c>
      <c r="BZ35" s="6"/>
      <c r="CA35" s="6"/>
      <c r="CB35" s="6"/>
      <c r="CC35" s="6"/>
      <c r="CD35" s="2">
        <f t="shared" si="18"/>
        <v>0</v>
      </c>
      <c r="CE35" s="2">
        <f t="shared" si="96"/>
        <v>0</v>
      </c>
      <c r="CF35" s="2">
        <f t="shared" si="97"/>
        <v>0</v>
      </c>
      <c r="CG35" s="1">
        <f t="shared" si="78"/>
        <v>0</v>
      </c>
      <c r="CH35" s="2">
        <f t="shared" si="20"/>
        <v>0</v>
      </c>
      <c r="CI35" s="1">
        <f t="shared" si="89"/>
        <v>0</v>
      </c>
      <c r="CJ35" s="2">
        <f t="shared" si="98"/>
        <v>0</v>
      </c>
      <c r="CK35" s="2">
        <f t="shared" si="99"/>
        <v>106895.83333333333</v>
      </c>
      <c r="CL35" s="2">
        <f t="shared" si="23"/>
        <v>0</v>
      </c>
      <c r="CM35" s="2">
        <f t="shared" si="47"/>
        <v>0</v>
      </c>
      <c r="CN35" s="2">
        <f t="shared" si="24"/>
        <v>106895.83333333333</v>
      </c>
      <c r="CO35" s="2">
        <f t="shared" si="48"/>
        <v>2100</v>
      </c>
      <c r="CP35" s="2">
        <f t="shared" si="25"/>
        <v>911.20833333333246</v>
      </c>
      <c r="CQ35" s="2">
        <f t="shared" si="26"/>
        <v>103884.625</v>
      </c>
      <c r="CS35" s="5">
        <f t="shared" si="49"/>
        <v>1000</v>
      </c>
      <c r="CT35" s="2">
        <f t="shared" si="50"/>
        <v>100000</v>
      </c>
      <c r="CU35" s="2">
        <f t="shared" si="51"/>
        <v>100000</v>
      </c>
      <c r="CV35" s="2">
        <f t="shared" si="52"/>
        <v>105600</v>
      </c>
      <c r="CW35" s="8">
        <f t="shared" si="27"/>
        <v>4.8000000000000001E-2</v>
      </c>
      <c r="CX35" s="2">
        <f t="shared" si="28"/>
        <v>107712</v>
      </c>
      <c r="CY35" s="2" t="str">
        <f t="shared" si="29"/>
        <v>nie</v>
      </c>
      <c r="CZ35" s="2">
        <f t="shared" si="53"/>
        <v>0</v>
      </c>
      <c r="DA35" s="2">
        <f t="shared" si="54"/>
        <v>0</v>
      </c>
      <c r="DB35" s="2">
        <f t="shared" si="55"/>
        <v>107712</v>
      </c>
      <c r="DC35" s="2">
        <f t="shared" si="30"/>
        <v>0</v>
      </c>
      <c r="DD35" s="2">
        <f t="shared" si="56"/>
        <v>0</v>
      </c>
      <c r="DE35" s="2">
        <f t="shared" si="57"/>
        <v>107712</v>
      </c>
      <c r="DF35" s="2">
        <f t="shared" si="32"/>
        <v>3000</v>
      </c>
      <c r="DG35" s="2">
        <f t="shared" si="33"/>
        <v>895.28</v>
      </c>
      <c r="DH35" s="2">
        <f t="shared" si="58"/>
        <v>103816.72</v>
      </c>
    </row>
    <row r="36" spans="2:112" ht="32">
      <c r="C36" s="9" t="s">
        <v>13</v>
      </c>
      <c r="D36" s="63" t="s">
        <v>106</v>
      </c>
      <c r="E36" s="64" t="s">
        <v>107</v>
      </c>
      <c r="F36" s="12" t="s">
        <v>50</v>
      </c>
      <c r="G36" s="11" t="s">
        <v>0</v>
      </c>
      <c r="H36" s="12" t="s">
        <v>51</v>
      </c>
      <c r="I36" s="11" t="s">
        <v>1</v>
      </c>
      <c r="J36" s="11" t="s">
        <v>65</v>
      </c>
      <c r="K36" s="12" t="s">
        <v>52</v>
      </c>
      <c r="W36" s="1">
        <f t="shared" si="34"/>
        <v>18</v>
      </c>
      <c r="X36" s="2">
        <f t="shared" si="0"/>
        <v>104239.2</v>
      </c>
      <c r="Y36" s="8">
        <f t="shared" si="76"/>
        <v>4.1300000000000003E-2</v>
      </c>
      <c r="Z36" s="5">
        <f t="shared" si="35"/>
        <v>1000</v>
      </c>
      <c r="AA36" s="2">
        <f t="shared" si="36"/>
        <v>100000</v>
      </c>
      <c r="AB36" s="2">
        <f t="shared" si="37"/>
        <v>100000</v>
      </c>
      <c r="AC36" s="2">
        <f t="shared" si="38"/>
        <v>104650</v>
      </c>
      <c r="AD36" s="8">
        <f t="shared" si="1"/>
        <v>4.65E-2</v>
      </c>
      <c r="AE36" s="2">
        <f t="shared" si="2"/>
        <v>107083.1125</v>
      </c>
      <c r="AF36" s="2" t="str">
        <f t="shared" si="3"/>
        <v>nie</v>
      </c>
      <c r="AG36" s="2">
        <f t="shared" si="4"/>
        <v>1000</v>
      </c>
      <c r="AH36" s="1">
        <f t="shared" si="79"/>
        <v>0</v>
      </c>
      <c r="AI36" s="6"/>
      <c r="AJ36" s="6"/>
      <c r="AK36" s="6"/>
      <c r="AL36" s="2">
        <f t="shared" si="90"/>
        <v>0</v>
      </c>
      <c r="AM36" s="8">
        <f t="shared" si="80"/>
        <v>4.65E-2</v>
      </c>
      <c r="AN36" s="2">
        <f t="shared" si="91"/>
        <v>0</v>
      </c>
      <c r="AO36" s="2">
        <f t="shared" si="81"/>
        <v>0</v>
      </c>
      <c r="AP36" s="6"/>
      <c r="AQ36" s="6"/>
      <c r="AR36" s="6"/>
      <c r="AS36" s="6"/>
      <c r="AT36" s="2">
        <f t="shared" si="39"/>
        <v>0</v>
      </c>
      <c r="AU36" s="2">
        <f t="shared" si="92"/>
        <v>0</v>
      </c>
      <c r="AV36" s="2">
        <f t="shared" si="82"/>
        <v>0</v>
      </c>
      <c r="AW36" s="1">
        <f t="shared" si="77"/>
        <v>0</v>
      </c>
      <c r="AX36" s="2">
        <f t="shared" si="6"/>
        <v>0</v>
      </c>
      <c r="AY36" s="1">
        <f t="shared" si="83"/>
        <v>0</v>
      </c>
      <c r="AZ36" s="2">
        <f t="shared" si="40"/>
        <v>0</v>
      </c>
      <c r="BA36" s="2">
        <f t="shared" si="93"/>
        <v>107083.1125</v>
      </c>
      <c r="BB36" s="2">
        <f t="shared" si="9"/>
        <v>0</v>
      </c>
      <c r="BC36" s="2">
        <f t="shared" si="41"/>
        <v>0</v>
      </c>
      <c r="BD36" s="2">
        <f t="shared" si="10"/>
        <v>107083.1125</v>
      </c>
      <c r="BE36" s="2">
        <f t="shared" si="42"/>
        <v>1000</v>
      </c>
      <c r="BF36" s="2">
        <f t="shared" si="11"/>
        <v>1155.7913750000005</v>
      </c>
      <c r="BG36" s="2">
        <f t="shared" si="12"/>
        <v>104927.321125</v>
      </c>
      <c r="BI36" s="8">
        <f t="shared" si="84"/>
        <v>2.8000000000000001E-2</v>
      </c>
      <c r="BJ36" s="5">
        <f t="shared" si="43"/>
        <v>1000</v>
      </c>
      <c r="BK36" s="2">
        <f t="shared" si="44"/>
        <v>100000</v>
      </c>
      <c r="BL36" s="2">
        <f t="shared" si="45"/>
        <v>100000</v>
      </c>
      <c r="BM36" s="2">
        <f t="shared" si="13"/>
        <v>100000</v>
      </c>
      <c r="BN36" s="8">
        <f t="shared" si="14"/>
        <v>4.2999999999999997E-2</v>
      </c>
      <c r="BO36" s="2">
        <f t="shared" si="15"/>
        <v>102150.00000000001</v>
      </c>
      <c r="BP36" s="2" t="str">
        <f t="shared" si="16"/>
        <v>nie</v>
      </c>
      <c r="BQ36" s="2">
        <f t="shared" si="17"/>
        <v>2000</v>
      </c>
      <c r="BR36" s="1">
        <f t="shared" si="85"/>
        <v>50</v>
      </c>
      <c r="BS36" s="6"/>
      <c r="BT36" s="6"/>
      <c r="BU36" s="6"/>
      <c r="BV36" s="2">
        <f t="shared" si="94"/>
        <v>5000</v>
      </c>
      <c r="BW36" s="8">
        <f t="shared" si="86"/>
        <v>0.05</v>
      </c>
      <c r="BX36" s="2">
        <f t="shared" si="95"/>
        <v>5125</v>
      </c>
      <c r="BY36" s="2">
        <f t="shared" si="87"/>
        <v>100</v>
      </c>
      <c r="BZ36" s="6"/>
      <c r="CA36" s="6"/>
      <c r="CB36" s="6"/>
      <c r="CC36" s="6"/>
      <c r="CD36" s="2">
        <f t="shared" si="18"/>
        <v>0</v>
      </c>
      <c r="CE36" s="2">
        <f t="shared" si="96"/>
        <v>0</v>
      </c>
      <c r="CF36" s="2">
        <f t="shared" si="97"/>
        <v>0</v>
      </c>
      <c r="CG36" s="1">
        <f t="shared" si="78"/>
        <v>0</v>
      </c>
      <c r="CH36" s="2">
        <f t="shared" si="20"/>
        <v>0</v>
      </c>
      <c r="CI36" s="1">
        <f t="shared" si="89"/>
        <v>0</v>
      </c>
      <c r="CJ36" s="2">
        <f t="shared" si="98"/>
        <v>0</v>
      </c>
      <c r="CK36" s="2">
        <f t="shared" si="99"/>
        <v>107275.00000000001</v>
      </c>
      <c r="CL36" s="2">
        <f t="shared" si="23"/>
        <v>0</v>
      </c>
      <c r="CM36" s="2">
        <f t="shared" si="47"/>
        <v>0</v>
      </c>
      <c r="CN36" s="2">
        <f t="shared" si="24"/>
        <v>107275.00000000001</v>
      </c>
      <c r="CO36" s="2">
        <f t="shared" si="48"/>
        <v>2100</v>
      </c>
      <c r="CP36" s="2">
        <f t="shared" si="25"/>
        <v>983.25000000000273</v>
      </c>
      <c r="CQ36" s="2">
        <f t="shared" si="26"/>
        <v>104191.75000000001</v>
      </c>
      <c r="CS36" s="5">
        <f t="shared" si="49"/>
        <v>1000</v>
      </c>
      <c r="CT36" s="2">
        <f t="shared" si="50"/>
        <v>100000</v>
      </c>
      <c r="CU36" s="2">
        <f t="shared" si="51"/>
        <v>100000</v>
      </c>
      <c r="CV36" s="2">
        <f t="shared" si="52"/>
        <v>105600</v>
      </c>
      <c r="CW36" s="8">
        <f t="shared" si="27"/>
        <v>4.8000000000000001E-2</v>
      </c>
      <c r="CX36" s="2">
        <f t="shared" si="28"/>
        <v>108134.40000000001</v>
      </c>
      <c r="CY36" s="2" t="str">
        <f t="shared" si="29"/>
        <v>nie</v>
      </c>
      <c r="CZ36" s="2">
        <f t="shared" si="53"/>
        <v>0</v>
      </c>
      <c r="DA36" s="2">
        <f t="shared" si="54"/>
        <v>0</v>
      </c>
      <c r="DB36" s="2">
        <f t="shared" si="55"/>
        <v>108134.40000000001</v>
      </c>
      <c r="DC36" s="2">
        <f t="shared" si="30"/>
        <v>0</v>
      </c>
      <c r="DD36" s="2">
        <f t="shared" si="56"/>
        <v>0</v>
      </c>
      <c r="DE36" s="2">
        <f t="shared" si="57"/>
        <v>108134.40000000001</v>
      </c>
      <c r="DF36" s="2">
        <f t="shared" si="32"/>
        <v>3000</v>
      </c>
      <c r="DG36" s="2">
        <f t="shared" si="33"/>
        <v>975.53600000000165</v>
      </c>
      <c r="DH36" s="2">
        <f t="shared" si="58"/>
        <v>104158.864</v>
      </c>
    </row>
    <row r="37" spans="2:112">
      <c r="B37" s="227">
        <f>ROUNDUP(C38/12,0)</f>
        <v>1</v>
      </c>
      <c r="C37" s="1">
        <v>0</v>
      </c>
      <c r="D37" s="2">
        <f t="shared" ref="D37:K37" si="101">zakup_domyslny_wartosc</f>
        <v>100000</v>
      </c>
      <c r="E37" s="2">
        <f t="shared" si="101"/>
        <v>100000</v>
      </c>
      <c r="F37" s="2">
        <f t="shared" si="101"/>
        <v>100000</v>
      </c>
      <c r="G37" s="2">
        <f t="shared" si="101"/>
        <v>100000</v>
      </c>
      <c r="H37" s="2">
        <f t="shared" si="101"/>
        <v>100000</v>
      </c>
      <c r="I37" s="2">
        <f t="shared" si="101"/>
        <v>100000</v>
      </c>
      <c r="J37" s="24">
        <f t="shared" si="101"/>
        <v>100000</v>
      </c>
      <c r="K37" s="2">
        <f t="shared" si="101"/>
        <v>100000</v>
      </c>
      <c r="W37" s="1">
        <f t="shared" si="34"/>
        <v>19</v>
      </c>
      <c r="X37" s="2">
        <f t="shared" si="0"/>
        <v>104479.06666666667</v>
      </c>
      <c r="Y37" s="8">
        <f t="shared" si="76"/>
        <v>4.1300000000000003E-2</v>
      </c>
      <c r="Z37" s="5">
        <f t="shared" si="35"/>
        <v>1000</v>
      </c>
      <c r="AA37" s="2">
        <f t="shared" si="36"/>
        <v>100000</v>
      </c>
      <c r="AB37" s="2">
        <f t="shared" si="37"/>
        <v>100000</v>
      </c>
      <c r="AC37" s="2">
        <f t="shared" si="38"/>
        <v>104650</v>
      </c>
      <c r="AD37" s="8">
        <f t="shared" si="1"/>
        <v>4.65E-2</v>
      </c>
      <c r="AE37" s="2">
        <f t="shared" si="2"/>
        <v>107488.63125000001</v>
      </c>
      <c r="AF37" s="2" t="str">
        <f t="shared" si="3"/>
        <v>nie</v>
      </c>
      <c r="AG37" s="2">
        <f t="shared" si="4"/>
        <v>1000</v>
      </c>
      <c r="AH37" s="1">
        <f t="shared" si="79"/>
        <v>0</v>
      </c>
      <c r="AI37" s="6"/>
      <c r="AJ37" s="6"/>
      <c r="AK37" s="6"/>
      <c r="AL37" s="2">
        <f t="shared" si="90"/>
        <v>0</v>
      </c>
      <c r="AM37" s="8">
        <f t="shared" si="80"/>
        <v>4.65E-2</v>
      </c>
      <c r="AN37" s="2">
        <f t="shared" si="91"/>
        <v>0</v>
      </c>
      <c r="AO37" s="2">
        <f t="shared" si="81"/>
        <v>0</v>
      </c>
      <c r="AP37" s="6"/>
      <c r="AQ37" s="6"/>
      <c r="AR37" s="6"/>
      <c r="AS37" s="6"/>
      <c r="AT37" s="2">
        <f t="shared" si="39"/>
        <v>0</v>
      </c>
      <c r="AU37" s="2">
        <f t="shared" si="92"/>
        <v>0</v>
      </c>
      <c r="AV37" s="2">
        <f t="shared" si="82"/>
        <v>0</v>
      </c>
      <c r="AW37" s="1">
        <f t="shared" si="77"/>
        <v>0</v>
      </c>
      <c r="AX37" s="2">
        <f t="shared" si="6"/>
        <v>0</v>
      </c>
      <c r="AY37" s="1">
        <f t="shared" si="83"/>
        <v>0</v>
      </c>
      <c r="AZ37" s="2">
        <f t="shared" si="40"/>
        <v>0</v>
      </c>
      <c r="BA37" s="2">
        <f t="shared" si="93"/>
        <v>107488.63125000001</v>
      </c>
      <c r="BB37" s="2">
        <f t="shared" si="9"/>
        <v>0</v>
      </c>
      <c r="BC37" s="2">
        <f t="shared" si="41"/>
        <v>0</v>
      </c>
      <c r="BD37" s="2">
        <f t="shared" si="10"/>
        <v>107488.63125000001</v>
      </c>
      <c r="BE37" s="2">
        <f t="shared" si="42"/>
        <v>1000</v>
      </c>
      <c r="BF37" s="2">
        <f t="shared" si="11"/>
        <v>1232.839937500001</v>
      </c>
      <c r="BG37" s="2">
        <f t="shared" si="12"/>
        <v>105255.79131250001</v>
      </c>
      <c r="BI37" s="8">
        <f t="shared" si="84"/>
        <v>2.8000000000000001E-2</v>
      </c>
      <c r="BJ37" s="5">
        <f t="shared" si="43"/>
        <v>1000</v>
      </c>
      <c r="BK37" s="2">
        <f t="shared" si="44"/>
        <v>100000</v>
      </c>
      <c r="BL37" s="2">
        <f t="shared" si="45"/>
        <v>100000</v>
      </c>
      <c r="BM37" s="2">
        <f t="shared" si="13"/>
        <v>100000</v>
      </c>
      <c r="BN37" s="8">
        <f t="shared" si="14"/>
        <v>4.2999999999999997E-2</v>
      </c>
      <c r="BO37" s="2">
        <f t="shared" si="15"/>
        <v>102508.33333333333</v>
      </c>
      <c r="BP37" s="2" t="str">
        <f t="shared" si="16"/>
        <v>nie</v>
      </c>
      <c r="BQ37" s="2">
        <f t="shared" si="17"/>
        <v>2000</v>
      </c>
      <c r="BR37" s="1">
        <f t="shared" si="85"/>
        <v>50</v>
      </c>
      <c r="BS37" s="6"/>
      <c r="BT37" s="6"/>
      <c r="BU37" s="6"/>
      <c r="BV37" s="2">
        <f t="shared" si="94"/>
        <v>5000</v>
      </c>
      <c r="BW37" s="8">
        <f t="shared" si="86"/>
        <v>0.05</v>
      </c>
      <c r="BX37" s="2">
        <f t="shared" si="95"/>
        <v>5145.833333333333</v>
      </c>
      <c r="BY37" s="2">
        <f t="shared" si="87"/>
        <v>100</v>
      </c>
      <c r="BZ37" s="6"/>
      <c r="CA37" s="6"/>
      <c r="CB37" s="6"/>
      <c r="CC37" s="6"/>
      <c r="CD37" s="2">
        <f t="shared" si="18"/>
        <v>0</v>
      </c>
      <c r="CE37" s="2">
        <f t="shared" si="96"/>
        <v>0</v>
      </c>
      <c r="CF37" s="2">
        <f t="shared" si="97"/>
        <v>0</v>
      </c>
      <c r="CG37" s="1">
        <f t="shared" si="78"/>
        <v>0</v>
      </c>
      <c r="CH37" s="2">
        <f t="shared" si="20"/>
        <v>0</v>
      </c>
      <c r="CI37" s="1">
        <f t="shared" si="89"/>
        <v>0</v>
      </c>
      <c r="CJ37" s="2">
        <f t="shared" si="98"/>
        <v>0</v>
      </c>
      <c r="CK37" s="2">
        <f t="shared" si="99"/>
        <v>107654.16666666666</v>
      </c>
      <c r="CL37" s="2">
        <f t="shared" si="23"/>
        <v>0</v>
      </c>
      <c r="CM37" s="2">
        <f t="shared" si="47"/>
        <v>0</v>
      </c>
      <c r="CN37" s="2">
        <f t="shared" si="24"/>
        <v>107654.16666666666</v>
      </c>
      <c r="CO37" s="2">
        <f t="shared" si="48"/>
        <v>2100</v>
      </c>
      <c r="CP37" s="2">
        <f t="shared" si="25"/>
        <v>1055.2916666666649</v>
      </c>
      <c r="CQ37" s="2">
        <f t="shared" si="26"/>
        <v>104498.87499999999</v>
      </c>
      <c r="CS37" s="5">
        <f t="shared" si="49"/>
        <v>1000</v>
      </c>
      <c r="CT37" s="2">
        <f t="shared" si="50"/>
        <v>100000</v>
      </c>
      <c r="CU37" s="2">
        <f t="shared" si="51"/>
        <v>100000</v>
      </c>
      <c r="CV37" s="2">
        <f t="shared" si="52"/>
        <v>105600</v>
      </c>
      <c r="CW37" s="8">
        <f t="shared" si="27"/>
        <v>4.8000000000000001E-2</v>
      </c>
      <c r="CX37" s="2">
        <f t="shared" si="28"/>
        <v>108556.8</v>
      </c>
      <c r="CY37" s="2" t="str">
        <f t="shared" si="29"/>
        <v>nie</v>
      </c>
      <c r="CZ37" s="2">
        <f t="shared" si="53"/>
        <v>0</v>
      </c>
      <c r="DA37" s="2">
        <f t="shared" si="54"/>
        <v>0</v>
      </c>
      <c r="DB37" s="2">
        <f t="shared" si="55"/>
        <v>108556.8</v>
      </c>
      <c r="DC37" s="2">
        <f t="shared" si="30"/>
        <v>0</v>
      </c>
      <c r="DD37" s="2">
        <f t="shared" si="56"/>
        <v>0</v>
      </c>
      <c r="DE37" s="2">
        <f t="shared" si="57"/>
        <v>108556.8</v>
      </c>
      <c r="DF37" s="2">
        <f t="shared" si="32"/>
        <v>3000</v>
      </c>
      <c r="DG37" s="2">
        <f t="shared" si="33"/>
        <v>1055.7920000000006</v>
      </c>
      <c r="DH37" s="2">
        <f t="shared" si="58"/>
        <v>104501.008</v>
      </c>
    </row>
    <row r="38" spans="2:112">
      <c r="B38" s="228"/>
      <c r="C38" s="1">
        <f t="shared" ref="C38:C69" si="102">W19</f>
        <v>1</v>
      </c>
      <c r="D38" s="2">
        <f>BD19</f>
        <v>100387.50000000001</v>
      </c>
      <c r="E38" s="2">
        <f>BG19</f>
        <v>100000</v>
      </c>
      <c r="F38" s="2">
        <f>CN19</f>
        <v>100416.66666666667</v>
      </c>
      <c r="G38" s="2">
        <f>CQ19</f>
        <v>100000</v>
      </c>
      <c r="H38" s="2">
        <f>DE19</f>
        <v>100466.66666666666</v>
      </c>
      <c r="I38" s="2">
        <f>DH19</f>
        <v>100000</v>
      </c>
      <c r="J38" s="24">
        <f t="shared" ref="J38:J69" si="103">FV(INDEX(scenariusz_I_konto,MATCH(ROUNDUP(C38/12,0),scenariusz_I_rok,0))/12*(1-podatek_Belki),1,0,-J37,1)</f>
        <v>100286.875</v>
      </c>
      <c r="K38" s="2">
        <f t="shared" ref="K38:K69" si="104">X19</f>
        <v>100233.33333333333</v>
      </c>
      <c r="W38" s="1">
        <f t="shared" si="34"/>
        <v>20</v>
      </c>
      <c r="X38" s="2">
        <f t="shared" si="0"/>
        <v>104718.93333333333</v>
      </c>
      <c r="Y38" s="8">
        <f t="shared" si="76"/>
        <v>4.1300000000000003E-2</v>
      </c>
      <c r="Z38" s="5">
        <f t="shared" si="35"/>
        <v>1000</v>
      </c>
      <c r="AA38" s="2">
        <f t="shared" si="36"/>
        <v>100000</v>
      </c>
      <c r="AB38" s="2">
        <f t="shared" si="37"/>
        <v>100000</v>
      </c>
      <c r="AC38" s="2">
        <f t="shared" si="38"/>
        <v>104650</v>
      </c>
      <c r="AD38" s="8">
        <f t="shared" si="1"/>
        <v>4.65E-2</v>
      </c>
      <c r="AE38" s="2">
        <f t="shared" si="2"/>
        <v>107894.15</v>
      </c>
      <c r="AF38" s="2" t="str">
        <f t="shared" si="3"/>
        <v>nie</v>
      </c>
      <c r="AG38" s="2">
        <f t="shared" si="4"/>
        <v>1000</v>
      </c>
      <c r="AH38" s="1">
        <f t="shared" si="79"/>
        <v>0</v>
      </c>
      <c r="AI38" s="6"/>
      <c r="AJ38" s="6"/>
      <c r="AK38" s="6"/>
      <c r="AL38" s="2">
        <f t="shared" si="90"/>
        <v>0</v>
      </c>
      <c r="AM38" s="8">
        <f t="shared" si="80"/>
        <v>4.65E-2</v>
      </c>
      <c r="AN38" s="2">
        <f t="shared" si="91"/>
        <v>0</v>
      </c>
      <c r="AO38" s="2">
        <f t="shared" si="81"/>
        <v>0</v>
      </c>
      <c r="AP38" s="6"/>
      <c r="AQ38" s="6"/>
      <c r="AR38" s="6"/>
      <c r="AS38" s="6"/>
      <c r="AT38" s="2">
        <f t="shared" si="39"/>
        <v>0</v>
      </c>
      <c r="AU38" s="2">
        <f t="shared" si="92"/>
        <v>0</v>
      </c>
      <c r="AV38" s="2">
        <f t="shared" si="82"/>
        <v>0</v>
      </c>
      <c r="AW38" s="1">
        <f t="shared" si="77"/>
        <v>0</v>
      </c>
      <c r="AX38" s="2">
        <f t="shared" si="6"/>
        <v>0</v>
      </c>
      <c r="AY38" s="1">
        <f t="shared" si="83"/>
        <v>0</v>
      </c>
      <c r="AZ38" s="2">
        <f t="shared" si="40"/>
        <v>0</v>
      </c>
      <c r="BA38" s="2">
        <f t="shared" si="93"/>
        <v>107894.15</v>
      </c>
      <c r="BB38" s="2">
        <f t="shared" si="9"/>
        <v>0</v>
      </c>
      <c r="BC38" s="2">
        <f t="shared" si="41"/>
        <v>0</v>
      </c>
      <c r="BD38" s="2">
        <f t="shared" si="10"/>
        <v>107894.15</v>
      </c>
      <c r="BE38" s="2">
        <f t="shared" si="42"/>
        <v>1000</v>
      </c>
      <c r="BF38" s="2">
        <f t="shared" si="11"/>
        <v>1309.8884999999989</v>
      </c>
      <c r="BG38" s="2">
        <f t="shared" si="12"/>
        <v>105584.26149999999</v>
      </c>
      <c r="BI38" s="8">
        <f t="shared" si="84"/>
        <v>2.8000000000000001E-2</v>
      </c>
      <c r="BJ38" s="5">
        <f t="shared" si="43"/>
        <v>1000</v>
      </c>
      <c r="BK38" s="2">
        <f t="shared" si="44"/>
        <v>100000</v>
      </c>
      <c r="BL38" s="2">
        <f t="shared" si="45"/>
        <v>100000</v>
      </c>
      <c r="BM38" s="2">
        <f t="shared" si="13"/>
        <v>100000</v>
      </c>
      <c r="BN38" s="8">
        <f t="shared" si="14"/>
        <v>4.2999999999999997E-2</v>
      </c>
      <c r="BO38" s="2">
        <f t="shared" si="15"/>
        <v>102866.66666666666</v>
      </c>
      <c r="BP38" s="2" t="str">
        <f t="shared" si="16"/>
        <v>nie</v>
      </c>
      <c r="BQ38" s="2">
        <f t="shared" si="17"/>
        <v>2000</v>
      </c>
      <c r="BR38" s="1">
        <f t="shared" si="85"/>
        <v>50</v>
      </c>
      <c r="BS38" s="6"/>
      <c r="BT38" s="6"/>
      <c r="BU38" s="6"/>
      <c r="BV38" s="2">
        <f t="shared" si="94"/>
        <v>5000</v>
      </c>
      <c r="BW38" s="8">
        <f t="shared" si="86"/>
        <v>0.05</v>
      </c>
      <c r="BX38" s="2">
        <f t="shared" si="95"/>
        <v>5166.666666666667</v>
      </c>
      <c r="BY38" s="2">
        <f t="shared" si="87"/>
        <v>100</v>
      </c>
      <c r="BZ38" s="6"/>
      <c r="CA38" s="6"/>
      <c r="CB38" s="6"/>
      <c r="CC38" s="6"/>
      <c r="CD38" s="2">
        <f t="shared" si="18"/>
        <v>0</v>
      </c>
      <c r="CE38" s="2">
        <f t="shared" si="96"/>
        <v>0</v>
      </c>
      <c r="CF38" s="2">
        <f t="shared" si="97"/>
        <v>0</v>
      </c>
      <c r="CG38" s="1">
        <f t="shared" si="78"/>
        <v>0</v>
      </c>
      <c r="CH38" s="2">
        <f t="shared" si="20"/>
        <v>0</v>
      </c>
      <c r="CI38" s="1">
        <f t="shared" si="89"/>
        <v>0</v>
      </c>
      <c r="CJ38" s="2">
        <f t="shared" si="98"/>
        <v>0</v>
      </c>
      <c r="CK38" s="2">
        <f t="shared" si="99"/>
        <v>108033.33333333333</v>
      </c>
      <c r="CL38" s="2">
        <f t="shared" si="23"/>
        <v>0</v>
      </c>
      <c r="CM38" s="2">
        <f t="shared" si="47"/>
        <v>0</v>
      </c>
      <c r="CN38" s="2">
        <f t="shared" si="24"/>
        <v>108033.33333333333</v>
      </c>
      <c r="CO38" s="2">
        <f t="shared" si="48"/>
        <v>2100</v>
      </c>
      <c r="CP38" s="2">
        <f t="shared" si="25"/>
        <v>1127.3333333333323</v>
      </c>
      <c r="CQ38" s="2">
        <f t="shared" si="26"/>
        <v>104806</v>
      </c>
      <c r="CS38" s="5">
        <f t="shared" si="49"/>
        <v>1000</v>
      </c>
      <c r="CT38" s="2">
        <f t="shared" si="50"/>
        <v>100000</v>
      </c>
      <c r="CU38" s="2">
        <f t="shared" si="51"/>
        <v>100000</v>
      </c>
      <c r="CV38" s="2">
        <f t="shared" si="52"/>
        <v>105600</v>
      </c>
      <c r="CW38" s="8">
        <f t="shared" si="27"/>
        <v>4.8000000000000001E-2</v>
      </c>
      <c r="CX38" s="2">
        <f t="shared" si="28"/>
        <v>108979.2</v>
      </c>
      <c r="CY38" s="2" t="str">
        <f t="shared" si="29"/>
        <v>nie</v>
      </c>
      <c r="CZ38" s="2">
        <f t="shared" si="53"/>
        <v>0</v>
      </c>
      <c r="DA38" s="2">
        <f t="shared" si="54"/>
        <v>0</v>
      </c>
      <c r="DB38" s="2">
        <f t="shared" si="55"/>
        <v>108979.2</v>
      </c>
      <c r="DC38" s="2">
        <f t="shared" si="30"/>
        <v>0</v>
      </c>
      <c r="DD38" s="2">
        <f t="shared" si="56"/>
        <v>0</v>
      </c>
      <c r="DE38" s="2">
        <f t="shared" si="57"/>
        <v>108979.2</v>
      </c>
      <c r="DF38" s="2">
        <f t="shared" si="32"/>
        <v>3000</v>
      </c>
      <c r="DG38" s="2">
        <f t="shared" si="33"/>
        <v>1136.0479999999995</v>
      </c>
      <c r="DH38" s="2">
        <f t="shared" si="58"/>
        <v>104843.152</v>
      </c>
    </row>
    <row r="39" spans="2:112">
      <c r="B39" s="228"/>
      <c r="C39" s="1">
        <f t="shared" si="102"/>
        <v>2</v>
      </c>
      <c r="D39" s="2">
        <f t="shared" ref="D39:D102" si="105">BD20</f>
        <v>100774.99999999999</v>
      </c>
      <c r="E39" s="2">
        <f t="shared" ref="E39:E102" si="106">BG20</f>
        <v>100000</v>
      </c>
      <c r="F39" s="2">
        <f t="shared" ref="F39:F102" si="107">CN20</f>
        <v>100833.33333333333</v>
      </c>
      <c r="G39" s="2">
        <f t="shared" ref="G39:G102" si="108">CQ20</f>
        <v>100000</v>
      </c>
      <c r="H39" s="2">
        <f t="shared" ref="H39:H102" si="109">DE20</f>
        <v>100933.33333333334</v>
      </c>
      <c r="I39" s="2">
        <f t="shared" ref="I39:I102" si="110">DH20</f>
        <v>100000</v>
      </c>
      <c r="J39" s="24">
        <f t="shared" si="103"/>
        <v>100574.57297265624</v>
      </c>
      <c r="K39" s="2">
        <f t="shared" si="104"/>
        <v>100466.66666666666</v>
      </c>
      <c r="W39" s="1">
        <f t="shared" si="34"/>
        <v>21</v>
      </c>
      <c r="X39" s="2">
        <f t="shared" si="0"/>
        <v>104958.79999999999</v>
      </c>
      <c r="Y39" s="8">
        <f t="shared" si="76"/>
        <v>4.1300000000000003E-2</v>
      </c>
      <c r="Z39" s="5">
        <f t="shared" si="35"/>
        <v>1000</v>
      </c>
      <c r="AA39" s="2">
        <f t="shared" si="36"/>
        <v>100000</v>
      </c>
      <c r="AB39" s="2">
        <f t="shared" si="37"/>
        <v>100000</v>
      </c>
      <c r="AC39" s="2">
        <f t="shared" si="38"/>
        <v>104650</v>
      </c>
      <c r="AD39" s="8">
        <f t="shared" si="1"/>
        <v>4.65E-2</v>
      </c>
      <c r="AE39" s="2">
        <f t="shared" si="2"/>
        <v>108299.66875</v>
      </c>
      <c r="AF39" s="2" t="str">
        <f t="shared" si="3"/>
        <v>nie</v>
      </c>
      <c r="AG39" s="2">
        <f t="shared" si="4"/>
        <v>1000</v>
      </c>
      <c r="AH39" s="1">
        <f t="shared" si="79"/>
        <v>0</v>
      </c>
      <c r="AI39" s="6"/>
      <c r="AJ39" s="6"/>
      <c r="AK39" s="6"/>
      <c r="AL39" s="2">
        <f t="shared" si="90"/>
        <v>0</v>
      </c>
      <c r="AM39" s="8">
        <f t="shared" si="80"/>
        <v>4.65E-2</v>
      </c>
      <c r="AN39" s="2">
        <f t="shared" si="91"/>
        <v>0</v>
      </c>
      <c r="AO39" s="2">
        <f t="shared" si="81"/>
        <v>0</v>
      </c>
      <c r="AP39" s="6"/>
      <c r="AQ39" s="6"/>
      <c r="AR39" s="6"/>
      <c r="AS39" s="6"/>
      <c r="AT39" s="2">
        <f t="shared" si="39"/>
        <v>0</v>
      </c>
      <c r="AU39" s="2">
        <f t="shared" si="92"/>
        <v>0</v>
      </c>
      <c r="AV39" s="2">
        <f t="shared" si="82"/>
        <v>0</v>
      </c>
      <c r="AW39" s="1">
        <f t="shared" si="77"/>
        <v>0</v>
      </c>
      <c r="AX39" s="2">
        <f t="shared" si="6"/>
        <v>0</v>
      </c>
      <c r="AY39" s="1">
        <f t="shared" si="83"/>
        <v>0</v>
      </c>
      <c r="AZ39" s="2">
        <f t="shared" si="40"/>
        <v>0</v>
      </c>
      <c r="BA39" s="2">
        <f t="shared" si="93"/>
        <v>108299.66875</v>
      </c>
      <c r="BB39" s="2">
        <f t="shared" si="9"/>
        <v>0</v>
      </c>
      <c r="BC39" s="2">
        <f t="shared" si="41"/>
        <v>0</v>
      </c>
      <c r="BD39" s="2">
        <f t="shared" si="10"/>
        <v>108299.66875</v>
      </c>
      <c r="BE39" s="2">
        <f t="shared" si="42"/>
        <v>1000</v>
      </c>
      <c r="BF39" s="2">
        <f t="shared" si="11"/>
        <v>1386.9370624999995</v>
      </c>
      <c r="BG39" s="2">
        <f t="shared" si="12"/>
        <v>105912.7316875</v>
      </c>
      <c r="BI39" s="8">
        <f t="shared" si="84"/>
        <v>2.8000000000000001E-2</v>
      </c>
      <c r="BJ39" s="5">
        <f t="shared" si="43"/>
        <v>1000</v>
      </c>
      <c r="BK39" s="2">
        <f t="shared" si="44"/>
        <v>100000</v>
      </c>
      <c r="BL39" s="2">
        <f t="shared" si="45"/>
        <v>100000</v>
      </c>
      <c r="BM39" s="2">
        <f t="shared" si="13"/>
        <v>100000</v>
      </c>
      <c r="BN39" s="8">
        <f t="shared" si="14"/>
        <v>4.2999999999999997E-2</v>
      </c>
      <c r="BO39" s="2">
        <f t="shared" si="15"/>
        <v>103224.99999999999</v>
      </c>
      <c r="BP39" s="2" t="str">
        <f t="shared" si="16"/>
        <v>nie</v>
      </c>
      <c r="BQ39" s="2">
        <f t="shared" si="17"/>
        <v>2000</v>
      </c>
      <c r="BR39" s="1">
        <f t="shared" si="85"/>
        <v>50</v>
      </c>
      <c r="BS39" s="6"/>
      <c r="BT39" s="6"/>
      <c r="BU39" s="6"/>
      <c r="BV39" s="2">
        <f t="shared" si="94"/>
        <v>5000</v>
      </c>
      <c r="BW39" s="8">
        <f t="shared" si="86"/>
        <v>0.05</v>
      </c>
      <c r="BX39" s="2">
        <f t="shared" si="95"/>
        <v>5187.5</v>
      </c>
      <c r="BY39" s="2">
        <f t="shared" si="87"/>
        <v>100</v>
      </c>
      <c r="BZ39" s="6"/>
      <c r="CA39" s="6"/>
      <c r="CB39" s="6"/>
      <c r="CC39" s="6"/>
      <c r="CD39" s="2">
        <f t="shared" si="18"/>
        <v>0</v>
      </c>
      <c r="CE39" s="2">
        <f t="shared" si="96"/>
        <v>0</v>
      </c>
      <c r="CF39" s="2">
        <f t="shared" si="97"/>
        <v>0</v>
      </c>
      <c r="CG39" s="1">
        <f t="shared" si="78"/>
        <v>0</v>
      </c>
      <c r="CH39" s="2">
        <f t="shared" si="20"/>
        <v>0</v>
      </c>
      <c r="CI39" s="1">
        <f t="shared" si="89"/>
        <v>0</v>
      </c>
      <c r="CJ39" s="2">
        <f t="shared" si="98"/>
        <v>0</v>
      </c>
      <c r="CK39" s="2">
        <f t="shared" si="99"/>
        <v>108412.49999999999</v>
      </c>
      <c r="CL39" s="2">
        <f t="shared" si="23"/>
        <v>0</v>
      </c>
      <c r="CM39" s="2">
        <f t="shared" si="47"/>
        <v>0</v>
      </c>
      <c r="CN39" s="2">
        <f t="shared" si="24"/>
        <v>108412.49999999999</v>
      </c>
      <c r="CO39" s="2">
        <f t="shared" si="48"/>
        <v>2100</v>
      </c>
      <c r="CP39" s="2">
        <f t="shared" si="25"/>
        <v>1199.3749999999973</v>
      </c>
      <c r="CQ39" s="2">
        <f t="shared" si="26"/>
        <v>105113.12499999999</v>
      </c>
      <c r="CS39" s="5">
        <f t="shared" si="49"/>
        <v>1000</v>
      </c>
      <c r="CT39" s="2">
        <f t="shared" si="50"/>
        <v>100000</v>
      </c>
      <c r="CU39" s="2">
        <f t="shared" si="51"/>
        <v>100000</v>
      </c>
      <c r="CV39" s="2">
        <f t="shared" si="52"/>
        <v>105600</v>
      </c>
      <c r="CW39" s="8">
        <f t="shared" si="27"/>
        <v>4.8000000000000001E-2</v>
      </c>
      <c r="CX39" s="2">
        <f t="shared" si="28"/>
        <v>109401.60000000001</v>
      </c>
      <c r="CY39" s="2" t="str">
        <f t="shared" si="29"/>
        <v>nie</v>
      </c>
      <c r="CZ39" s="2">
        <f t="shared" si="53"/>
        <v>0</v>
      </c>
      <c r="DA39" s="2">
        <f t="shared" si="54"/>
        <v>0</v>
      </c>
      <c r="DB39" s="2">
        <f t="shared" si="55"/>
        <v>109401.60000000001</v>
      </c>
      <c r="DC39" s="2">
        <f t="shared" si="30"/>
        <v>0</v>
      </c>
      <c r="DD39" s="2">
        <f t="shared" si="56"/>
        <v>0</v>
      </c>
      <c r="DE39" s="2">
        <f t="shared" si="57"/>
        <v>109401.60000000001</v>
      </c>
      <c r="DF39" s="2">
        <f t="shared" si="32"/>
        <v>3000</v>
      </c>
      <c r="DG39" s="2">
        <f t="shared" si="33"/>
        <v>1216.3040000000012</v>
      </c>
      <c r="DH39" s="2">
        <f t="shared" si="58"/>
        <v>105185.296</v>
      </c>
    </row>
    <row r="40" spans="2:112">
      <c r="B40" s="228"/>
      <c r="C40" s="1">
        <f t="shared" si="102"/>
        <v>3</v>
      </c>
      <c r="D40" s="2">
        <f t="shared" si="105"/>
        <v>101162.5</v>
      </c>
      <c r="E40" s="2">
        <f t="shared" si="106"/>
        <v>100131.625</v>
      </c>
      <c r="F40" s="2">
        <f t="shared" si="107"/>
        <v>101250</v>
      </c>
      <c r="G40" s="2">
        <f t="shared" si="108"/>
        <v>100000</v>
      </c>
      <c r="H40" s="2">
        <f t="shared" si="109"/>
        <v>101400</v>
      </c>
      <c r="I40" s="2">
        <f t="shared" si="110"/>
        <v>100000</v>
      </c>
      <c r="J40" s="2">
        <f t="shared" si="103"/>
        <v>100863.09627887154</v>
      </c>
      <c r="K40" s="2">
        <f t="shared" si="104"/>
        <v>100699.99999999999</v>
      </c>
      <c r="W40" s="1">
        <f t="shared" si="34"/>
        <v>22</v>
      </c>
      <c r="X40" s="2">
        <f t="shared" si="0"/>
        <v>105198.66666666667</v>
      </c>
      <c r="Y40" s="8">
        <f t="shared" si="76"/>
        <v>4.1300000000000003E-2</v>
      </c>
      <c r="Z40" s="5">
        <f t="shared" si="35"/>
        <v>1000</v>
      </c>
      <c r="AA40" s="2">
        <f t="shared" si="36"/>
        <v>100000</v>
      </c>
      <c r="AB40" s="2">
        <f t="shared" si="37"/>
        <v>100000</v>
      </c>
      <c r="AC40" s="2">
        <f t="shared" si="38"/>
        <v>104650</v>
      </c>
      <c r="AD40" s="8">
        <f t="shared" si="1"/>
        <v>4.65E-2</v>
      </c>
      <c r="AE40" s="2">
        <f t="shared" si="2"/>
        <v>108705.1875</v>
      </c>
      <c r="AF40" s="2" t="str">
        <f t="shared" si="3"/>
        <v>nie</v>
      </c>
      <c r="AG40" s="2">
        <f t="shared" si="4"/>
        <v>1000</v>
      </c>
      <c r="AH40" s="1">
        <f t="shared" si="79"/>
        <v>0</v>
      </c>
      <c r="AI40" s="6"/>
      <c r="AJ40" s="6"/>
      <c r="AK40" s="6"/>
      <c r="AL40" s="2">
        <f t="shared" si="90"/>
        <v>0</v>
      </c>
      <c r="AM40" s="8">
        <f t="shared" si="80"/>
        <v>4.65E-2</v>
      </c>
      <c r="AN40" s="2">
        <f t="shared" si="91"/>
        <v>0</v>
      </c>
      <c r="AO40" s="2">
        <f t="shared" si="81"/>
        <v>0</v>
      </c>
      <c r="AP40" s="6"/>
      <c r="AQ40" s="6"/>
      <c r="AR40" s="6"/>
      <c r="AS40" s="6"/>
      <c r="AT40" s="2">
        <f t="shared" si="39"/>
        <v>0</v>
      </c>
      <c r="AU40" s="2">
        <f t="shared" si="92"/>
        <v>0</v>
      </c>
      <c r="AV40" s="2">
        <f t="shared" si="82"/>
        <v>0</v>
      </c>
      <c r="AW40" s="1">
        <f t="shared" si="77"/>
        <v>0</v>
      </c>
      <c r="AX40" s="2">
        <f t="shared" si="6"/>
        <v>0</v>
      </c>
      <c r="AY40" s="1">
        <f t="shared" si="83"/>
        <v>0</v>
      </c>
      <c r="AZ40" s="2">
        <f t="shared" si="40"/>
        <v>0</v>
      </c>
      <c r="BA40" s="2">
        <f t="shared" si="93"/>
        <v>108705.1875</v>
      </c>
      <c r="BB40" s="2">
        <f t="shared" si="9"/>
        <v>0</v>
      </c>
      <c r="BC40" s="2">
        <f t="shared" si="41"/>
        <v>0</v>
      </c>
      <c r="BD40" s="2">
        <f t="shared" si="10"/>
        <v>108705.1875</v>
      </c>
      <c r="BE40" s="2">
        <f t="shared" si="42"/>
        <v>1000</v>
      </c>
      <c r="BF40" s="2">
        <f t="shared" si="11"/>
        <v>1463.985625</v>
      </c>
      <c r="BG40" s="2">
        <f t="shared" si="12"/>
        <v>106241.201875</v>
      </c>
      <c r="BI40" s="8">
        <f t="shared" si="84"/>
        <v>2.8000000000000001E-2</v>
      </c>
      <c r="BJ40" s="5">
        <f t="shared" si="43"/>
        <v>1000</v>
      </c>
      <c r="BK40" s="2">
        <f t="shared" si="44"/>
        <v>100000</v>
      </c>
      <c r="BL40" s="2">
        <f t="shared" si="45"/>
        <v>100000</v>
      </c>
      <c r="BM40" s="2">
        <f t="shared" si="13"/>
        <v>100000</v>
      </c>
      <c r="BN40" s="8">
        <f t="shared" si="14"/>
        <v>4.2999999999999997E-2</v>
      </c>
      <c r="BO40" s="2">
        <f t="shared" si="15"/>
        <v>103583.33333333334</v>
      </c>
      <c r="BP40" s="2" t="str">
        <f t="shared" si="16"/>
        <v>nie</v>
      </c>
      <c r="BQ40" s="2">
        <f t="shared" si="17"/>
        <v>2000</v>
      </c>
      <c r="BR40" s="1">
        <f t="shared" si="85"/>
        <v>50</v>
      </c>
      <c r="BS40" s="6"/>
      <c r="BT40" s="6"/>
      <c r="BU40" s="6"/>
      <c r="BV40" s="2">
        <f t="shared" si="94"/>
        <v>5000</v>
      </c>
      <c r="BW40" s="8">
        <f t="shared" si="86"/>
        <v>0.05</v>
      </c>
      <c r="BX40" s="2">
        <f t="shared" si="95"/>
        <v>5208.3333333333339</v>
      </c>
      <c r="BY40" s="2">
        <f t="shared" si="87"/>
        <v>100</v>
      </c>
      <c r="BZ40" s="6"/>
      <c r="CA40" s="6"/>
      <c r="CB40" s="6"/>
      <c r="CC40" s="6"/>
      <c r="CD40" s="2">
        <f t="shared" si="18"/>
        <v>0</v>
      </c>
      <c r="CE40" s="2">
        <f t="shared" si="96"/>
        <v>0</v>
      </c>
      <c r="CF40" s="2">
        <f t="shared" si="97"/>
        <v>0</v>
      </c>
      <c r="CG40" s="1">
        <f t="shared" si="78"/>
        <v>0</v>
      </c>
      <c r="CH40" s="2">
        <f t="shared" si="20"/>
        <v>0</v>
      </c>
      <c r="CI40" s="1">
        <f t="shared" si="89"/>
        <v>0</v>
      </c>
      <c r="CJ40" s="2">
        <f t="shared" si="98"/>
        <v>0</v>
      </c>
      <c r="CK40" s="2">
        <f t="shared" si="99"/>
        <v>108791.66666666667</v>
      </c>
      <c r="CL40" s="2">
        <f t="shared" si="23"/>
        <v>0</v>
      </c>
      <c r="CM40" s="2">
        <f t="shared" si="47"/>
        <v>0</v>
      </c>
      <c r="CN40" s="2">
        <f t="shared" si="24"/>
        <v>108791.66666666667</v>
      </c>
      <c r="CO40" s="2">
        <f t="shared" si="48"/>
        <v>2100</v>
      </c>
      <c r="CP40" s="2">
        <f t="shared" si="25"/>
        <v>1271.4166666666677</v>
      </c>
      <c r="CQ40" s="2">
        <f t="shared" si="26"/>
        <v>105420.25</v>
      </c>
      <c r="CS40" s="5">
        <f t="shared" si="49"/>
        <v>1000</v>
      </c>
      <c r="CT40" s="2">
        <f t="shared" si="50"/>
        <v>100000</v>
      </c>
      <c r="CU40" s="2">
        <f t="shared" si="51"/>
        <v>100000</v>
      </c>
      <c r="CV40" s="2">
        <f t="shared" si="52"/>
        <v>105600</v>
      </c>
      <c r="CW40" s="8">
        <f t="shared" si="27"/>
        <v>4.8000000000000001E-2</v>
      </c>
      <c r="CX40" s="2">
        <f t="shared" si="28"/>
        <v>109824</v>
      </c>
      <c r="CY40" s="2" t="str">
        <f t="shared" si="29"/>
        <v>nie</v>
      </c>
      <c r="CZ40" s="2">
        <f t="shared" si="53"/>
        <v>0</v>
      </c>
      <c r="DA40" s="2">
        <f t="shared" si="54"/>
        <v>0</v>
      </c>
      <c r="DB40" s="2">
        <f t="shared" si="55"/>
        <v>109824</v>
      </c>
      <c r="DC40" s="2">
        <f t="shared" si="30"/>
        <v>0</v>
      </c>
      <c r="DD40" s="2">
        <f t="shared" si="56"/>
        <v>0</v>
      </c>
      <c r="DE40" s="2">
        <f t="shared" si="57"/>
        <v>109824</v>
      </c>
      <c r="DF40" s="2">
        <f t="shared" si="32"/>
        <v>3000</v>
      </c>
      <c r="DG40" s="2">
        <f t="shared" si="33"/>
        <v>1296.56</v>
      </c>
      <c r="DH40" s="2">
        <f t="shared" si="58"/>
        <v>105527.44</v>
      </c>
    </row>
    <row r="41" spans="2:112">
      <c r="B41" s="228"/>
      <c r="C41" s="1">
        <f t="shared" si="102"/>
        <v>4</v>
      </c>
      <c r="D41" s="2">
        <f t="shared" si="105"/>
        <v>101550</v>
      </c>
      <c r="E41" s="2">
        <f t="shared" si="106"/>
        <v>100445.5</v>
      </c>
      <c r="F41" s="2">
        <f t="shared" si="107"/>
        <v>101666.66666666666</v>
      </c>
      <c r="G41" s="2">
        <f t="shared" si="108"/>
        <v>100000</v>
      </c>
      <c r="H41" s="2">
        <f t="shared" si="109"/>
        <v>101866.66666666666</v>
      </c>
      <c r="I41" s="2">
        <f t="shared" si="110"/>
        <v>100000</v>
      </c>
      <c r="J41" s="2">
        <f t="shared" si="103"/>
        <v>101152.44728632155</v>
      </c>
      <c r="K41" s="2">
        <f t="shared" si="104"/>
        <v>100933.33333333334</v>
      </c>
      <c r="W41" s="1">
        <f t="shared" si="34"/>
        <v>23</v>
      </c>
      <c r="X41" s="2">
        <f t="shared" si="0"/>
        <v>105438.53333333334</v>
      </c>
      <c r="Y41" s="8">
        <f t="shared" si="76"/>
        <v>4.1300000000000003E-2</v>
      </c>
      <c r="Z41" s="5">
        <f t="shared" si="35"/>
        <v>1000</v>
      </c>
      <c r="AA41" s="2">
        <f t="shared" si="36"/>
        <v>100000</v>
      </c>
      <c r="AB41" s="2">
        <f t="shared" si="37"/>
        <v>100000</v>
      </c>
      <c r="AC41" s="2">
        <f t="shared" si="38"/>
        <v>104650</v>
      </c>
      <c r="AD41" s="8">
        <f t="shared" si="1"/>
        <v>4.65E-2</v>
      </c>
      <c r="AE41" s="2">
        <f t="shared" si="2"/>
        <v>109110.70624999999</v>
      </c>
      <c r="AF41" s="2" t="str">
        <f t="shared" si="3"/>
        <v>nie</v>
      </c>
      <c r="AG41" s="2">
        <f t="shared" si="4"/>
        <v>1000</v>
      </c>
      <c r="AH41" s="1">
        <f t="shared" si="79"/>
        <v>0</v>
      </c>
      <c r="AI41" s="6"/>
      <c r="AJ41" s="6"/>
      <c r="AK41" s="6"/>
      <c r="AL41" s="2">
        <f t="shared" si="90"/>
        <v>0</v>
      </c>
      <c r="AM41" s="8">
        <f t="shared" si="80"/>
        <v>4.65E-2</v>
      </c>
      <c r="AN41" s="2">
        <f t="shared" si="91"/>
        <v>0</v>
      </c>
      <c r="AO41" s="2">
        <f t="shared" si="81"/>
        <v>0</v>
      </c>
      <c r="AP41" s="6"/>
      <c r="AQ41" s="6"/>
      <c r="AR41" s="6"/>
      <c r="AS41" s="6"/>
      <c r="AT41" s="2">
        <f t="shared" si="39"/>
        <v>0</v>
      </c>
      <c r="AU41" s="2">
        <f t="shared" si="92"/>
        <v>0</v>
      </c>
      <c r="AV41" s="2">
        <f t="shared" si="82"/>
        <v>0</v>
      </c>
      <c r="AW41" s="1">
        <f t="shared" si="77"/>
        <v>0</v>
      </c>
      <c r="AX41" s="2">
        <f t="shared" si="6"/>
        <v>0</v>
      </c>
      <c r="AY41" s="1">
        <f t="shared" si="83"/>
        <v>0</v>
      </c>
      <c r="AZ41" s="2">
        <f t="shared" si="40"/>
        <v>0</v>
      </c>
      <c r="BA41" s="2">
        <f t="shared" si="93"/>
        <v>109110.70624999999</v>
      </c>
      <c r="BB41" s="2">
        <f t="shared" si="9"/>
        <v>0</v>
      </c>
      <c r="BC41" s="2">
        <f t="shared" si="41"/>
        <v>0</v>
      </c>
      <c r="BD41" s="2">
        <f t="shared" si="10"/>
        <v>109110.70624999999</v>
      </c>
      <c r="BE41" s="2">
        <f t="shared" si="42"/>
        <v>1000</v>
      </c>
      <c r="BF41" s="2">
        <f t="shared" si="11"/>
        <v>1541.0341874999979</v>
      </c>
      <c r="BG41" s="2">
        <f t="shared" si="12"/>
        <v>106569.67206249999</v>
      </c>
      <c r="BI41" s="8">
        <f t="shared" si="84"/>
        <v>2.8000000000000001E-2</v>
      </c>
      <c r="BJ41" s="5">
        <f t="shared" si="43"/>
        <v>1000</v>
      </c>
      <c r="BK41" s="2">
        <f t="shared" si="44"/>
        <v>100000</v>
      </c>
      <c r="BL41" s="2">
        <f t="shared" si="45"/>
        <v>100000</v>
      </c>
      <c r="BM41" s="2">
        <f t="shared" si="13"/>
        <v>100000</v>
      </c>
      <c r="BN41" s="8">
        <f t="shared" si="14"/>
        <v>4.2999999999999997E-2</v>
      </c>
      <c r="BO41" s="2">
        <f t="shared" si="15"/>
        <v>103941.66666666667</v>
      </c>
      <c r="BP41" s="2" t="str">
        <f t="shared" si="16"/>
        <v>nie</v>
      </c>
      <c r="BQ41" s="2">
        <f t="shared" si="17"/>
        <v>2000</v>
      </c>
      <c r="BR41" s="1">
        <f t="shared" si="85"/>
        <v>50</v>
      </c>
      <c r="BS41" s="6"/>
      <c r="BT41" s="6"/>
      <c r="BU41" s="6"/>
      <c r="BV41" s="2">
        <f t="shared" si="94"/>
        <v>5000</v>
      </c>
      <c r="BW41" s="8">
        <f t="shared" si="86"/>
        <v>0.05</v>
      </c>
      <c r="BX41" s="2">
        <f t="shared" si="95"/>
        <v>5229.166666666667</v>
      </c>
      <c r="BY41" s="2">
        <f t="shared" si="87"/>
        <v>100</v>
      </c>
      <c r="BZ41" s="6"/>
      <c r="CA41" s="6"/>
      <c r="CB41" s="6"/>
      <c r="CC41" s="6"/>
      <c r="CD41" s="2">
        <f t="shared" si="18"/>
        <v>0</v>
      </c>
      <c r="CE41" s="2">
        <f t="shared" si="96"/>
        <v>0</v>
      </c>
      <c r="CF41" s="2">
        <f t="shared" si="97"/>
        <v>0</v>
      </c>
      <c r="CG41" s="1">
        <f t="shared" si="78"/>
        <v>0</v>
      </c>
      <c r="CH41" s="2">
        <f t="shared" si="20"/>
        <v>0</v>
      </c>
      <c r="CI41" s="1">
        <f t="shared" si="89"/>
        <v>0</v>
      </c>
      <c r="CJ41" s="2">
        <f t="shared" si="98"/>
        <v>0</v>
      </c>
      <c r="CK41" s="2">
        <f t="shared" si="99"/>
        <v>109170.83333333334</v>
      </c>
      <c r="CL41" s="2">
        <f t="shared" si="23"/>
        <v>0</v>
      </c>
      <c r="CM41" s="2">
        <f t="shared" si="47"/>
        <v>0</v>
      </c>
      <c r="CN41" s="2">
        <f t="shared" si="24"/>
        <v>109170.83333333334</v>
      </c>
      <c r="CO41" s="2">
        <f t="shared" si="48"/>
        <v>2100</v>
      </c>
      <c r="CP41" s="2">
        <f t="shared" si="25"/>
        <v>1343.4583333333353</v>
      </c>
      <c r="CQ41" s="2">
        <f t="shared" si="26"/>
        <v>105727.37500000001</v>
      </c>
      <c r="CS41" s="5">
        <f t="shared" si="49"/>
        <v>1000</v>
      </c>
      <c r="CT41" s="2">
        <f t="shared" si="50"/>
        <v>100000</v>
      </c>
      <c r="CU41" s="2">
        <f t="shared" si="51"/>
        <v>100000</v>
      </c>
      <c r="CV41" s="2">
        <f t="shared" si="52"/>
        <v>105600</v>
      </c>
      <c r="CW41" s="8">
        <f t="shared" si="27"/>
        <v>4.8000000000000001E-2</v>
      </c>
      <c r="CX41" s="2">
        <f t="shared" si="28"/>
        <v>110246.40000000001</v>
      </c>
      <c r="CY41" s="2" t="str">
        <f t="shared" si="29"/>
        <v>nie</v>
      </c>
      <c r="CZ41" s="2">
        <f t="shared" si="53"/>
        <v>0</v>
      </c>
      <c r="DA41" s="2">
        <f t="shared" si="54"/>
        <v>0</v>
      </c>
      <c r="DB41" s="2">
        <f t="shared" si="55"/>
        <v>110246.40000000001</v>
      </c>
      <c r="DC41" s="2">
        <f t="shared" si="30"/>
        <v>0</v>
      </c>
      <c r="DD41" s="2">
        <f t="shared" si="56"/>
        <v>0</v>
      </c>
      <c r="DE41" s="2">
        <f t="shared" si="57"/>
        <v>110246.40000000001</v>
      </c>
      <c r="DF41" s="2">
        <f t="shared" si="32"/>
        <v>3000</v>
      </c>
      <c r="DG41" s="2">
        <f t="shared" si="33"/>
        <v>1376.8160000000016</v>
      </c>
      <c r="DH41" s="2">
        <f t="shared" si="58"/>
        <v>105869.584</v>
      </c>
    </row>
    <row r="42" spans="2:112">
      <c r="B42" s="228"/>
      <c r="C42" s="1">
        <f t="shared" si="102"/>
        <v>5</v>
      </c>
      <c r="D42" s="2">
        <f t="shared" si="105"/>
        <v>101937.49999999999</v>
      </c>
      <c r="E42" s="2">
        <f t="shared" si="106"/>
        <v>100759.37499999999</v>
      </c>
      <c r="F42" s="2">
        <f t="shared" si="107"/>
        <v>102083.33333333333</v>
      </c>
      <c r="G42" s="2">
        <f t="shared" si="108"/>
        <v>100067.5</v>
      </c>
      <c r="H42" s="2">
        <f t="shared" si="109"/>
        <v>102333.33333333334</v>
      </c>
      <c r="I42" s="2">
        <f t="shared" si="110"/>
        <v>100000</v>
      </c>
      <c r="J42" s="2">
        <f t="shared" si="103"/>
        <v>101442.62836947419</v>
      </c>
      <c r="K42" s="2">
        <f t="shared" si="104"/>
        <v>101166.66666666667</v>
      </c>
      <c r="W42" s="1">
        <f t="shared" si="34"/>
        <v>24</v>
      </c>
      <c r="X42" s="2">
        <f t="shared" si="0"/>
        <v>105678.39999999999</v>
      </c>
      <c r="Y42" s="8">
        <f t="shared" si="76"/>
        <v>4.1300000000000003E-2</v>
      </c>
      <c r="Z42" s="5">
        <f t="shared" si="35"/>
        <v>1000</v>
      </c>
      <c r="AA42" s="2">
        <f t="shared" si="36"/>
        <v>100000</v>
      </c>
      <c r="AB42" s="2">
        <f t="shared" si="37"/>
        <v>100000</v>
      </c>
      <c r="AC42" s="2">
        <f t="shared" si="38"/>
        <v>104650</v>
      </c>
      <c r="AD42" s="8">
        <f t="shared" si="1"/>
        <v>4.65E-2</v>
      </c>
      <c r="AE42" s="2">
        <f t="shared" si="2"/>
        <v>109516.22499999999</v>
      </c>
      <c r="AF42" s="2" t="str">
        <f t="shared" si="3"/>
        <v>nie</v>
      </c>
      <c r="AG42" s="2">
        <f t="shared" si="4"/>
        <v>1000</v>
      </c>
      <c r="AH42" s="1">
        <f t="shared" si="79"/>
        <v>0</v>
      </c>
      <c r="AI42" s="6"/>
      <c r="AJ42" s="6"/>
      <c r="AK42" s="6"/>
      <c r="AL42" s="2">
        <f t="shared" si="90"/>
        <v>0</v>
      </c>
      <c r="AM42" s="8">
        <f t="shared" si="80"/>
        <v>4.65E-2</v>
      </c>
      <c r="AN42" s="2">
        <f t="shared" si="91"/>
        <v>0</v>
      </c>
      <c r="AO42" s="2">
        <f t="shared" si="81"/>
        <v>0</v>
      </c>
      <c r="AP42" s="6"/>
      <c r="AQ42" s="6"/>
      <c r="AR42" s="6"/>
      <c r="AS42" s="6"/>
      <c r="AT42" s="2">
        <f t="shared" si="39"/>
        <v>0</v>
      </c>
      <c r="AU42" s="2">
        <f t="shared" si="92"/>
        <v>0</v>
      </c>
      <c r="AV42" s="2">
        <f t="shared" si="82"/>
        <v>0</v>
      </c>
      <c r="AW42" s="1">
        <f t="shared" si="77"/>
        <v>0</v>
      </c>
      <c r="AX42" s="2">
        <f t="shared" si="6"/>
        <v>0</v>
      </c>
      <c r="AY42" s="1">
        <f t="shared" si="83"/>
        <v>0</v>
      </c>
      <c r="AZ42" s="2">
        <f t="shared" si="40"/>
        <v>0</v>
      </c>
      <c r="BA42" s="2">
        <f t="shared" si="93"/>
        <v>109516.22499999999</v>
      </c>
      <c r="BB42" s="2">
        <f t="shared" si="9"/>
        <v>175.22595999999999</v>
      </c>
      <c r="BC42" s="2">
        <f t="shared" si="41"/>
        <v>175.22595999999999</v>
      </c>
      <c r="BD42" s="2">
        <f t="shared" si="10"/>
        <v>109340.99904</v>
      </c>
      <c r="BE42" s="2">
        <f t="shared" si="42"/>
        <v>1000</v>
      </c>
      <c r="BF42" s="2">
        <f t="shared" si="11"/>
        <v>1618.0827499999984</v>
      </c>
      <c r="BG42" s="2">
        <f t="shared" si="12"/>
        <v>106722.91628999999</v>
      </c>
      <c r="BI42" s="8">
        <f t="shared" si="84"/>
        <v>2.8000000000000001E-2</v>
      </c>
      <c r="BJ42" s="5">
        <f t="shared" si="43"/>
        <v>1000</v>
      </c>
      <c r="BK42" s="2">
        <f t="shared" si="44"/>
        <v>100000</v>
      </c>
      <c r="BL42" s="2">
        <f t="shared" si="45"/>
        <v>100000</v>
      </c>
      <c r="BM42" s="2">
        <f t="shared" si="13"/>
        <v>100000</v>
      </c>
      <c r="BN42" s="8">
        <f t="shared" si="14"/>
        <v>4.2999999999999997E-2</v>
      </c>
      <c r="BO42" s="2">
        <f t="shared" si="15"/>
        <v>104299.99999999999</v>
      </c>
      <c r="BP42" s="2" t="str">
        <f t="shared" si="16"/>
        <v>nie</v>
      </c>
      <c r="BQ42" s="2">
        <f t="shared" si="17"/>
        <v>2000</v>
      </c>
      <c r="BR42" s="1">
        <f t="shared" si="85"/>
        <v>50</v>
      </c>
      <c r="BS42" s="6"/>
      <c r="BT42" s="6"/>
      <c r="BU42" s="6"/>
      <c r="BV42" s="2">
        <f t="shared" si="94"/>
        <v>5000</v>
      </c>
      <c r="BW42" s="8">
        <f t="shared" si="86"/>
        <v>0.05</v>
      </c>
      <c r="BX42" s="2">
        <f t="shared" si="95"/>
        <v>5250</v>
      </c>
      <c r="BY42" s="2">
        <f t="shared" si="87"/>
        <v>100</v>
      </c>
      <c r="BZ42" s="6"/>
      <c r="CA42" s="6"/>
      <c r="CB42" s="6"/>
      <c r="CC42" s="6"/>
      <c r="CD42" s="2">
        <f t="shared" si="18"/>
        <v>4299.9999999999854</v>
      </c>
      <c r="CE42" s="2">
        <f t="shared" si="96"/>
        <v>250</v>
      </c>
      <c r="CF42" s="2">
        <f t="shared" si="97"/>
        <v>4549.9999999999854</v>
      </c>
      <c r="CG42" s="1">
        <f t="shared" si="78"/>
        <v>0</v>
      </c>
      <c r="CH42" s="2">
        <f t="shared" si="20"/>
        <v>4549.9999999999854</v>
      </c>
      <c r="CI42" s="1">
        <f t="shared" si="89"/>
        <v>45</v>
      </c>
      <c r="CJ42" s="2">
        <f t="shared" si="98"/>
        <v>49.999999999985448</v>
      </c>
      <c r="CK42" s="2">
        <f t="shared" si="99"/>
        <v>109549.99999999999</v>
      </c>
      <c r="CL42" s="2">
        <f t="shared" si="23"/>
        <v>175.27999999999997</v>
      </c>
      <c r="CM42" s="2">
        <f t="shared" si="47"/>
        <v>175.27999999999997</v>
      </c>
      <c r="CN42" s="2">
        <f t="shared" si="24"/>
        <v>109374.71999999999</v>
      </c>
      <c r="CO42" s="2">
        <f t="shared" si="48"/>
        <v>2100</v>
      </c>
      <c r="CP42" s="2">
        <f t="shared" si="25"/>
        <v>1415.4999999999973</v>
      </c>
      <c r="CQ42" s="2">
        <f t="shared" si="26"/>
        <v>105859.21999999999</v>
      </c>
      <c r="CS42" s="5">
        <f t="shared" si="49"/>
        <v>1000</v>
      </c>
      <c r="CT42" s="2">
        <f t="shared" si="50"/>
        <v>100000</v>
      </c>
      <c r="CU42" s="2">
        <f t="shared" si="51"/>
        <v>100000</v>
      </c>
      <c r="CV42" s="2">
        <f t="shared" si="52"/>
        <v>105600</v>
      </c>
      <c r="CW42" s="8">
        <f t="shared" si="27"/>
        <v>4.8000000000000001E-2</v>
      </c>
      <c r="CX42" s="2">
        <f t="shared" si="28"/>
        <v>110668.8</v>
      </c>
      <c r="CY42" s="2" t="str">
        <f t="shared" si="29"/>
        <v>nie</v>
      </c>
      <c r="CZ42" s="2">
        <f t="shared" si="53"/>
        <v>0</v>
      </c>
      <c r="DA42" s="2">
        <f t="shared" si="54"/>
        <v>0</v>
      </c>
      <c r="DB42" s="2">
        <f t="shared" si="55"/>
        <v>110668.8</v>
      </c>
      <c r="DC42" s="2">
        <f t="shared" si="30"/>
        <v>177.07008000000002</v>
      </c>
      <c r="DD42" s="2">
        <f t="shared" si="56"/>
        <v>177.07008000000002</v>
      </c>
      <c r="DE42" s="2">
        <f t="shared" si="57"/>
        <v>110491.72992</v>
      </c>
      <c r="DF42" s="2">
        <f t="shared" si="32"/>
        <v>3000</v>
      </c>
      <c r="DG42" s="2">
        <f t="shared" si="33"/>
        <v>1457.0720000000006</v>
      </c>
      <c r="DH42" s="2">
        <f t="shared" si="58"/>
        <v>106034.65792</v>
      </c>
    </row>
    <row r="43" spans="2:112">
      <c r="B43" s="228"/>
      <c r="C43" s="1">
        <f t="shared" si="102"/>
        <v>6</v>
      </c>
      <c r="D43" s="2">
        <f t="shared" si="105"/>
        <v>102325</v>
      </c>
      <c r="E43" s="2">
        <f t="shared" si="106"/>
        <v>101073.25</v>
      </c>
      <c r="F43" s="2">
        <f t="shared" si="107"/>
        <v>102499.99999999999</v>
      </c>
      <c r="G43" s="2">
        <f t="shared" si="108"/>
        <v>100404.99999999999</v>
      </c>
      <c r="H43" s="2">
        <f t="shared" si="109"/>
        <v>102800</v>
      </c>
      <c r="I43" s="2">
        <f t="shared" si="110"/>
        <v>100000</v>
      </c>
      <c r="J43" s="2">
        <f t="shared" si="103"/>
        <v>101733.64190960911</v>
      </c>
      <c r="K43" s="2">
        <f t="shared" si="104"/>
        <v>101400</v>
      </c>
      <c r="W43" s="1">
        <f t="shared" si="34"/>
        <v>25</v>
      </c>
      <c r="X43" s="2">
        <f t="shared" si="0"/>
        <v>105924.98293333332</v>
      </c>
      <c r="Y43" s="8">
        <f t="shared" si="76"/>
        <v>4.1300000000000003E-2</v>
      </c>
      <c r="Z43" s="5">
        <f t="shared" si="35"/>
        <v>1000</v>
      </c>
      <c r="AA43" s="2">
        <f t="shared" si="36"/>
        <v>100000</v>
      </c>
      <c r="AB43" s="2">
        <f t="shared" si="37"/>
        <v>100000</v>
      </c>
      <c r="AC43" s="2">
        <f t="shared" si="38"/>
        <v>109516.22499999999</v>
      </c>
      <c r="AD43" s="8">
        <f t="shared" si="1"/>
        <v>4.65E-2</v>
      </c>
      <c r="AE43" s="2">
        <f t="shared" si="2"/>
        <v>109940.600371875</v>
      </c>
      <c r="AF43" s="2" t="str">
        <f t="shared" si="3"/>
        <v>nie</v>
      </c>
      <c r="AG43" s="2">
        <f t="shared" si="4"/>
        <v>1000</v>
      </c>
      <c r="AH43" s="1">
        <f t="shared" si="79"/>
        <v>0</v>
      </c>
      <c r="AI43" s="1">
        <f t="shared" ref="AI43:AI74" si="111">IF(zapadalnosc_TOS/12&gt;=AI$18,AH31,0)</f>
        <v>0</v>
      </c>
      <c r="AJ43" s="6"/>
      <c r="AK43" s="6"/>
      <c r="AL43" s="2">
        <f t="shared" si="90"/>
        <v>0</v>
      </c>
      <c r="AM43" s="8">
        <f t="shared" si="80"/>
        <v>4.65E-2</v>
      </c>
      <c r="AN43" s="2">
        <f t="shared" si="91"/>
        <v>0</v>
      </c>
      <c r="AO43" s="2">
        <f t="shared" si="81"/>
        <v>0</v>
      </c>
      <c r="AP43" s="2">
        <f>SUM(AI43:AK43)*100</f>
        <v>0</v>
      </c>
      <c r="AQ43" s="8">
        <f t="shared" ref="AQ43:AQ74" si="112">marza_TOS+Y43</f>
        <v>4.1300000000000003E-2</v>
      </c>
      <c r="AR43" s="2">
        <f t="shared" ref="AR43:AR106" si="113">AP43*(1+AQ43*IF(MOD($W43,12)&lt;&gt;0,MOD($W43,12),12)/12)</f>
        <v>0</v>
      </c>
      <c r="AS43" s="2">
        <f t="shared" ref="AS43:AS74" si="114">SUM(AI43:AK43)*koszt_wczesniejszy_wykup_TOS</f>
        <v>0</v>
      </c>
      <c r="AT43" s="2">
        <f t="shared" si="39"/>
        <v>0</v>
      </c>
      <c r="AU43" s="2">
        <f t="shared" si="92"/>
        <v>0</v>
      </c>
      <c r="AV43" s="2">
        <f t="shared" si="82"/>
        <v>0</v>
      </c>
      <c r="AW43" s="1">
        <f t="shared" si="77"/>
        <v>0</v>
      </c>
      <c r="AX43" s="2">
        <f t="shared" si="6"/>
        <v>0</v>
      </c>
      <c r="AY43" s="1">
        <f t="shared" si="83"/>
        <v>0</v>
      </c>
      <c r="AZ43" s="2">
        <f t="shared" si="40"/>
        <v>0</v>
      </c>
      <c r="BA43" s="2">
        <f t="shared" si="93"/>
        <v>109940.600371875</v>
      </c>
      <c r="BB43" s="2">
        <f t="shared" si="9"/>
        <v>0</v>
      </c>
      <c r="BC43" s="2">
        <f t="shared" si="41"/>
        <v>175.22595999999999</v>
      </c>
      <c r="BD43" s="2">
        <f t="shared" si="10"/>
        <v>109765.374411875</v>
      </c>
      <c r="BE43" s="2">
        <f t="shared" si="42"/>
        <v>1000</v>
      </c>
      <c r="BF43" s="2">
        <f t="shared" si="11"/>
        <v>1698.71407065625</v>
      </c>
      <c r="BG43" s="2">
        <f t="shared" si="12"/>
        <v>107066.66034121875</v>
      </c>
      <c r="BI43" s="8">
        <f t="shared" si="84"/>
        <v>2.8000000000000001E-2</v>
      </c>
      <c r="BJ43" s="5">
        <f t="shared" si="43"/>
        <v>1000</v>
      </c>
      <c r="BK43" s="2">
        <f t="shared" si="44"/>
        <v>100000</v>
      </c>
      <c r="BL43" s="2">
        <f t="shared" si="45"/>
        <v>100000</v>
      </c>
      <c r="BM43" s="2">
        <f t="shared" si="13"/>
        <v>100000</v>
      </c>
      <c r="BN43" s="8">
        <f t="shared" si="14"/>
        <v>4.2999999999999997E-2</v>
      </c>
      <c r="BO43" s="2">
        <f t="shared" si="15"/>
        <v>100358.33333333333</v>
      </c>
      <c r="BP43" s="2" t="str">
        <f t="shared" si="16"/>
        <v>nie</v>
      </c>
      <c r="BQ43" s="2">
        <f t="shared" si="17"/>
        <v>2000</v>
      </c>
      <c r="BR43" s="1">
        <f t="shared" si="85"/>
        <v>45</v>
      </c>
      <c r="BS43" s="1">
        <f t="shared" ref="BS43:BS74" si="115">IF(zapadalnosc_COI/12&gt;=BS$18,BR31,0)</f>
        <v>50</v>
      </c>
      <c r="BT43" s="6"/>
      <c r="BU43" s="6"/>
      <c r="BV43" s="2">
        <f t="shared" si="94"/>
        <v>4500</v>
      </c>
      <c r="BW43" s="8">
        <f t="shared" si="86"/>
        <v>0.05</v>
      </c>
      <c r="BX43" s="2">
        <f t="shared" si="95"/>
        <v>4518.75</v>
      </c>
      <c r="BY43" s="2">
        <f t="shared" si="87"/>
        <v>18.75</v>
      </c>
      <c r="BZ43" s="2">
        <f>SUM(BS43:BU43)*100</f>
        <v>5000</v>
      </c>
      <c r="CA43" s="8">
        <f t="shared" ref="CA43:CA74" si="116">marza_COI+BI43</f>
        <v>4.2999999999999997E-2</v>
      </c>
      <c r="CB43" s="2">
        <f t="shared" ref="CB43:CB95" si="117">BZ43*(1+CA43*IF(MOD($W43,12)&lt;&gt;0,MOD($W43,12),12)/12)</f>
        <v>5017.9166666666661</v>
      </c>
      <c r="CC43" s="2">
        <f t="shared" ref="CC43:CC74" si="118">SUM(BS43:BU43)*koszt_wczesniejszy_wykup_COI</f>
        <v>100</v>
      </c>
      <c r="CD43" s="2">
        <f t="shared" si="18"/>
        <v>0</v>
      </c>
      <c r="CE43" s="2">
        <f t="shared" si="96"/>
        <v>0</v>
      </c>
      <c r="CF43" s="2">
        <f t="shared" si="97"/>
        <v>49.999999999985448</v>
      </c>
      <c r="CG43" s="1">
        <f t="shared" si="78"/>
        <v>0</v>
      </c>
      <c r="CH43" s="2">
        <f t="shared" si="20"/>
        <v>49.999999999985448</v>
      </c>
      <c r="CI43" s="1">
        <f t="shared" si="89"/>
        <v>0</v>
      </c>
      <c r="CJ43" s="2">
        <f t="shared" si="98"/>
        <v>49.999999999985448</v>
      </c>
      <c r="CK43" s="2">
        <f t="shared" si="99"/>
        <v>109944.99999999999</v>
      </c>
      <c r="CL43" s="2">
        <f t="shared" si="23"/>
        <v>0</v>
      </c>
      <c r="CM43" s="2">
        <f t="shared" si="47"/>
        <v>175.27999999999997</v>
      </c>
      <c r="CN43" s="2">
        <f t="shared" si="24"/>
        <v>109769.71999999999</v>
      </c>
      <c r="CO43" s="2">
        <f t="shared" si="48"/>
        <v>2118.75</v>
      </c>
      <c r="CP43" s="2">
        <f t="shared" si="25"/>
        <v>1486.9874999999972</v>
      </c>
      <c r="CQ43" s="2">
        <f t="shared" si="26"/>
        <v>106163.98249999998</v>
      </c>
      <c r="CS43" s="5">
        <f t="shared" si="49"/>
        <v>1000</v>
      </c>
      <c r="CT43" s="2">
        <f t="shared" si="50"/>
        <v>100000</v>
      </c>
      <c r="CU43" s="2">
        <f t="shared" si="51"/>
        <v>100000</v>
      </c>
      <c r="CV43" s="2">
        <f t="shared" si="52"/>
        <v>110668.8</v>
      </c>
      <c r="CW43" s="8">
        <f t="shared" si="27"/>
        <v>4.8000000000000001E-2</v>
      </c>
      <c r="CX43" s="2">
        <f t="shared" si="28"/>
        <v>111111.4752</v>
      </c>
      <c r="CY43" s="2" t="str">
        <f t="shared" si="29"/>
        <v>nie</v>
      </c>
      <c r="CZ43" s="2">
        <f t="shared" si="53"/>
        <v>0</v>
      </c>
      <c r="DA43" s="2">
        <f t="shared" si="54"/>
        <v>0</v>
      </c>
      <c r="DB43" s="2">
        <f t="shared" si="55"/>
        <v>111111.4752</v>
      </c>
      <c r="DC43" s="2">
        <f t="shared" si="30"/>
        <v>0</v>
      </c>
      <c r="DD43" s="2">
        <f t="shared" si="56"/>
        <v>177.07008000000002</v>
      </c>
      <c r="DE43" s="2">
        <f t="shared" si="57"/>
        <v>110934.40512</v>
      </c>
      <c r="DF43" s="2">
        <f t="shared" si="32"/>
        <v>3000</v>
      </c>
      <c r="DG43" s="2">
        <f t="shared" si="33"/>
        <v>1541.1802880000002</v>
      </c>
      <c r="DH43" s="2">
        <f t="shared" si="58"/>
        <v>106393.22483199999</v>
      </c>
    </row>
    <row r="44" spans="2:112">
      <c r="B44" s="228"/>
      <c r="C44" s="1">
        <f t="shared" si="102"/>
        <v>7</v>
      </c>
      <c r="D44" s="2">
        <f t="shared" si="105"/>
        <v>102712.5</v>
      </c>
      <c r="E44" s="2">
        <f t="shared" si="106"/>
        <v>101387.125</v>
      </c>
      <c r="F44" s="2">
        <f t="shared" si="107"/>
        <v>102916.66666666666</v>
      </c>
      <c r="G44" s="2">
        <f t="shared" si="108"/>
        <v>100742.49999999999</v>
      </c>
      <c r="H44" s="2">
        <f t="shared" si="109"/>
        <v>103266.66666666666</v>
      </c>
      <c r="I44" s="2">
        <f t="shared" si="110"/>
        <v>100215.99999999999</v>
      </c>
      <c r="J44" s="2">
        <f t="shared" si="103"/>
        <v>102025.49029483731</v>
      </c>
      <c r="K44" s="2">
        <f t="shared" si="104"/>
        <v>101633.33333333333</v>
      </c>
      <c r="W44" s="1">
        <f t="shared" si="34"/>
        <v>26</v>
      </c>
      <c r="X44" s="2">
        <f t="shared" si="0"/>
        <v>106171.56586666666</v>
      </c>
      <c r="Y44" s="8">
        <f t="shared" si="76"/>
        <v>4.1300000000000003E-2</v>
      </c>
      <c r="Z44" s="5">
        <f t="shared" si="35"/>
        <v>1000</v>
      </c>
      <c r="AA44" s="2">
        <f t="shared" si="36"/>
        <v>100000</v>
      </c>
      <c r="AB44" s="2">
        <f t="shared" si="37"/>
        <v>100000</v>
      </c>
      <c r="AC44" s="2">
        <f t="shared" si="38"/>
        <v>109516.22499999999</v>
      </c>
      <c r="AD44" s="8">
        <f t="shared" si="1"/>
        <v>4.65E-2</v>
      </c>
      <c r="AE44" s="2">
        <f t="shared" si="2"/>
        <v>110364.97574374998</v>
      </c>
      <c r="AF44" s="2" t="str">
        <f t="shared" si="3"/>
        <v>nie</v>
      </c>
      <c r="AG44" s="2">
        <f t="shared" si="4"/>
        <v>1000</v>
      </c>
      <c r="AH44" s="1">
        <f t="shared" si="79"/>
        <v>0</v>
      </c>
      <c r="AI44" s="1">
        <f t="shared" si="111"/>
        <v>0</v>
      </c>
      <c r="AJ44" s="6"/>
      <c r="AK44" s="6"/>
      <c r="AL44" s="2">
        <f t="shared" si="90"/>
        <v>0</v>
      </c>
      <c r="AM44" s="8">
        <f t="shared" si="80"/>
        <v>4.65E-2</v>
      </c>
      <c r="AN44" s="2">
        <f t="shared" si="91"/>
        <v>0</v>
      </c>
      <c r="AO44" s="2">
        <f t="shared" si="81"/>
        <v>0</v>
      </c>
      <c r="AP44" s="2">
        <f t="shared" ref="AP44:AP107" si="119">SUM(AI44:AK44)*100</f>
        <v>0</v>
      </c>
      <c r="AQ44" s="8">
        <f t="shared" si="112"/>
        <v>4.1300000000000003E-2</v>
      </c>
      <c r="AR44" s="2">
        <f t="shared" si="113"/>
        <v>0</v>
      </c>
      <c r="AS44" s="2">
        <f t="shared" si="114"/>
        <v>0</v>
      </c>
      <c r="AT44" s="2">
        <f t="shared" si="39"/>
        <v>0</v>
      </c>
      <c r="AU44" s="2">
        <f t="shared" si="92"/>
        <v>0</v>
      </c>
      <c r="AV44" s="2">
        <f t="shared" si="82"/>
        <v>0</v>
      </c>
      <c r="AW44" s="1">
        <f t="shared" si="77"/>
        <v>0</v>
      </c>
      <c r="AX44" s="2">
        <f t="shared" si="6"/>
        <v>0</v>
      </c>
      <c r="AY44" s="1">
        <f t="shared" si="83"/>
        <v>0</v>
      </c>
      <c r="AZ44" s="2">
        <f t="shared" si="40"/>
        <v>0</v>
      </c>
      <c r="BA44" s="2">
        <f t="shared" si="93"/>
        <v>110364.97574374998</v>
      </c>
      <c r="BB44" s="2">
        <f t="shared" si="9"/>
        <v>0</v>
      </c>
      <c r="BC44" s="2">
        <f t="shared" si="41"/>
        <v>175.22595999999999</v>
      </c>
      <c r="BD44" s="2">
        <f t="shared" si="10"/>
        <v>110189.74978374998</v>
      </c>
      <c r="BE44" s="2">
        <f t="shared" si="42"/>
        <v>1000</v>
      </c>
      <c r="BF44" s="2">
        <f t="shared" si="11"/>
        <v>1779.3453913124961</v>
      </c>
      <c r="BG44" s="2">
        <f t="shared" si="12"/>
        <v>107410.40439243749</v>
      </c>
      <c r="BI44" s="8">
        <f t="shared" si="84"/>
        <v>2.8000000000000001E-2</v>
      </c>
      <c r="BJ44" s="5">
        <f t="shared" si="43"/>
        <v>1000</v>
      </c>
      <c r="BK44" s="2">
        <f t="shared" si="44"/>
        <v>100000</v>
      </c>
      <c r="BL44" s="2">
        <f t="shared" si="45"/>
        <v>100000</v>
      </c>
      <c r="BM44" s="2">
        <f t="shared" si="13"/>
        <v>100000</v>
      </c>
      <c r="BN44" s="8">
        <f t="shared" si="14"/>
        <v>4.2999999999999997E-2</v>
      </c>
      <c r="BO44" s="2">
        <f t="shared" si="15"/>
        <v>100716.66666666667</v>
      </c>
      <c r="BP44" s="2" t="str">
        <f t="shared" si="16"/>
        <v>nie</v>
      </c>
      <c r="BQ44" s="2">
        <f t="shared" si="17"/>
        <v>2000</v>
      </c>
      <c r="BR44" s="1">
        <f t="shared" si="85"/>
        <v>45</v>
      </c>
      <c r="BS44" s="1">
        <f t="shared" si="115"/>
        <v>50</v>
      </c>
      <c r="BT44" s="6"/>
      <c r="BU44" s="6"/>
      <c r="BV44" s="2">
        <f t="shared" si="94"/>
        <v>4500</v>
      </c>
      <c r="BW44" s="8">
        <f t="shared" si="86"/>
        <v>0.05</v>
      </c>
      <c r="BX44" s="2">
        <f t="shared" si="95"/>
        <v>4537.5</v>
      </c>
      <c r="BY44" s="2">
        <f t="shared" si="87"/>
        <v>37.5</v>
      </c>
      <c r="BZ44" s="2">
        <f t="shared" ref="BZ44:BZ107" si="120">SUM(BS44:BU44)*100</f>
        <v>5000</v>
      </c>
      <c r="CA44" s="8">
        <f t="shared" si="116"/>
        <v>4.2999999999999997E-2</v>
      </c>
      <c r="CB44" s="2">
        <f t="shared" si="117"/>
        <v>5035.8333333333339</v>
      </c>
      <c r="CC44" s="2">
        <f t="shared" si="118"/>
        <v>100</v>
      </c>
      <c r="CD44" s="2">
        <f t="shared" si="18"/>
        <v>0</v>
      </c>
      <c r="CE44" s="2">
        <f t="shared" si="96"/>
        <v>0</v>
      </c>
      <c r="CF44" s="2">
        <f t="shared" si="97"/>
        <v>49.999999999985448</v>
      </c>
      <c r="CG44" s="1">
        <f t="shared" si="78"/>
        <v>0</v>
      </c>
      <c r="CH44" s="2">
        <f t="shared" si="20"/>
        <v>49.999999999985448</v>
      </c>
      <c r="CI44" s="1">
        <f t="shared" si="89"/>
        <v>0</v>
      </c>
      <c r="CJ44" s="2">
        <f t="shared" si="98"/>
        <v>49.999999999985448</v>
      </c>
      <c r="CK44" s="2">
        <f t="shared" si="99"/>
        <v>110339.99999999999</v>
      </c>
      <c r="CL44" s="2">
        <f t="shared" si="23"/>
        <v>0</v>
      </c>
      <c r="CM44" s="2">
        <f t="shared" si="47"/>
        <v>175.27999999999997</v>
      </c>
      <c r="CN44" s="2">
        <f t="shared" si="24"/>
        <v>110164.71999999999</v>
      </c>
      <c r="CO44" s="2">
        <f t="shared" si="48"/>
        <v>2137.5</v>
      </c>
      <c r="CP44" s="2">
        <f t="shared" si="25"/>
        <v>1558.4749999999972</v>
      </c>
      <c r="CQ44" s="2">
        <f t="shared" si="26"/>
        <v>106468.745</v>
      </c>
      <c r="CS44" s="5">
        <f t="shared" si="49"/>
        <v>1000</v>
      </c>
      <c r="CT44" s="2">
        <f t="shared" si="50"/>
        <v>100000</v>
      </c>
      <c r="CU44" s="2">
        <f t="shared" si="51"/>
        <v>100000</v>
      </c>
      <c r="CV44" s="2">
        <f t="shared" si="52"/>
        <v>110668.8</v>
      </c>
      <c r="CW44" s="8">
        <f t="shared" si="27"/>
        <v>4.8000000000000001E-2</v>
      </c>
      <c r="CX44" s="2">
        <f t="shared" si="28"/>
        <v>111554.1504</v>
      </c>
      <c r="CY44" s="2" t="str">
        <f t="shared" si="29"/>
        <v>nie</v>
      </c>
      <c r="CZ44" s="2">
        <f t="shared" si="53"/>
        <v>0</v>
      </c>
      <c r="DA44" s="2">
        <f t="shared" si="54"/>
        <v>0</v>
      </c>
      <c r="DB44" s="2">
        <f t="shared" si="55"/>
        <v>111554.1504</v>
      </c>
      <c r="DC44" s="2">
        <f t="shared" si="30"/>
        <v>0</v>
      </c>
      <c r="DD44" s="2">
        <f t="shared" si="56"/>
        <v>177.07008000000002</v>
      </c>
      <c r="DE44" s="2">
        <f t="shared" si="57"/>
        <v>111377.08031999999</v>
      </c>
      <c r="DF44" s="2">
        <f t="shared" si="32"/>
        <v>3000</v>
      </c>
      <c r="DG44" s="2">
        <f t="shared" si="33"/>
        <v>1625.2885759999997</v>
      </c>
      <c r="DH44" s="2">
        <f t="shared" si="58"/>
        <v>106751.79174399999</v>
      </c>
    </row>
    <row r="45" spans="2:112">
      <c r="B45" s="228"/>
      <c r="C45" s="1">
        <f t="shared" si="102"/>
        <v>8</v>
      </c>
      <c r="D45" s="2">
        <f t="shared" si="105"/>
        <v>103099.99999999999</v>
      </c>
      <c r="E45" s="2">
        <f t="shared" si="106"/>
        <v>101700.99999999999</v>
      </c>
      <c r="F45" s="2">
        <f t="shared" si="107"/>
        <v>103333.33333333334</v>
      </c>
      <c r="G45" s="2">
        <f t="shared" si="108"/>
        <v>101080.00000000001</v>
      </c>
      <c r="H45" s="2">
        <f t="shared" si="109"/>
        <v>103733.33333333334</v>
      </c>
      <c r="I45" s="2">
        <f t="shared" si="110"/>
        <v>100594.00000000001</v>
      </c>
      <c r="J45" s="2">
        <f t="shared" si="103"/>
        <v>102318.17592012062</v>
      </c>
      <c r="K45" s="2">
        <f t="shared" si="104"/>
        <v>101866.66666666666</v>
      </c>
      <c r="W45" s="1">
        <f t="shared" si="34"/>
        <v>27</v>
      </c>
      <c r="X45" s="2">
        <f t="shared" si="0"/>
        <v>106418.14879999998</v>
      </c>
      <c r="Y45" s="8">
        <f t="shared" si="76"/>
        <v>4.1300000000000003E-2</v>
      </c>
      <c r="Z45" s="5">
        <f t="shared" si="35"/>
        <v>1000</v>
      </c>
      <c r="AA45" s="2">
        <f t="shared" si="36"/>
        <v>100000</v>
      </c>
      <c r="AB45" s="2">
        <f t="shared" si="37"/>
        <v>100000</v>
      </c>
      <c r="AC45" s="2">
        <f t="shared" si="38"/>
        <v>109516.22499999999</v>
      </c>
      <c r="AD45" s="8">
        <f t="shared" si="1"/>
        <v>4.65E-2</v>
      </c>
      <c r="AE45" s="2">
        <f t="shared" si="2"/>
        <v>110789.35111562499</v>
      </c>
      <c r="AF45" s="2" t="str">
        <f t="shared" si="3"/>
        <v>nie</v>
      </c>
      <c r="AG45" s="2">
        <f t="shared" si="4"/>
        <v>1000</v>
      </c>
      <c r="AH45" s="1">
        <f t="shared" si="79"/>
        <v>0</v>
      </c>
      <c r="AI45" s="1">
        <f t="shared" si="111"/>
        <v>0</v>
      </c>
      <c r="AJ45" s="6"/>
      <c r="AK45" s="6"/>
      <c r="AL45" s="2">
        <f t="shared" si="90"/>
        <v>0</v>
      </c>
      <c r="AM45" s="8">
        <f t="shared" si="80"/>
        <v>4.65E-2</v>
      </c>
      <c r="AN45" s="2">
        <f t="shared" si="91"/>
        <v>0</v>
      </c>
      <c r="AO45" s="2">
        <f t="shared" si="81"/>
        <v>0</v>
      </c>
      <c r="AP45" s="2">
        <f t="shared" si="119"/>
        <v>0</v>
      </c>
      <c r="AQ45" s="8">
        <f t="shared" si="112"/>
        <v>4.1300000000000003E-2</v>
      </c>
      <c r="AR45" s="2">
        <f t="shared" si="113"/>
        <v>0</v>
      </c>
      <c r="AS45" s="2">
        <f t="shared" si="114"/>
        <v>0</v>
      </c>
      <c r="AT45" s="2">
        <f t="shared" si="39"/>
        <v>0</v>
      </c>
      <c r="AU45" s="2">
        <f t="shared" si="92"/>
        <v>0</v>
      </c>
      <c r="AV45" s="2">
        <f t="shared" si="82"/>
        <v>0</v>
      </c>
      <c r="AW45" s="1">
        <f t="shared" si="77"/>
        <v>0</v>
      </c>
      <c r="AX45" s="2">
        <f t="shared" si="6"/>
        <v>0</v>
      </c>
      <c r="AY45" s="1">
        <f t="shared" si="83"/>
        <v>0</v>
      </c>
      <c r="AZ45" s="2">
        <f t="shared" si="40"/>
        <v>0</v>
      </c>
      <c r="BA45" s="2">
        <f t="shared" si="93"/>
        <v>110789.35111562499</v>
      </c>
      <c r="BB45" s="2">
        <f t="shared" si="9"/>
        <v>0</v>
      </c>
      <c r="BC45" s="2">
        <f t="shared" si="41"/>
        <v>175.22595999999999</v>
      </c>
      <c r="BD45" s="2">
        <f t="shared" si="10"/>
        <v>110614.12515562499</v>
      </c>
      <c r="BE45" s="2">
        <f t="shared" si="42"/>
        <v>1000</v>
      </c>
      <c r="BF45" s="2">
        <f t="shared" si="11"/>
        <v>1859.9767119687476</v>
      </c>
      <c r="BG45" s="2">
        <f t="shared" si="12"/>
        <v>107754.14844365625</v>
      </c>
      <c r="BI45" s="8">
        <f t="shared" si="84"/>
        <v>2.8000000000000001E-2</v>
      </c>
      <c r="BJ45" s="5">
        <f t="shared" si="43"/>
        <v>1000</v>
      </c>
      <c r="BK45" s="2">
        <f t="shared" si="44"/>
        <v>100000</v>
      </c>
      <c r="BL45" s="2">
        <f t="shared" si="45"/>
        <v>100000</v>
      </c>
      <c r="BM45" s="2">
        <f t="shared" si="13"/>
        <v>100000</v>
      </c>
      <c r="BN45" s="8">
        <f t="shared" si="14"/>
        <v>4.2999999999999997E-2</v>
      </c>
      <c r="BO45" s="2">
        <f t="shared" si="15"/>
        <v>101075</v>
      </c>
      <c r="BP45" s="2" t="str">
        <f t="shared" si="16"/>
        <v>nie</v>
      </c>
      <c r="BQ45" s="2">
        <f t="shared" si="17"/>
        <v>2000</v>
      </c>
      <c r="BR45" s="1">
        <f t="shared" si="85"/>
        <v>45</v>
      </c>
      <c r="BS45" s="1">
        <f t="shared" si="115"/>
        <v>50</v>
      </c>
      <c r="BT45" s="6"/>
      <c r="BU45" s="6"/>
      <c r="BV45" s="2">
        <f t="shared" si="94"/>
        <v>4500</v>
      </c>
      <c r="BW45" s="8">
        <f t="shared" si="86"/>
        <v>0.05</v>
      </c>
      <c r="BX45" s="2">
        <f t="shared" si="95"/>
        <v>4556.25</v>
      </c>
      <c r="BY45" s="2">
        <f t="shared" si="87"/>
        <v>56.25</v>
      </c>
      <c r="BZ45" s="2">
        <f t="shared" si="120"/>
        <v>5000</v>
      </c>
      <c r="CA45" s="8">
        <f t="shared" si="116"/>
        <v>4.2999999999999997E-2</v>
      </c>
      <c r="CB45" s="2">
        <f t="shared" si="117"/>
        <v>5053.75</v>
      </c>
      <c r="CC45" s="2">
        <f t="shared" si="118"/>
        <v>100</v>
      </c>
      <c r="CD45" s="2">
        <f t="shared" si="18"/>
        <v>0</v>
      </c>
      <c r="CE45" s="2">
        <f t="shared" si="96"/>
        <v>0</v>
      </c>
      <c r="CF45" s="2">
        <f t="shared" si="97"/>
        <v>49.999999999985448</v>
      </c>
      <c r="CG45" s="1">
        <f t="shared" si="78"/>
        <v>0</v>
      </c>
      <c r="CH45" s="2">
        <f t="shared" si="20"/>
        <v>49.999999999985448</v>
      </c>
      <c r="CI45" s="1">
        <f t="shared" si="89"/>
        <v>0</v>
      </c>
      <c r="CJ45" s="2">
        <f t="shared" si="98"/>
        <v>49.999999999985448</v>
      </c>
      <c r="CK45" s="2">
        <f t="shared" si="99"/>
        <v>110734.99999999999</v>
      </c>
      <c r="CL45" s="2">
        <f t="shared" si="23"/>
        <v>0</v>
      </c>
      <c r="CM45" s="2">
        <f t="shared" si="47"/>
        <v>175.27999999999997</v>
      </c>
      <c r="CN45" s="2">
        <f t="shared" si="24"/>
        <v>110559.71999999999</v>
      </c>
      <c r="CO45" s="2">
        <f t="shared" si="48"/>
        <v>2156.25</v>
      </c>
      <c r="CP45" s="2">
        <f t="shared" si="25"/>
        <v>1629.9624999999974</v>
      </c>
      <c r="CQ45" s="2">
        <f t="shared" si="26"/>
        <v>106773.50749999999</v>
      </c>
      <c r="CS45" s="5">
        <f t="shared" si="49"/>
        <v>1000</v>
      </c>
      <c r="CT45" s="2">
        <f t="shared" si="50"/>
        <v>100000</v>
      </c>
      <c r="CU45" s="2">
        <f t="shared" si="51"/>
        <v>100000</v>
      </c>
      <c r="CV45" s="2">
        <f t="shared" si="52"/>
        <v>110668.8</v>
      </c>
      <c r="CW45" s="8">
        <f t="shared" si="27"/>
        <v>4.8000000000000001E-2</v>
      </c>
      <c r="CX45" s="2">
        <f t="shared" si="28"/>
        <v>111996.82560000001</v>
      </c>
      <c r="CY45" s="2" t="str">
        <f t="shared" si="29"/>
        <v>nie</v>
      </c>
      <c r="CZ45" s="2">
        <f t="shared" si="53"/>
        <v>0</v>
      </c>
      <c r="DA45" s="2">
        <f t="shared" si="54"/>
        <v>0</v>
      </c>
      <c r="DB45" s="2">
        <f t="shared" si="55"/>
        <v>111996.82560000001</v>
      </c>
      <c r="DC45" s="2">
        <f t="shared" si="30"/>
        <v>0</v>
      </c>
      <c r="DD45" s="2">
        <f t="shared" si="56"/>
        <v>177.07008000000002</v>
      </c>
      <c r="DE45" s="2">
        <f t="shared" si="57"/>
        <v>111819.75552000001</v>
      </c>
      <c r="DF45" s="2">
        <f t="shared" si="32"/>
        <v>3000</v>
      </c>
      <c r="DG45" s="2">
        <f t="shared" si="33"/>
        <v>1709.3968640000021</v>
      </c>
      <c r="DH45" s="2">
        <f t="shared" si="58"/>
        <v>107110.358656</v>
      </c>
    </row>
    <row r="46" spans="2:112">
      <c r="B46" s="228"/>
      <c r="C46" s="1">
        <f t="shared" si="102"/>
        <v>9</v>
      </c>
      <c r="D46" s="2">
        <f t="shared" si="105"/>
        <v>103487.5</v>
      </c>
      <c r="E46" s="2">
        <f t="shared" si="106"/>
        <v>102014.875</v>
      </c>
      <c r="F46" s="2">
        <f t="shared" si="107"/>
        <v>103750.00000000001</v>
      </c>
      <c r="G46" s="2">
        <f t="shared" si="108"/>
        <v>101417.50000000001</v>
      </c>
      <c r="H46" s="2">
        <f t="shared" si="109"/>
        <v>104200</v>
      </c>
      <c r="I46" s="2">
        <f t="shared" si="110"/>
        <v>100972</v>
      </c>
      <c r="J46" s="2">
        <f t="shared" si="103"/>
        <v>102611.70118729146</v>
      </c>
      <c r="K46" s="2">
        <f t="shared" si="104"/>
        <v>102099.99999999999</v>
      </c>
      <c r="W46" s="1">
        <f t="shared" si="34"/>
        <v>28</v>
      </c>
      <c r="X46" s="2">
        <f t="shared" si="0"/>
        <v>106664.73173333333</v>
      </c>
      <c r="Y46" s="8">
        <f t="shared" si="76"/>
        <v>4.1300000000000003E-2</v>
      </c>
      <c r="Z46" s="5">
        <f t="shared" si="35"/>
        <v>1000</v>
      </c>
      <c r="AA46" s="2">
        <f t="shared" si="36"/>
        <v>100000</v>
      </c>
      <c r="AB46" s="2">
        <f t="shared" si="37"/>
        <v>100000</v>
      </c>
      <c r="AC46" s="2">
        <f t="shared" si="38"/>
        <v>109516.22499999999</v>
      </c>
      <c r="AD46" s="8">
        <f t="shared" si="1"/>
        <v>4.65E-2</v>
      </c>
      <c r="AE46" s="2">
        <f t="shared" si="2"/>
        <v>111213.7264875</v>
      </c>
      <c r="AF46" s="2" t="str">
        <f t="shared" si="3"/>
        <v>nie</v>
      </c>
      <c r="AG46" s="2">
        <f t="shared" si="4"/>
        <v>1000</v>
      </c>
      <c r="AH46" s="1">
        <f t="shared" si="79"/>
        <v>0</v>
      </c>
      <c r="AI46" s="1">
        <f t="shared" si="111"/>
        <v>0</v>
      </c>
      <c r="AJ46" s="6"/>
      <c r="AK46" s="6"/>
      <c r="AL46" s="2">
        <f t="shared" si="90"/>
        <v>0</v>
      </c>
      <c r="AM46" s="8">
        <f t="shared" si="80"/>
        <v>4.65E-2</v>
      </c>
      <c r="AN46" s="2">
        <f t="shared" si="91"/>
        <v>0</v>
      </c>
      <c r="AO46" s="2">
        <f t="shared" si="81"/>
        <v>0</v>
      </c>
      <c r="AP46" s="2">
        <f t="shared" si="119"/>
        <v>0</v>
      </c>
      <c r="AQ46" s="8">
        <f t="shared" si="112"/>
        <v>4.1300000000000003E-2</v>
      </c>
      <c r="AR46" s="2">
        <f t="shared" si="113"/>
        <v>0</v>
      </c>
      <c r="AS46" s="2">
        <f t="shared" si="114"/>
        <v>0</v>
      </c>
      <c r="AT46" s="2">
        <f t="shared" si="39"/>
        <v>0</v>
      </c>
      <c r="AU46" s="2">
        <f t="shared" si="92"/>
        <v>0</v>
      </c>
      <c r="AV46" s="2">
        <f t="shared" si="82"/>
        <v>0</v>
      </c>
      <c r="AW46" s="1">
        <f t="shared" si="77"/>
        <v>0</v>
      </c>
      <c r="AX46" s="2">
        <f t="shared" si="6"/>
        <v>0</v>
      </c>
      <c r="AY46" s="1">
        <f t="shared" si="83"/>
        <v>0</v>
      </c>
      <c r="AZ46" s="2">
        <f t="shared" si="40"/>
        <v>0</v>
      </c>
      <c r="BA46" s="2">
        <f t="shared" si="93"/>
        <v>111213.7264875</v>
      </c>
      <c r="BB46" s="2">
        <f t="shared" si="9"/>
        <v>0</v>
      </c>
      <c r="BC46" s="2">
        <f t="shared" si="41"/>
        <v>175.22595999999999</v>
      </c>
      <c r="BD46" s="2">
        <f t="shared" si="10"/>
        <v>111038.5005275</v>
      </c>
      <c r="BE46" s="2">
        <f t="shared" si="42"/>
        <v>1000</v>
      </c>
      <c r="BF46" s="2">
        <f t="shared" si="11"/>
        <v>1940.6080326249994</v>
      </c>
      <c r="BG46" s="2">
        <f t="shared" si="12"/>
        <v>108097.89249487501</v>
      </c>
      <c r="BI46" s="8">
        <f t="shared" si="84"/>
        <v>2.8000000000000001E-2</v>
      </c>
      <c r="BJ46" s="5">
        <f t="shared" si="43"/>
        <v>1000</v>
      </c>
      <c r="BK46" s="2">
        <f t="shared" si="44"/>
        <v>100000</v>
      </c>
      <c r="BL46" s="2">
        <f t="shared" si="45"/>
        <v>100000</v>
      </c>
      <c r="BM46" s="2">
        <f t="shared" si="13"/>
        <v>100000</v>
      </c>
      <c r="BN46" s="8">
        <f t="shared" si="14"/>
        <v>4.2999999999999997E-2</v>
      </c>
      <c r="BO46" s="2">
        <f t="shared" si="15"/>
        <v>101433.33333333333</v>
      </c>
      <c r="BP46" s="2" t="str">
        <f t="shared" si="16"/>
        <v>nie</v>
      </c>
      <c r="BQ46" s="2">
        <f t="shared" si="17"/>
        <v>2000</v>
      </c>
      <c r="BR46" s="1">
        <f t="shared" si="85"/>
        <v>45</v>
      </c>
      <c r="BS46" s="1">
        <f t="shared" si="115"/>
        <v>50</v>
      </c>
      <c r="BT46" s="6"/>
      <c r="BU46" s="6"/>
      <c r="BV46" s="2">
        <f t="shared" si="94"/>
        <v>4500</v>
      </c>
      <c r="BW46" s="8">
        <f t="shared" si="86"/>
        <v>0.05</v>
      </c>
      <c r="BX46" s="2">
        <f t="shared" si="95"/>
        <v>4575</v>
      </c>
      <c r="BY46" s="2">
        <f t="shared" si="87"/>
        <v>75</v>
      </c>
      <c r="BZ46" s="2">
        <f t="shared" si="120"/>
        <v>5000</v>
      </c>
      <c r="CA46" s="8">
        <f t="shared" si="116"/>
        <v>4.2999999999999997E-2</v>
      </c>
      <c r="CB46" s="2">
        <f t="shared" si="117"/>
        <v>5071.666666666667</v>
      </c>
      <c r="CC46" s="2">
        <f t="shared" si="118"/>
        <v>100</v>
      </c>
      <c r="CD46" s="2">
        <f t="shared" si="18"/>
        <v>0</v>
      </c>
      <c r="CE46" s="2">
        <f t="shared" si="96"/>
        <v>0</v>
      </c>
      <c r="CF46" s="2">
        <f t="shared" si="97"/>
        <v>49.999999999985448</v>
      </c>
      <c r="CG46" s="1">
        <f t="shared" si="78"/>
        <v>0</v>
      </c>
      <c r="CH46" s="2">
        <f t="shared" si="20"/>
        <v>49.999999999985448</v>
      </c>
      <c r="CI46" s="1">
        <f t="shared" si="89"/>
        <v>0</v>
      </c>
      <c r="CJ46" s="2">
        <f t="shared" si="98"/>
        <v>49.999999999985448</v>
      </c>
      <c r="CK46" s="2">
        <f t="shared" si="99"/>
        <v>111129.99999999999</v>
      </c>
      <c r="CL46" s="2">
        <f t="shared" si="23"/>
        <v>0</v>
      </c>
      <c r="CM46" s="2">
        <f t="shared" si="47"/>
        <v>175.27999999999997</v>
      </c>
      <c r="CN46" s="2">
        <f t="shared" si="24"/>
        <v>110954.71999999999</v>
      </c>
      <c r="CO46" s="2">
        <f t="shared" si="48"/>
        <v>2175</v>
      </c>
      <c r="CP46" s="2">
        <f t="shared" si="25"/>
        <v>1701.4499999999973</v>
      </c>
      <c r="CQ46" s="2">
        <f t="shared" si="26"/>
        <v>107078.26999999999</v>
      </c>
      <c r="CS46" s="5">
        <f t="shared" si="49"/>
        <v>1000</v>
      </c>
      <c r="CT46" s="2">
        <f t="shared" si="50"/>
        <v>100000</v>
      </c>
      <c r="CU46" s="2">
        <f t="shared" si="51"/>
        <v>100000</v>
      </c>
      <c r="CV46" s="2">
        <f t="shared" si="52"/>
        <v>110668.8</v>
      </c>
      <c r="CW46" s="8">
        <f t="shared" si="27"/>
        <v>4.8000000000000001E-2</v>
      </c>
      <c r="CX46" s="2">
        <f t="shared" si="28"/>
        <v>112439.50080000001</v>
      </c>
      <c r="CY46" s="2" t="str">
        <f t="shared" si="29"/>
        <v>nie</v>
      </c>
      <c r="CZ46" s="2">
        <f t="shared" si="53"/>
        <v>0</v>
      </c>
      <c r="DA46" s="2">
        <f t="shared" si="54"/>
        <v>0</v>
      </c>
      <c r="DB46" s="2">
        <f t="shared" si="55"/>
        <v>112439.50080000001</v>
      </c>
      <c r="DC46" s="2">
        <f t="shared" si="30"/>
        <v>0</v>
      </c>
      <c r="DD46" s="2">
        <f t="shared" si="56"/>
        <v>177.07008000000002</v>
      </c>
      <c r="DE46" s="2">
        <f t="shared" si="57"/>
        <v>112262.43072</v>
      </c>
      <c r="DF46" s="2">
        <f t="shared" si="32"/>
        <v>3000</v>
      </c>
      <c r="DG46" s="2">
        <f t="shared" si="33"/>
        <v>1793.5051520000018</v>
      </c>
      <c r="DH46" s="2">
        <f t="shared" si="58"/>
        <v>107468.92556800001</v>
      </c>
    </row>
    <row r="47" spans="2:112">
      <c r="B47" s="228"/>
      <c r="C47" s="1">
        <f t="shared" si="102"/>
        <v>10</v>
      </c>
      <c r="D47" s="2">
        <f t="shared" si="105"/>
        <v>103875</v>
      </c>
      <c r="E47" s="2">
        <f t="shared" si="106"/>
        <v>102328.75</v>
      </c>
      <c r="F47" s="2">
        <f t="shared" si="107"/>
        <v>104166.66666666667</v>
      </c>
      <c r="G47" s="2">
        <f t="shared" si="108"/>
        <v>101755</v>
      </c>
      <c r="H47" s="2">
        <f t="shared" si="109"/>
        <v>104666.66666666666</v>
      </c>
      <c r="I47" s="2">
        <f t="shared" si="110"/>
        <v>101349.99999999999</v>
      </c>
      <c r="J47" s="2">
        <f t="shared" si="103"/>
        <v>102906.0685050725</v>
      </c>
      <c r="K47" s="2">
        <f t="shared" si="104"/>
        <v>102333.33333333334</v>
      </c>
      <c r="W47" s="1">
        <f t="shared" si="34"/>
        <v>29</v>
      </c>
      <c r="X47" s="2">
        <f t="shared" si="0"/>
        <v>106911.31466666667</v>
      </c>
      <c r="Y47" s="8">
        <f t="shared" si="76"/>
        <v>4.1300000000000003E-2</v>
      </c>
      <c r="Z47" s="5">
        <f t="shared" si="35"/>
        <v>1000</v>
      </c>
      <c r="AA47" s="2">
        <f t="shared" si="36"/>
        <v>100000</v>
      </c>
      <c r="AB47" s="2">
        <f t="shared" si="37"/>
        <v>100000</v>
      </c>
      <c r="AC47" s="2">
        <f t="shared" si="38"/>
        <v>109516.22499999999</v>
      </c>
      <c r="AD47" s="8">
        <f t="shared" si="1"/>
        <v>4.65E-2</v>
      </c>
      <c r="AE47" s="2">
        <f t="shared" si="2"/>
        <v>111638.10185937498</v>
      </c>
      <c r="AF47" s="2" t="str">
        <f t="shared" si="3"/>
        <v>nie</v>
      </c>
      <c r="AG47" s="2">
        <f t="shared" si="4"/>
        <v>1000</v>
      </c>
      <c r="AH47" s="1">
        <f t="shared" si="79"/>
        <v>0</v>
      </c>
      <c r="AI47" s="1">
        <f t="shared" si="111"/>
        <v>0</v>
      </c>
      <c r="AJ47" s="6"/>
      <c r="AK47" s="6"/>
      <c r="AL47" s="2">
        <f t="shared" si="90"/>
        <v>0</v>
      </c>
      <c r="AM47" s="8">
        <f t="shared" si="80"/>
        <v>4.65E-2</v>
      </c>
      <c r="AN47" s="2">
        <f t="shared" si="91"/>
        <v>0</v>
      </c>
      <c r="AO47" s="2">
        <f t="shared" si="81"/>
        <v>0</v>
      </c>
      <c r="AP47" s="2">
        <f t="shared" si="119"/>
        <v>0</v>
      </c>
      <c r="AQ47" s="8">
        <f t="shared" si="112"/>
        <v>4.1300000000000003E-2</v>
      </c>
      <c r="AR47" s="2">
        <f t="shared" si="113"/>
        <v>0</v>
      </c>
      <c r="AS47" s="2">
        <f t="shared" si="114"/>
        <v>0</v>
      </c>
      <c r="AT47" s="2">
        <f t="shared" si="39"/>
        <v>0</v>
      </c>
      <c r="AU47" s="2">
        <f t="shared" si="92"/>
        <v>0</v>
      </c>
      <c r="AV47" s="2">
        <f t="shared" si="82"/>
        <v>0</v>
      </c>
      <c r="AW47" s="1">
        <f t="shared" si="77"/>
        <v>0</v>
      </c>
      <c r="AX47" s="2">
        <f t="shared" si="6"/>
        <v>0</v>
      </c>
      <c r="AY47" s="1">
        <f t="shared" si="83"/>
        <v>0</v>
      </c>
      <c r="AZ47" s="2">
        <f t="shared" si="40"/>
        <v>0</v>
      </c>
      <c r="BA47" s="2">
        <f t="shared" si="93"/>
        <v>111638.10185937498</v>
      </c>
      <c r="BB47" s="2">
        <f t="shared" si="9"/>
        <v>0</v>
      </c>
      <c r="BC47" s="2">
        <f t="shared" si="41"/>
        <v>175.22595999999999</v>
      </c>
      <c r="BD47" s="2">
        <f t="shared" si="10"/>
        <v>111462.87589937498</v>
      </c>
      <c r="BE47" s="2">
        <f t="shared" si="42"/>
        <v>1000</v>
      </c>
      <c r="BF47" s="2">
        <f t="shared" si="11"/>
        <v>2021.2393532812455</v>
      </c>
      <c r="BG47" s="2">
        <f t="shared" si="12"/>
        <v>108441.63654609374</v>
      </c>
      <c r="BI47" s="8">
        <f t="shared" si="84"/>
        <v>2.8000000000000001E-2</v>
      </c>
      <c r="BJ47" s="5">
        <f t="shared" si="43"/>
        <v>1000</v>
      </c>
      <c r="BK47" s="2">
        <f t="shared" si="44"/>
        <v>100000</v>
      </c>
      <c r="BL47" s="2">
        <f t="shared" si="45"/>
        <v>100000</v>
      </c>
      <c r="BM47" s="2">
        <f t="shared" si="13"/>
        <v>100000</v>
      </c>
      <c r="BN47" s="8">
        <f t="shared" si="14"/>
        <v>4.2999999999999997E-2</v>
      </c>
      <c r="BO47" s="2">
        <f t="shared" si="15"/>
        <v>101791.66666666666</v>
      </c>
      <c r="BP47" s="2" t="str">
        <f t="shared" si="16"/>
        <v>nie</v>
      </c>
      <c r="BQ47" s="2">
        <f t="shared" si="17"/>
        <v>2000</v>
      </c>
      <c r="BR47" s="1">
        <f t="shared" si="85"/>
        <v>45</v>
      </c>
      <c r="BS47" s="1">
        <f t="shared" si="115"/>
        <v>50</v>
      </c>
      <c r="BT47" s="6"/>
      <c r="BU47" s="6"/>
      <c r="BV47" s="2">
        <f t="shared" si="94"/>
        <v>4500</v>
      </c>
      <c r="BW47" s="8">
        <f t="shared" si="86"/>
        <v>0.05</v>
      </c>
      <c r="BX47" s="2">
        <f t="shared" si="95"/>
        <v>4593.75</v>
      </c>
      <c r="BY47" s="2">
        <f t="shared" si="87"/>
        <v>90</v>
      </c>
      <c r="BZ47" s="2">
        <f t="shared" si="120"/>
        <v>5000</v>
      </c>
      <c r="CA47" s="8">
        <f t="shared" si="116"/>
        <v>4.2999999999999997E-2</v>
      </c>
      <c r="CB47" s="2">
        <f t="shared" si="117"/>
        <v>5089.583333333333</v>
      </c>
      <c r="CC47" s="2">
        <f t="shared" si="118"/>
        <v>100</v>
      </c>
      <c r="CD47" s="2">
        <f t="shared" si="18"/>
        <v>0</v>
      </c>
      <c r="CE47" s="2">
        <f t="shared" si="96"/>
        <v>0</v>
      </c>
      <c r="CF47" s="2">
        <f t="shared" si="97"/>
        <v>49.999999999985448</v>
      </c>
      <c r="CG47" s="1">
        <f t="shared" si="78"/>
        <v>0</v>
      </c>
      <c r="CH47" s="2">
        <f t="shared" si="20"/>
        <v>49.999999999985448</v>
      </c>
      <c r="CI47" s="1">
        <f t="shared" si="89"/>
        <v>0</v>
      </c>
      <c r="CJ47" s="2">
        <f t="shared" si="98"/>
        <v>49.999999999985448</v>
      </c>
      <c r="CK47" s="2">
        <f t="shared" si="99"/>
        <v>111524.99999999997</v>
      </c>
      <c r="CL47" s="2">
        <f t="shared" si="23"/>
        <v>0</v>
      </c>
      <c r="CM47" s="2">
        <f t="shared" si="47"/>
        <v>175.27999999999997</v>
      </c>
      <c r="CN47" s="2">
        <f t="shared" si="24"/>
        <v>111349.71999999997</v>
      </c>
      <c r="CO47" s="2">
        <f t="shared" si="48"/>
        <v>2190</v>
      </c>
      <c r="CP47" s="2">
        <f t="shared" si="25"/>
        <v>1773.6499999999944</v>
      </c>
      <c r="CQ47" s="2">
        <f t="shared" si="26"/>
        <v>107386.06999999998</v>
      </c>
      <c r="CS47" s="5">
        <f t="shared" si="49"/>
        <v>1000</v>
      </c>
      <c r="CT47" s="2">
        <f t="shared" si="50"/>
        <v>100000</v>
      </c>
      <c r="CU47" s="2">
        <f t="shared" si="51"/>
        <v>100000</v>
      </c>
      <c r="CV47" s="2">
        <f t="shared" si="52"/>
        <v>110668.8</v>
      </c>
      <c r="CW47" s="8">
        <f t="shared" si="27"/>
        <v>4.8000000000000001E-2</v>
      </c>
      <c r="CX47" s="2">
        <f t="shared" si="28"/>
        <v>112882.17600000001</v>
      </c>
      <c r="CY47" s="2" t="str">
        <f t="shared" si="29"/>
        <v>nie</v>
      </c>
      <c r="CZ47" s="2">
        <f t="shared" si="53"/>
        <v>0</v>
      </c>
      <c r="DA47" s="2">
        <f t="shared" si="54"/>
        <v>0</v>
      </c>
      <c r="DB47" s="2">
        <f t="shared" si="55"/>
        <v>112882.17600000001</v>
      </c>
      <c r="DC47" s="2">
        <f t="shared" si="30"/>
        <v>0</v>
      </c>
      <c r="DD47" s="2">
        <f t="shared" si="56"/>
        <v>177.07008000000002</v>
      </c>
      <c r="DE47" s="2">
        <f t="shared" si="57"/>
        <v>112705.10592</v>
      </c>
      <c r="DF47" s="2">
        <f t="shared" si="32"/>
        <v>3000</v>
      </c>
      <c r="DG47" s="2">
        <f t="shared" si="33"/>
        <v>1877.6134400000012</v>
      </c>
      <c r="DH47" s="2">
        <f t="shared" si="58"/>
        <v>107827.49248</v>
      </c>
    </row>
    <row r="48" spans="2:112">
      <c r="B48" s="229"/>
      <c r="C48" s="1">
        <f t="shared" si="102"/>
        <v>11</v>
      </c>
      <c r="D48" s="2">
        <f t="shared" si="105"/>
        <v>104262.49999999999</v>
      </c>
      <c r="E48" s="2">
        <f t="shared" si="106"/>
        <v>102642.62499999999</v>
      </c>
      <c r="F48" s="2">
        <f t="shared" si="107"/>
        <v>104583.33333333334</v>
      </c>
      <c r="G48" s="2">
        <f t="shared" si="108"/>
        <v>102092.50000000001</v>
      </c>
      <c r="H48" s="2">
        <f t="shared" si="109"/>
        <v>105133.33333333333</v>
      </c>
      <c r="I48" s="2">
        <f t="shared" si="110"/>
        <v>101728</v>
      </c>
      <c r="J48" s="2">
        <f t="shared" si="103"/>
        <v>103201.28028909642</v>
      </c>
      <c r="K48" s="2">
        <f t="shared" si="104"/>
        <v>102566.66666666667</v>
      </c>
      <c r="W48" s="1">
        <f t="shared" si="34"/>
        <v>30</v>
      </c>
      <c r="X48" s="2">
        <f t="shared" si="0"/>
        <v>107157.8976</v>
      </c>
      <c r="Y48" s="8">
        <f t="shared" si="76"/>
        <v>4.1300000000000003E-2</v>
      </c>
      <c r="Z48" s="5">
        <f t="shared" si="35"/>
        <v>1000</v>
      </c>
      <c r="AA48" s="2">
        <f t="shared" si="36"/>
        <v>100000</v>
      </c>
      <c r="AB48" s="2">
        <f t="shared" si="37"/>
        <v>100000</v>
      </c>
      <c r="AC48" s="2">
        <f t="shared" si="38"/>
        <v>109516.22499999999</v>
      </c>
      <c r="AD48" s="8">
        <f t="shared" si="1"/>
        <v>4.65E-2</v>
      </c>
      <c r="AE48" s="2">
        <f t="shared" si="2"/>
        <v>112062.47723124998</v>
      </c>
      <c r="AF48" s="2" t="str">
        <f t="shared" si="3"/>
        <v>nie</v>
      </c>
      <c r="AG48" s="2">
        <f t="shared" si="4"/>
        <v>1000</v>
      </c>
      <c r="AH48" s="1">
        <f t="shared" si="79"/>
        <v>0</v>
      </c>
      <c r="AI48" s="1">
        <f t="shared" si="111"/>
        <v>0</v>
      </c>
      <c r="AJ48" s="6"/>
      <c r="AK48" s="6"/>
      <c r="AL48" s="2">
        <f t="shared" si="90"/>
        <v>0</v>
      </c>
      <c r="AM48" s="8">
        <f t="shared" si="80"/>
        <v>4.65E-2</v>
      </c>
      <c r="AN48" s="2">
        <f t="shared" si="91"/>
        <v>0</v>
      </c>
      <c r="AO48" s="2">
        <f t="shared" si="81"/>
        <v>0</v>
      </c>
      <c r="AP48" s="2">
        <f t="shared" si="119"/>
        <v>0</v>
      </c>
      <c r="AQ48" s="8">
        <f t="shared" si="112"/>
        <v>4.1300000000000003E-2</v>
      </c>
      <c r="AR48" s="2">
        <f t="shared" si="113"/>
        <v>0</v>
      </c>
      <c r="AS48" s="2">
        <f t="shared" si="114"/>
        <v>0</v>
      </c>
      <c r="AT48" s="2">
        <f t="shared" si="39"/>
        <v>0</v>
      </c>
      <c r="AU48" s="2">
        <f t="shared" si="92"/>
        <v>0</v>
      </c>
      <c r="AV48" s="2">
        <f t="shared" si="82"/>
        <v>0</v>
      </c>
      <c r="AW48" s="1">
        <f t="shared" si="77"/>
        <v>0</v>
      </c>
      <c r="AX48" s="2">
        <f t="shared" si="6"/>
        <v>0</v>
      </c>
      <c r="AY48" s="1">
        <f t="shared" si="83"/>
        <v>0</v>
      </c>
      <c r="AZ48" s="2">
        <f t="shared" si="40"/>
        <v>0</v>
      </c>
      <c r="BA48" s="2">
        <f t="shared" si="93"/>
        <v>112062.47723124998</v>
      </c>
      <c r="BB48" s="2">
        <f t="shared" si="9"/>
        <v>0</v>
      </c>
      <c r="BC48" s="2">
        <f t="shared" si="41"/>
        <v>175.22595999999999</v>
      </c>
      <c r="BD48" s="2">
        <f t="shared" si="10"/>
        <v>111887.25127124999</v>
      </c>
      <c r="BE48" s="2">
        <f t="shared" si="42"/>
        <v>1000</v>
      </c>
      <c r="BF48" s="2">
        <f t="shared" si="11"/>
        <v>2101.870673937497</v>
      </c>
      <c r="BG48" s="2">
        <f t="shared" si="12"/>
        <v>108785.3805973125</v>
      </c>
      <c r="BI48" s="8">
        <f t="shared" si="84"/>
        <v>2.8000000000000001E-2</v>
      </c>
      <c r="BJ48" s="5">
        <f t="shared" si="43"/>
        <v>1000</v>
      </c>
      <c r="BK48" s="2">
        <f t="shared" si="44"/>
        <v>100000</v>
      </c>
      <c r="BL48" s="2">
        <f t="shared" si="45"/>
        <v>100000</v>
      </c>
      <c r="BM48" s="2">
        <f t="shared" si="13"/>
        <v>100000</v>
      </c>
      <c r="BN48" s="8">
        <f t="shared" si="14"/>
        <v>4.2999999999999997E-2</v>
      </c>
      <c r="BO48" s="2">
        <f t="shared" si="15"/>
        <v>102150.00000000001</v>
      </c>
      <c r="BP48" s="2" t="str">
        <f t="shared" si="16"/>
        <v>nie</v>
      </c>
      <c r="BQ48" s="2">
        <f t="shared" si="17"/>
        <v>2000</v>
      </c>
      <c r="BR48" s="1">
        <f t="shared" si="85"/>
        <v>45</v>
      </c>
      <c r="BS48" s="1">
        <f t="shared" si="115"/>
        <v>50</v>
      </c>
      <c r="BT48" s="6"/>
      <c r="BU48" s="6"/>
      <c r="BV48" s="2">
        <f t="shared" si="94"/>
        <v>4500</v>
      </c>
      <c r="BW48" s="8">
        <f t="shared" si="86"/>
        <v>0.05</v>
      </c>
      <c r="BX48" s="2">
        <f t="shared" si="95"/>
        <v>4612.5</v>
      </c>
      <c r="BY48" s="2">
        <f t="shared" si="87"/>
        <v>90</v>
      </c>
      <c r="BZ48" s="2">
        <f t="shared" si="120"/>
        <v>5000</v>
      </c>
      <c r="CA48" s="8">
        <f t="shared" si="116"/>
        <v>4.2999999999999997E-2</v>
      </c>
      <c r="CB48" s="2">
        <f t="shared" si="117"/>
        <v>5107.5</v>
      </c>
      <c r="CC48" s="2">
        <f t="shared" si="118"/>
        <v>100</v>
      </c>
      <c r="CD48" s="2">
        <f t="shared" si="18"/>
        <v>0</v>
      </c>
      <c r="CE48" s="2">
        <f t="shared" si="96"/>
        <v>0</v>
      </c>
      <c r="CF48" s="2">
        <f t="shared" si="97"/>
        <v>49.999999999985448</v>
      </c>
      <c r="CG48" s="1">
        <f t="shared" si="78"/>
        <v>0</v>
      </c>
      <c r="CH48" s="2">
        <f t="shared" si="20"/>
        <v>49.999999999985448</v>
      </c>
      <c r="CI48" s="1">
        <f t="shared" si="89"/>
        <v>0</v>
      </c>
      <c r="CJ48" s="2">
        <f t="shared" si="98"/>
        <v>49.999999999985448</v>
      </c>
      <c r="CK48" s="2">
        <f t="shared" si="99"/>
        <v>111920</v>
      </c>
      <c r="CL48" s="2">
        <f t="shared" si="23"/>
        <v>0</v>
      </c>
      <c r="CM48" s="2">
        <f t="shared" si="47"/>
        <v>175.27999999999997</v>
      </c>
      <c r="CN48" s="2">
        <f t="shared" si="24"/>
        <v>111744.72</v>
      </c>
      <c r="CO48" s="2">
        <f t="shared" si="48"/>
        <v>2190</v>
      </c>
      <c r="CP48" s="2">
        <f t="shared" si="25"/>
        <v>1848.7</v>
      </c>
      <c r="CQ48" s="2">
        <f t="shared" si="26"/>
        <v>107706.02</v>
      </c>
      <c r="CS48" s="5">
        <f t="shared" si="49"/>
        <v>1000</v>
      </c>
      <c r="CT48" s="2">
        <f t="shared" si="50"/>
        <v>100000</v>
      </c>
      <c r="CU48" s="2">
        <f t="shared" si="51"/>
        <v>100000</v>
      </c>
      <c r="CV48" s="2">
        <f t="shared" si="52"/>
        <v>110668.8</v>
      </c>
      <c r="CW48" s="8">
        <f t="shared" si="27"/>
        <v>4.8000000000000001E-2</v>
      </c>
      <c r="CX48" s="2">
        <f t="shared" si="28"/>
        <v>113324.8512</v>
      </c>
      <c r="CY48" s="2" t="str">
        <f t="shared" si="29"/>
        <v>nie</v>
      </c>
      <c r="CZ48" s="2">
        <f t="shared" si="53"/>
        <v>0</v>
      </c>
      <c r="DA48" s="2">
        <f t="shared" si="54"/>
        <v>0</v>
      </c>
      <c r="DB48" s="2">
        <f t="shared" si="55"/>
        <v>113324.8512</v>
      </c>
      <c r="DC48" s="2">
        <f t="shared" si="30"/>
        <v>0</v>
      </c>
      <c r="DD48" s="2">
        <f t="shared" si="56"/>
        <v>177.07008000000002</v>
      </c>
      <c r="DE48" s="2">
        <f t="shared" si="57"/>
        <v>113147.78112</v>
      </c>
      <c r="DF48" s="2">
        <f t="shared" si="32"/>
        <v>3000</v>
      </c>
      <c r="DG48" s="2">
        <f t="shared" si="33"/>
        <v>1961.7217280000009</v>
      </c>
      <c r="DH48" s="2">
        <f t="shared" si="58"/>
        <v>108186.059392</v>
      </c>
    </row>
    <row r="49" spans="2:112">
      <c r="B49" s="227">
        <f>ROUNDUP(C50/12,0)</f>
        <v>2</v>
      </c>
      <c r="C49" s="3">
        <f t="shared" si="102"/>
        <v>12</v>
      </c>
      <c r="D49" s="10">
        <f t="shared" si="105"/>
        <v>104650</v>
      </c>
      <c r="E49" s="10">
        <f t="shared" si="106"/>
        <v>102956.5</v>
      </c>
      <c r="F49" s="10">
        <f t="shared" si="107"/>
        <v>105000</v>
      </c>
      <c r="G49" s="10">
        <f t="shared" si="108"/>
        <v>102430</v>
      </c>
      <c r="H49" s="10">
        <f t="shared" si="109"/>
        <v>105600</v>
      </c>
      <c r="I49" s="10">
        <f t="shared" si="110"/>
        <v>102106</v>
      </c>
      <c r="J49" s="10">
        <f t="shared" si="103"/>
        <v>103497.33896192577</v>
      </c>
      <c r="K49" s="10">
        <f t="shared" si="104"/>
        <v>102800</v>
      </c>
      <c r="W49" s="1">
        <f t="shared" si="34"/>
        <v>31</v>
      </c>
      <c r="X49" s="2">
        <f t="shared" si="0"/>
        <v>107404.48053333332</v>
      </c>
      <c r="Y49" s="8">
        <f t="shared" si="76"/>
        <v>4.1300000000000003E-2</v>
      </c>
      <c r="Z49" s="5">
        <f t="shared" si="35"/>
        <v>1000</v>
      </c>
      <c r="AA49" s="2">
        <f t="shared" si="36"/>
        <v>100000</v>
      </c>
      <c r="AB49" s="2">
        <f t="shared" si="37"/>
        <v>100000</v>
      </c>
      <c r="AC49" s="2">
        <f t="shared" si="38"/>
        <v>109516.22499999999</v>
      </c>
      <c r="AD49" s="8">
        <f t="shared" si="1"/>
        <v>4.65E-2</v>
      </c>
      <c r="AE49" s="2">
        <f t="shared" si="2"/>
        <v>112486.85260312499</v>
      </c>
      <c r="AF49" s="2" t="str">
        <f t="shared" si="3"/>
        <v>nie</v>
      </c>
      <c r="AG49" s="2">
        <f t="shared" si="4"/>
        <v>1000</v>
      </c>
      <c r="AH49" s="1">
        <f t="shared" si="79"/>
        <v>0</v>
      </c>
      <c r="AI49" s="1">
        <f t="shared" si="111"/>
        <v>0</v>
      </c>
      <c r="AJ49" s="6"/>
      <c r="AK49" s="6"/>
      <c r="AL49" s="2">
        <f t="shared" si="90"/>
        <v>0</v>
      </c>
      <c r="AM49" s="8">
        <f t="shared" si="80"/>
        <v>4.65E-2</v>
      </c>
      <c r="AN49" s="2">
        <f t="shared" si="91"/>
        <v>0</v>
      </c>
      <c r="AO49" s="2">
        <f t="shared" si="81"/>
        <v>0</v>
      </c>
      <c r="AP49" s="2">
        <f t="shared" si="119"/>
        <v>0</v>
      </c>
      <c r="AQ49" s="8">
        <f t="shared" si="112"/>
        <v>4.1300000000000003E-2</v>
      </c>
      <c r="AR49" s="2">
        <f t="shared" si="113"/>
        <v>0</v>
      </c>
      <c r="AS49" s="2">
        <f t="shared" si="114"/>
        <v>0</v>
      </c>
      <c r="AT49" s="2">
        <f t="shared" si="39"/>
        <v>0</v>
      </c>
      <c r="AU49" s="2">
        <f t="shared" si="92"/>
        <v>0</v>
      </c>
      <c r="AV49" s="2">
        <f t="shared" si="82"/>
        <v>0</v>
      </c>
      <c r="AW49" s="1">
        <f t="shared" si="77"/>
        <v>0</v>
      </c>
      <c r="AX49" s="2">
        <f t="shared" si="6"/>
        <v>0</v>
      </c>
      <c r="AY49" s="1">
        <f t="shared" si="83"/>
        <v>0</v>
      </c>
      <c r="AZ49" s="2">
        <f t="shared" si="40"/>
        <v>0</v>
      </c>
      <c r="BA49" s="2">
        <f t="shared" si="93"/>
        <v>112486.85260312499</v>
      </c>
      <c r="BB49" s="2">
        <f t="shared" si="9"/>
        <v>0</v>
      </c>
      <c r="BC49" s="2">
        <f t="shared" si="41"/>
        <v>175.22595999999999</v>
      </c>
      <c r="BD49" s="2">
        <f t="shared" si="10"/>
        <v>112311.626643125</v>
      </c>
      <c r="BE49" s="2">
        <f t="shared" si="42"/>
        <v>1000</v>
      </c>
      <c r="BF49" s="2">
        <f t="shared" si="11"/>
        <v>2182.5019945937488</v>
      </c>
      <c r="BG49" s="2">
        <f t="shared" si="12"/>
        <v>109129.12464853124</v>
      </c>
      <c r="BI49" s="8">
        <f t="shared" si="84"/>
        <v>2.8000000000000001E-2</v>
      </c>
      <c r="BJ49" s="5">
        <f t="shared" si="43"/>
        <v>1000</v>
      </c>
      <c r="BK49" s="2">
        <f t="shared" si="44"/>
        <v>100000</v>
      </c>
      <c r="BL49" s="2">
        <f t="shared" si="45"/>
        <v>100000</v>
      </c>
      <c r="BM49" s="2">
        <f t="shared" si="13"/>
        <v>100000</v>
      </c>
      <c r="BN49" s="8">
        <f t="shared" si="14"/>
        <v>4.2999999999999997E-2</v>
      </c>
      <c r="BO49" s="2">
        <f t="shared" si="15"/>
        <v>102508.33333333333</v>
      </c>
      <c r="BP49" s="2" t="str">
        <f t="shared" si="16"/>
        <v>nie</v>
      </c>
      <c r="BQ49" s="2">
        <f t="shared" si="17"/>
        <v>2000</v>
      </c>
      <c r="BR49" s="1">
        <f t="shared" si="85"/>
        <v>45</v>
      </c>
      <c r="BS49" s="1">
        <f t="shared" si="115"/>
        <v>50</v>
      </c>
      <c r="BT49" s="6"/>
      <c r="BU49" s="6"/>
      <c r="BV49" s="2">
        <f t="shared" si="94"/>
        <v>4500</v>
      </c>
      <c r="BW49" s="8">
        <f t="shared" si="86"/>
        <v>0.05</v>
      </c>
      <c r="BX49" s="2">
        <f t="shared" si="95"/>
        <v>4631.2499999999991</v>
      </c>
      <c r="BY49" s="2">
        <f t="shared" si="87"/>
        <v>90</v>
      </c>
      <c r="BZ49" s="2">
        <f t="shared" si="120"/>
        <v>5000</v>
      </c>
      <c r="CA49" s="8">
        <f t="shared" si="116"/>
        <v>4.2999999999999997E-2</v>
      </c>
      <c r="CB49" s="2">
        <f t="shared" si="117"/>
        <v>5125.416666666667</v>
      </c>
      <c r="CC49" s="2">
        <f t="shared" si="118"/>
        <v>100</v>
      </c>
      <c r="CD49" s="2">
        <f t="shared" si="18"/>
        <v>0</v>
      </c>
      <c r="CE49" s="2">
        <f t="shared" si="96"/>
        <v>0</v>
      </c>
      <c r="CF49" s="2">
        <f t="shared" si="97"/>
        <v>49.999999999985448</v>
      </c>
      <c r="CG49" s="1">
        <f t="shared" si="78"/>
        <v>0</v>
      </c>
      <c r="CH49" s="2">
        <f t="shared" si="20"/>
        <v>49.999999999985448</v>
      </c>
      <c r="CI49" s="1">
        <f t="shared" si="89"/>
        <v>0</v>
      </c>
      <c r="CJ49" s="2">
        <f t="shared" si="98"/>
        <v>49.999999999985448</v>
      </c>
      <c r="CK49" s="2">
        <f t="shared" si="99"/>
        <v>112314.99999999999</v>
      </c>
      <c r="CL49" s="2">
        <f t="shared" si="23"/>
        <v>0</v>
      </c>
      <c r="CM49" s="2">
        <f t="shared" si="47"/>
        <v>175.27999999999997</v>
      </c>
      <c r="CN49" s="2">
        <f t="shared" si="24"/>
        <v>112139.71999999999</v>
      </c>
      <c r="CO49" s="2">
        <f t="shared" si="48"/>
        <v>2190</v>
      </c>
      <c r="CP49" s="2">
        <f t="shared" si="25"/>
        <v>1923.7499999999973</v>
      </c>
      <c r="CQ49" s="2">
        <f t="shared" si="26"/>
        <v>108025.96999999999</v>
      </c>
      <c r="CS49" s="5">
        <f t="shared" si="49"/>
        <v>1000</v>
      </c>
      <c r="CT49" s="2">
        <f t="shared" si="50"/>
        <v>100000</v>
      </c>
      <c r="CU49" s="2">
        <f t="shared" si="51"/>
        <v>100000</v>
      </c>
      <c r="CV49" s="2">
        <f t="shared" si="52"/>
        <v>110668.8</v>
      </c>
      <c r="CW49" s="8">
        <f t="shared" si="27"/>
        <v>4.8000000000000001E-2</v>
      </c>
      <c r="CX49" s="2">
        <f t="shared" si="28"/>
        <v>113767.5264</v>
      </c>
      <c r="CY49" s="2" t="str">
        <f t="shared" si="29"/>
        <v>nie</v>
      </c>
      <c r="CZ49" s="2">
        <f t="shared" si="53"/>
        <v>0</v>
      </c>
      <c r="DA49" s="2">
        <f t="shared" si="54"/>
        <v>0</v>
      </c>
      <c r="DB49" s="2">
        <f t="shared" si="55"/>
        <v>113767.5264</v>
      </c>
      <c r="DC49" s="2">
        <f t="shared" si="30"/>
        <v>0</v>
      </c>
      <c r="DD49" s="2">
        <f t="shared" si="56"/>
        <v>177.07008000000002</v>
      </c>
      <c r="DE49" s="2">
        <f t="shared" si="57"/>
        <v>113590.45632</v>
      </c>
      <c r="DF49" s="2">
        <f t="shared" si="32"/>
        <v>3000</v>
      </c>
      <c r="DG49" s="2">
        <f t="shared" si="33"/>
        <v>2045.8300160000006</v>
      </c>
      <c r="DH49" s="2">
        <f t="shared" si="58"/>
        <v>108544.62630399999</v>
      </c>
    </row>
    <row r="50" spans="2:112">
      <c r="B50" s="228"/>
      <c r="C50" s="1">
        <f t="shared" si="102"/>
        <v>13</v>
      </c>
      <c r="D50" s="2">
        <f t="shared" si="105"/>
        <v>105055.51875</v>
      </c>
      <c r="E50" s="2">
        <f t="shared" si="106"/>
        <v>103284.9701875</v>
      </c>
      <c r="F50" s="2">
        <f t="shared" si="107"/>
        <v>105379.16666666666</v>
      </c>
      <c r="G50" s="2">
        <f t="shared" si="108"/>
        <v>102720.25</v>
      </c>
      <c r="H50" s="2">
        <f t="shared" si="109"/>
        <v>106022.39999999999</v>
      </c>
      <c r="I50" s="2">
        <f t="shared" si="110"/>
        <v>102448.144</v>
      </c>
      <c r="J50" s="2">
        <f t="shared" si="103"/>
        <v>103794.24695307278</v>
      </c>
      <c r="K50" s="2">
        <f t="shared" si="104"/>
        <v>103039.86666666667</v>
      </c>
      <c r="W50" s="1">
        <f t="shared" si="34"/>
        <v>32</v>
      </c>
      <c r="X50" s="2">
        <f t="shared" si="0"/>
        <v>107651.06346666666</v>
      </c>
      <c r="Y50" s="8">
        <f t="shared" si="76"/>
        <v>4.1300000000000003E-2</v>
      </c>
      <c r="Z50" s="5">
        <f t="shared" si="35"/>
        <v>1000</v>
      </c>
      <c r="AA50" s="2">
        <f t="shared" si="36"/>
        <v>100000</v>
      </c>
      <c r="AB50" s="2">
        <f t="shared" si="37"/>
        <v>100000</v>
      </c>
      <c r="AC50" s="2">
        <f t="shared" si="38"/>
        <v>109516.22499999999</v>
      </c>
      <c r="AD50" s="8">
        <f t="shared" si="1"/>
        <v>4.65E-2</v>
      </c>
      <c r="AE50" s="2">
        <f t="shared" si="2"/>
        <v>112911.22797499999</v>
      </c>
      <c r="AF50" s="2" t="str">
        <f t="shared" si="3"/>
        <v>nie</v>
      </c>
      <c r="AG50" s="2">
        <f t="shared" si="4"/>
        <v>1000</v>
      </c>
      <c r="AH50" s="1">
        <f t="shared" si="79"/>
        <v>0</v>
      </c>
      <c r="AI50" s="1">
        <f t="shared" si="111"/>
        <v>0</v>
      </c>
      <c r="AJ50" s="6"/>
      <c r="AK50" s="6"/>
      <c r="AL50" s="2">
        <f t="shared" si="90"/>
        <v>0</v>
      </c>
      <c r="AM50" s="8">
        <f t="shared" si="80"/>
        <v>4.65E-2</v>
      </c>
      <c r="AN50" s="2">
        <f t="shared" si="91"/>
        <v>0</v>
      </c>
      <c r="AO50" s="2">
        <f t="shared" si="81"/>
        <v>0</v>
      </c>
      <c r="AP50" s="2">
        <f t="shared" si="119"/>
        <v>0</v>
      </c>
      <c r="AQ50" s="8">
        <f t="shared" si="112"/>
        <v>4.1300000000000003E-2</v>
      </c>
      <c r="AR50" s="2">
        <f t="shared" si="113"/>
        <v>0</v>
      </c>
      <c r="AS50" s="2">
        <f t="shared" si="114"/>
        <v>0</v>
      </c>
      <c r="AT50" s="2">
        <f t="shared" si="39"/>
        <v>0</v>
      </c>
      <c r="AU50" s="2">
        <f t="shared" si="92"/>
        <v>0</v>
      </c>
      <c r="AV50" s="2">
        <f t="shared" si="82"/>
        <v>0</v>
      </c>
      <c r="AW50" s="1">
        <f t="shared" si="77"/>
        <v>0</v>
      </c>
      <c r="AX50" s="2">
        <f t="shared" si="6"/>
        <v>0</v>
      </c>
      <c r="AY50" s="1">
        <f t="shared" si="83"/>
        <v>0</v>
      </c>
      <c r="AZ50" s="2">
        <f t="shared" si="40"/>
        <v>0</v>
      </c>
      <c r="BA50" s="2">
        <f t="shared" si="93"/>
        <v>112911.22797499999</v>
      </c>
      <c r="BB50" s="2">
        <f t="shared" si="9"/>
        <v>0</v>
      </c>
      <c r="BC50" s="2">
        <f t="shared" si="41"/>
        <v>175.22595999999999</v>
      </c>
      <c r="BD50" s="2">
        <f t="shared" si="10"/>
        <v>112736.00201499999</v>
      </c>
      <c r="BE50" s="2">
        <f t="shared" si="42"/>
        <v>1000</v>
      </c>
      <c r="BF50" s="2">
        <f t="shared" si="11"/>
        <v>2263.1333152499974</v>
      </c>
      <c r="BG50" s="2">
        <f t="shared" si="12"/>
        <v>109472.86869974999</v>
      </c>
      <c r="BI50" s="8">
        <f t="shared" si="84"/>
        <v>2.8000000000000001E-2</v>
      </c>
      <c r="BJ50" s="5">
        <f t="shared" si="43"/>
        <v>1000</v>
      </c>
      <c r="BK50" s="2">
        <f t="shared" si="44"/>
        <v>100000</v>
      </c>
      <c r="BL50" s="2">
        <f t="shared" si="45"/>
        <v>100000</v>
      </c>
      <c r="BM50" s="2">
        <f t="shared" si="13"/>
        <v>100000</v>
      </c>
      <c r="BN50" s="8">
        <f t="shared" si="14"/>
        <v>4.2999999999999997E-2</v>
      </c>
      <c r="BO50" s="2">
        <f t="shared" si="15"/>
        <v>102866.66666666666</v>
      </c>
      <c r="BP50" s="2" t="str">
        <f t="shared" si="16"/>
        <v>nie</v>
      </c>
      <c r="BQ50" s="2">
        <f t="shared" si="17"/>
        <v>2000</v>
      </c>
      <c r="BR50" s="1">
        <f t="shared" si="85"/>
        <v>45</v>
      </c>
      <c r="BS50" s="1">
        <f t="shared" si="115"/>
        <v>50</v>
      </c>
      <c r="BT50" s="6"/>
      <c r="BU50" s="6"/>
      <c r="BV50" s="2">
        <f t="shared" si="94"/>
        <v>4500</v>
      </c>
      <c r="BW50" s="8">
        <f t="shared" si="86"/>
        <v>0.05</v>
      </c>
      <c r="BX50" s="2">
        <f t="shared" si="95"/>
        <v>4650.0000000000009</v>
      </c>
      <c r="BY50" s="2">
        <f t="shared" si="87"/>
        <v>90</v>
      </c>
      <c r="BZ50" s="2">
        <f t="shared" si="120"/>
        <v>5000</v>
      </c>
      <c r="CA50" s="8">
        <f t="shared" si="116"/>
        <v>4.2999999999999997E-2</v>
      </c>
      <c r="CB50" s="2">
        <f t="shared" si="117"/>
        <v>5143.333333333333</v>
      </c>
      <c r="CC50" s="2">
        <f t="shared" si="118"/>
        <v>100</v>
      </c>
      <c r="CD50" s="2">
        <f t="shared" si="18"/>
        <v>0</v>
      </c>
      <c r="CE50" s="2">
        <f t="shared" si="96"/>
        <v>0</v>
      </c>
      <c r="CF50" s="2">
        <f t="shared" si="97"/>
        <v>49.999999999985448</v>
      </c>
      <c r="CG50" s="1">
        <f t="shared" si="78"/>
        <v>0</v>
      </c>
      <c r="CH50" s="2">
        <f t="shared" si="20"/>
        <v>49.999999999985448</v>
      </c>
      <c r="CI50" s="1">
        <f t="shared" si="89"/>
        <v>0</v>
      </c>
      <c r="CJ50" s="2">
        <f t="shared" si="98"/>
        <v>49.999999999985448</v>
      </c>
      <c r="CK50" s="2">
        <f t="shared" si="99"/>
        <v>112709.99999999997</v>
      </c>
      <c r="CL50" s="2">
        <f t="shared" si="23"/>
        <v>0</v>
      </c>
      <c r="CM50" s="2">
        <f t="shared" si="47"/>
        <v>175.27999999999997</v>
      </c>
      <c r="CN50" s="2">
        <f t="shared" si="24"/>
        <v>112534.71999999997</v>
      </c>
      <c r="CO50" s="2">
        <f t="shared" si="48"/>
        <v>2190</v>
      </c>
      <c r="CP50" s="2">
        <f t="shared" si="25"/>
        <v>1998.7999999999945</v>
      </c>
      <c r="CQ50" s="2">
        <f t="shared" si="26"/>
        <v>108345.91999999998</v>
      </c>
      <c r="CS50" s="5">
        <f t="shared" si="49"/>
        <v>1000</v>
      </c>
      <c r="CT50" s="2">
        <f t="shared" si="50"/>
        <v>100000</v>
      </c>
      <c r="CU50" s="2">
        <f t="shared" si="51"/>
        <v>100000</v>
      </c>
      <c r="CV50" s="2">
        <f t="shared" si="52"/>
        <v>110668.8</v>
      </c>
      <c r="CW50" s="8">
        <f t="shared" si="27"/>
        <v>4.8000000000000001E-2</v>
      </c>
      <c r="CX50" s="2">
        <f t="shared" si="28"/>
        <v>114210.2016</v>
      </c>
      <c r="CY50" s="2" t="str">
        <f t="shared" si="29"/>
        <v>nie</v>
      </c>
      <c r="CZ50" s="2">
        <f t="shared" si="53"/>
        <v>0</v>
      </c>
      <c r="DA50" s="2">
        <f t="shared" si="54"/>
        <v>0</v>
      </c>
      <c r="DB50" s="2">
        <f t="shared" si="55"/>
        <v>114210.2016</v>
      </c>
      <c r="DC50" s="2">
        <f t="shared" si="30"/>
        <v>0</v>
      </c>
      <c r="DD50" s="2">
        <f t="shared" si="56"/>
        <v>177.07008000000002</v>
      </c>
      <c r="DE50" s="2">
        <f t="shared" si="57"/>
        <v>114033.13152</v>
      </c>
      <c r="DF50" s="2">
        <f t="shared" si="32"/>
        <v>3000</v>
      </c>
      <c r="DG50" s="2">
        <f t="shared" si="33"/>
        <v>2129.9383040000002</v>
      </c>
      <c r="DH50" s="2">
        <f t="shared" si="58"/>
        <v>108903.193216</v>
      </c>
    </row>
    <row r="51" spans="2:112">
      <c r="B51" s="228"/>
      <c r="C51" s="1">
        <f t="shared" si="102"/>
        <v>14</v>
      </c>
      <c r="D51" s="2">
        <f t="shared" si="105"/>
        <v>105461.03749999999</v>
      </c>
      <c r="E51" s="2">
        <f t="shared" si="106"/>
        <v>103613.44037499999</v>
      </c>
      <c r="F51" s="2">
        <f t="shared" si="107"/>
        <v>105758.33333333334</v>
      </c>
      <c r="G51" s="2">
        <f t="shared" si="108"/>
        <v>103010.5</v>
      </c>
      <c r="H51" s="2">
        <f t="shared" si="109"/>
        <v>106444.8</v>
      </c>
      <c r="I51" s="2">
        <f t="shared" si="110"/>
        <v>102790.288</v>
      </c>
      <c r="J51" s="2">
        <f t="shared" si="103"/>
        <v>104092.0066990194</v>
      </c>
      <c r="K51" s="2">
        <f t="shared" si="104"/>
        <v>103279.73333333332</v>
      </c>
      <c r="W51" s="1">
        <f t="shared" si="34"/>
        <v>33</v>
      </c>
      <c r="X51" s="2">
        <f t="shared" ref="X51:X82" si="121">zakup_domyslny_wartosc*IFERROR((INDEX(scenariusz_I_inflacja_skumulowana,MATCH(ROUNDDOWN(W51/12,0),scenariusz_I_rok,0))+1),1)
*(1+MOD(W51,12)*INDEX(scenariusz_I_inflacja,MATCH(ROUNDUP(W51/12,0),scenariusz_I_rok,0))/12)</f>
        <v>107897.64639999998</v>
      </c>
      <c r="Y51" s="8">
        <f t="shared" si="76"/>
        <v>4.1300000000000003E-2</v>
      </c>
      <c r="Z51" s="5">
        <f t="shared" si="35"/>
        <v>1000</v>
      </c>
      <c r="AA51" s="2">
        <f t="shared" si="36"/>
        <v>100000</v>
      </c>
      <c r="AB51" s="2">
        <f t="shared" si="37"/>
        <v>100000</v>
      </c>
      <c r="AC51" s="2">
        <f t="shared" si="38"/>
        <v>109516.22499999999</v>
      </c>
      <c r="AD51" s="8">
        <f t="shared" ref="AD51:AD82" si="122">IF(AND(MOD($W51,zapadalnosc_TOS)&lt;=zmiana_oprocentowania_co_ile_mc_TOS,MOD($W51,zapadalnosc_TOS)&lt;&gt;0),proc_I_okres_TOS,(marza_TOS+$Y51))</f>
        <v>4.65E-2</v>
      </c>
      <c r="AE51" s="2">
        <f t="shared" si="2"/>
        <v>113335.603346875</v>
      </c>
      <c r="AF51" s="2" t="str">
        <f t="shared" ref="AF51:AF82" si="123">IF(MOD($W51,zapadalnosc_TOS)=0,"tak","nie")</f>
        <v>nie</v>
      </c>
      <c r="AG51" s="2">
        <f t="shared" ref="AG51:AG82" si="124">IF(MOD($W51,zapadalnosc_TOS)=0,0,
IF(AND(MOD($W51,zapadalnosc_TOS)&lt;zapadalnosc_TOS,MOD($W51,zapadalnosc_TOS)&lt;=koszt_wczesniejszy_wykup_ochrona_TOS),
MIN(AE51-AB51,Z51*koszt_wczesniejszy_wykup_TOS),Z51*koszt_wczesniejszy_wykup_TOS))</f>
        <v>1000</v>
      </c>
      <c r="AH51" s="1">
        <f t="shared" si="79"/>
        <v>0</v>
      </c>
      <c r="AI51" s="1">
        <f t="shared" si="111"/>
        <v>0</v>
      </c>
      <c r="AJ51" s="6"/>
      <c r="AK51" s="6"/>
      <c r="AL51" s="2">
        <f t="shared" si="90"/>
        <v>0</v>
      </c>
      <c r="AM51" s="8">
        <f t="shared" si="80"/>
        <v>4.65E-2</v>
      </c>
      <c r="AN51" s="2">
        <f t="shared" si="91"/>
        <v>0</v>
      </c>
      <c r="AO51" s="2">
        <f t="shared" si="81"/>
        <v>0</v>
      </c>
      <c r="AP51" s="2">
        <f t="shared" si="119"/>
        <v>0</v>
      </c>
      <c r="AQ51" s="8">
        <f t="shared" si="112"/>
        <v>4.1300000000000003E-2</v>
      </c>
      <c r="AR51" s="2">
        <f t="shared" si="113"/>
        <v>0</v>
      </c>
      <c r="AS51" s="2">
        <f t="shared" si="114"/>
        <v>0</v>
      </c>
      <c r="AT51" s="2">
        <f t="shared" si="39"/>
        <v>0</v>
      </c>
      <c r="AU51" s="2">
        <f t="shared" si="92"/>
        <v>0</v>
      </c>
      <c r="AV51" s="2">
        <f t="shared" si="82"/>
        <v>0</v>
      </c>
      <c r="AW51" s="1">
        <f t="shared" si="77"/>
        <v>0</v>
      </c>
      <c r="AX51" s="2">
        <f t="shared" ref="AX51:AX82" si="125">AV51-AW51*zamiana_TOS</f>
        <v>0</v>
      </c>
      <c r="AY51" s="1">
        <f t="shared" si="83"/>
        <v>0</v>
      </c>
      <c r="AZ51" s="2">
        <f t="shared" si="40"/>
        <v>0</v>
      </c>
      <c r="BA51" s="2">
        <f t="shared" si="93"/>
        <v>113335.603346875</v>
      </c>
      <c r="BB51" s="2">
        <f t="shared" ref="BB51:BB82" si="126">MIN(IF(MOD($W51,12)=0,INDEX(IKE_oplata_wskaznik,MATCH(ROUNDUP($W51/12,0),IKE_oplata_rok,0)),0)*BA51,200)</f>
        <v>0</v>
      </c>
      <c r="BC51" s="2">
        <f t="shared" si="41"/>
        <v>175.22595999999999</v>
      </c>
      <c r="BD51" s="2">
        <f t="shared" si="10"/>
        <v>113160.377386875</v>
      </c>
      <c r="BE51" s="2">
        <f t="shared" si="42"/>
        <v>1000</v>
      </c>
      <c r="BF51" s="2">
        <f t="shared" si="11"/>
        <v>2343.7646359062492</v>
      </c>
      <c r="BG51" s="2">
        <f t="shared" si="12"/>
        <v>109816.61275096875</v>
      </c>
      <c r="BI51" s="8">
        <f t="shared" si="84"/>
        <v>2.8000000000000001E-2</v>
      </c>
      <c r="BJ51" s="5">
        <f t="shared" si="43"/>
        <v>1000</v>
      </c>
      <c r="BK51" s="2">
        <f t="shared" si="44"/>
        <v>100000</v>
      </c>
      <c r="BL51" s="2">
        <f t="shared" si="45"/>
        <v>100000</v>
      </c>
      <c r="BM51" s="2">
        <f t="shared" ref="BM51:BM82" si="127">BL51</f>
        <v>100000</v>
      </c>
      <c r="BN51" s="8">
        <f t="shared" ref="BN51:BN82" si="128">IF(AND(MOD($W51,zapadalnosc_COI)&lt;=zmiana_oprocentowania_co_ile_mc_COI,MOD($W51,zapadalnosc_COI)&lt;&gt;0),proc_I_okres_COI,(marza_COI+$BI51))</f>
        <v>4.2999999999999997E-2</v>
      </c>
      <c r="BO51" s="2">
        <f t="shared" ref="BO51:BO82" si="129">BM51*(1+BN51*IF(MOD($W51,12)&lt;&gt;0,MOD($W51,12),12)/12)</f>
        <v>103224.99999999999</v>
      </c>
      <c r="BP51" s="2" t="str">
        <f t="shared" ref="BP51:BP82" si="130">IF(MOD($W51,zapadalnosc_COI)=0,"tak","nie")</f>
        <v>nie</v>
      </c>
      <c r="BQ51" s="2">
        <f t="shared" ref="BQ51:BQ82" si="131">IF(MOD($W51,zapadalnosc_COI)=0,0,
IF(AND(MOD($W51,zapadalnosc_COI)&lt;zapadalnosc_COI,MOD($W51,zapadalnosc_COI)&lt;=koszt_wczesniejszy_wykup_ochrona_COI),
MIN(BO51-BL51,BJ51*koszt_wczesniejszy_wykup_COI),BJ51*koszt_wczesniejszy_wykup_COI))</f>
        <v>2000</v>
      </c>
      <c r="BR51" s="1">
        <f t="shared" si="85"/>
        <v>45</v>
      </c>
      <c r="BS51" s="1">
        <f t="shared" si="115"/>
        <v>50</v>
      </c>
      <c r="BT51" s="6"/>
      <c r="BU51" s="6"/>
      <c r="BV51" s="2">
        <f t="shared" si="94"/>
        <v>4500</v>
      </c>
      <c r="BW51" s="8">
        <f t="shared" si="86"/>
        <v>0.05</v>
      </c>
      <c r="BX51" s="2">
        <f t="shared" si="95"/>
        <v>4668.75</v>
      </c>
      <c r="BY51" s="2">
        <f t="shared" si="87"/>
        <v>90</v>
      </c>
      <c r="BZ51" s="2">
        <f t="shared" si="120"/>
        <v>5000</v>
      </c>
      <c r="CA51" s="8">
        <f t="shared" si="116"/>
        <v>4.2999999999999997E-2</v>
      </c>
      <c r="CB51" s="2">
        <f t="shared" si="117"/>
        <v>5161.2499999999991</v>
      </c>
      <c r="CC51" s="2">
        <f t="shared" si="118"/>
        <v>100</v>
      </c>
      <c r="CD51" s="2">
        <f t="shared" ref="CD51:CD82" si="132">IF(MOD($W51,wyplata_odsetek_COI)=0, (BO51-BL51),0)
-IF(AND(BP51="tak",BK52&lt;&gt;""),BK52-BL51,0)</f>
        <v>0</v>
      </c>
      <c r="CE51" s="2">
        <f t="shared" si="96"/>
        <v>0</v>
      </c>
      <c r="CF51" s="2">
        <f t="shared" si="97"/>
        <v>49.999999999985448</v>
      </c>
      <c r="CG51" s="1">
        <f t="shared" si="78"/>
        <v>0</v>
      </c>
      <c r="CH51" s="2">
        <f t="shared" ref="CH51:CH82" si="133">CF51-CG51*zamiana_COI</f>
        <v>49.999999999985448</v>
      </c>
      <c r="CI51" s="1">
        <f t="shared" si="89"/>
        <v>0</v>
      </c>
      <c r="CJ51" s="2">
        <f t="shared" si="98"/>
        <v>49.999999999985448</v>
      </c>
      <c r="CK51" s="2">
        <f t="shared" si="99"/>
        <v>113104.99999999997</v>
      </c>
      <c r="CL51" s="2">
        <f t="shared" ref="CL51:CL82" si="134">MIN(IF(MOD($W51,12)=0,INDEX(IKE_oplata_wskaznik,MATCH(ROUNDUP($W51/12,0),IKE_oplata_rok,0)),0)*CK51,200)</f>
        <v>0</v>
      </c>
      <c r="CM51" s="2">
        <f t="shared" si="47"/>
        <v>175.27999999999997</v>
      </c>
      <c r="CN51" s="2">
        <f t="shared" ref="CN51:CN82" si="135">CK51-CM51</f>
        <v>112929.71999999997</v>
      </c>
      <c r="CO51" s="2">
        <f t="shared" si="48"/>
        <v>2190</v>
      </c>
      <c r="CP51" s="2">
        <f t="shared" ref="CP51:CP82" si="136">(CK51-CO51-zakup_domyslny_wartosc)*podatek_Belki</f>
        <v>2073.8499999999945</v>
      </c>
      <c r="CQ51" s="2">
        <f t="shared" ref="CQ51:CQ82" si="137">CK51-CM51-CO51-CP51</f>
        <v>108665.86999999998</v>
      </c>
      <c r="CS51" s="5">
        <f t="shared" si="49"/>
        <v>1000</v>
      </c>
      <c r="CT51" s="2">
        <f t="shared" si="50"/>
        <v>100000</v>
      </c>
      <c r="CU51" s="2">
        <f t="shared" si="51"/>
        <v>100000</v>
      </c>
      <c r="CV51" s="2">
        <f t="shared" si="52"/>
        <v>110668.8</v>
      </c>
      <c r="CW51" s="8">
        <f t="shared" ref="CW51:CW82" si="138">IF(AND(MOD($W51,zapadalnosc_EDO)&lt;=12,MOD($W51,zapadalnosc_EDO)&lt;&gt;0),proc_I_okres_EDO,(marza_EDO+$BI51))</f>
        <v>4.8000000000000001E-2</v>
      </c>
      <c r="CX51" s="2">
        <f t="shared" ref="CX51:CX82" si="139">CV51*(1+CW51*IF(MOD($W51,12)&lt;&gt;0,MOD($W51,12),12)/12)</f>
        <v>114652.87680000001</v>
      </c>
      <c r="CY51" s="2" t="str">
        <f t="shared" ref="CY51:CY82" si="140">IF(MOD($W51,zapadalnosc_EDO)=0,"tak","nie")</f>
        <v>nie</v>
      </c>
      <c r="CZ51" s="2">
        <f t="shared" si="53"/>
        <v>0</v>
      </c>
      <c r="DA51" s="2">
        <f t="shared" si="54"/>
        <v>0</v>
      </c>
      <c r="DB51" s="2">
        <f t="shared" si="55"/>
        <v>114652.87680000001</v>
      </c>
      <c r="DC51" s="2">
        <f t="shared" ref="DC51:DC82" si="141">MIN(IF(MOD(W51,12)=0,INDEX(IKE_oplata_wskaznik,MATCH(ROUNDUP(W51/12,0),IKE_oplata_rok,0)),0)*DB51,200)</f>
        <v>0</v>
      </c>
      <c r="DD51" s="2">
        <f t="shared" si="56"/>
        <v>177.07008000000002</v>
      </c>
      <c r="DE51" s="2">
        <f t="shared" si="57"/>
        <v>114475.80672000001</v>
      </c>
      <c r="DF51" s="2">
        <f t="shared" ref="DF51:DF82" si="142">IF(AND(MOD($W51,zapadalnosc_EDO)&lt;zapadalnosc_EDO,MOD($W51,zapadalnosc_EDO)&lt;&gt;0),MIN(CX51-CU51,CS51*koszt_wczesniejszy_wykup_EDO),0)</f>
        <v>3000</v>
      </c>
      <c r="DG51" s="2">
        <f t="shared" ref="DG51:DG82" si="143">(CX51-DF51-zakup_domyslny_wartosc)*podatek_Belki</f>
        <v>2214.0465920000024</v>
      </c>
      <c r="DH51" s="2">
        <f t="shared" si="58"/>
        <v>109261.76012800001</v>
      </c>
    </row>
    <row r="52" spans="2:112">
      <c r="B52" s="228"/>
      <c r="C52" s="1">
        <f t="shared" si="102"/>
        <v>15</v>
      </c>
      <c r="D52" s="2">
        <f t="shared" si="105"/>
        <v>105866.55624999999</v>
      </c>
      <c r="E52" s="2">
        <f t="shared" si="106"/>
        <v>103941.91056249999</v>
      </c>
      <c r="F52" s="2">
        <f t="shared" si="107"/>
        <v>106137.5</v>
      </c>
      <c r="G52" s="2">
        <f t="shared" si="108"/>
        <v>103300.75</v>
      </c>
      <c r="H52" s="2">
        <f t="shared" si="109"/>
        <v>106867.2</v>
      </c>
      <c r="I52" s="2">
        <f t="shared" si="110"/>
        <v>103132.432</v>
      </c>
      <c r="J52" s="2">
        <f t="shared" si="103"/>
        <v>104390.62064323721</v>
      </c>
      <c r="K52" s="2">
        <f t="shared" si="104"/>
        <v>103519.59999999999</v>
      </c>
      <c r="W52" s="1">
        <f t="shared" ref="W52:W83" si="144">W51+1</f>
        <v>34</v>
      </c>
      <c r="X52" s="2">
        <f t="shared" si="121"/>
        <v>108144.22933333334</v>
      </c>
      <c r="Y52" s="8">
        <f t="shared" si="76"/>
        <v>4.1300000000000003E-2</v>
      </c>
      <c r="Z52" s="5">
        <f t="shared" ref="Z52:Z83" si="145">IF(AF51="tak",
ROUNDDOWN(AE51/zamiana_TOS,0),
Z51)</f>
        <v>1000</v>
      </c>
      <c r="AA52" s="2">
        <f t="shared" ref="AA52:AA83" si="146">IF(AF51="tak",
Z52*zamiana_TOS,
AA51)</f>
        <v>100000</v>
      </c>
      <c r="AB52" s="2">
        <f t="shared" si="37"/>
        <v>100000</v>
      </c>
      <c r="AC52" s="2">
        <f t="shared" ref="AC52:AC83" si="147">IF(AF51="tak",
 AB52,
IF(MOD($W52,kapitalizacja_odsetek_mc_TOS)&lt;&gt;1,AC51,AE51))</f>
        <v>109516.22499999999</v>
      </c>
      <c r="AD52" s="8">
        <f t="shared" si="122"/>
        <v>4.65E-2</v>
      </c>
      <c r="AE52" s="2">
        <f t="shared" si="2"/>
        <v>113759.97871875</v>
      </c>
      <c r="AF52" s="2" t="str">
        <f t="shared" si="123"/>
        <v>nie</v>
      </c>
      <c r="AG52" s="2">
        <f t="shared" si="124"/>
        <v>1000</v>
      </c>
      <c r="AH52" s="1">
        <f t="shared" si="79"/>
        <v>0</v>
      </c>
      <c r="AI52" s="1">
        <f t="shared" si="111"/>
        <v>0</v>
      </c>
      <c r="AJ52" s="6"/>
      <c r="AK52" s="6"/>
      <c r="AL52" s="2">
        <f t="shared" si="90"/>
        <v>0</v>
      </c>
      <c r="AM52" s="8">
        <f t="shared" si="80"/>
        <v>4.65E-2</v>
      </c>
      <c r="AN52" s="2">
        <f t="shared" si="91"/>
        <v>0</v>
      </c>
      <c r="AO52" s="2">
        <f t="shared" si="81"/>
        <v>0</v>
      </c>
      <c r="AP52" s="2">
        <f t="shared" si="119"/>
        <v>0</v>
      </c>
      <c r="AQ52" s="8">
        <f t="shared" si="112"/>
        <v>4.1300000000000003E-2</v>
      </c>
      <c r="AR52" s="2">
        <f t="shared" si="113"/>
        <v>0</v>
      </c>
      <c r="AS52" s="2">
        <f t="shared" si="114"/>
        <v>0</v>
      </c>
      <c r="AT52" s="2">
        <f t="shared" si="39"/>
        <v>0</v>
      </c>
      <c r="AU52" s="2">
        <f t="shared" si="92"/>
        <v>0</v>
      </c>
      <c r="AV52" s="2">
        <f t="shared" si="82"/>
        <v>0</v>
      </c>
      <c r="AW52" s="1">
        <f t="shared" si="77"/>
        <v>0</v>
      </c>
      <c r="AX52" s="2">
        <f t="shared" si="125"/>
        <v>0</v>
      </c>
      <c r="AY52" s="1">
        <f t="shared" si="83"/>
        <v>0</v>
      </c>
      <c r="AZ52" s="2">
        <f t="shared" si="40"/>
        <v>0</v>
      </c>
      <c r="BA52" s="2">
        <f t="shared" si="93"/>
        <v>113759.97871875</v>
      </c>
      <c r="BB52" s="2">
        <f t="shared" si="126"/>
        <v>0</v>
      </c>
      <c r="BC52" s="2">
        <f t="shared" si="41"/>
        <v>175.22595999999999</v>
      </c>
      <c r="BD52" s="2">
        <f t="shared" si="10"/>
        <v>113584.75275875001</v>
      </c>
      <c r="BE52" s="2">
        <f t="shared" si="42"/>
        <v>1000</v>
      </c>
      <c r="BF52" s="2">
        <f t="shared" si="11"/>
        <v>2424.3959565625009</v>
      </c>
      <c r="BG52" s="2">
        <f t="shared" si="12"/>
        <v>110160.35680218751</v>
      </c>
      <c r="BI52" s="8">
        <f t="shared" si="84"/>
        <v>2.8000000000000001E-2</v>
      </c>
      <c r="BJ52" s="5">
        <f t="shared" ref="BJ52:BJ83" si="148">IF(BP51="tak",
ROUNDDOWN(BO51/zamiana_COI,0),
BJ51)</f>
        <v>1000</v>
      </c>
      <c r="BK52" s="2">
        <f t="shared" ref="BK52:BK83" si="149">IF(BP51="tak",
BJ52*zamiana_COI,
BK51)</f>
        <v>100000</v>
      </c>
      <c r="BL52" s="2">
        <f t="shared" ref="BL52:BL83" si="150">IF(BP51="tak",
BJ52*100,
BL51)</f>
        <v>100000</v>
      </c>
      <c r="BM52" s="2">
        <f t="shared" si="127"/>
        <v>100000</v>
      </c>
      <c r="BN52" s="8">
        <f t="shared" si="128"/>
        <v>4.2999999999999997E-2</v>
      </c>
      <c r="BO52" s="2">
        <f t="shared" si="129"/>
        <v>103583.33333333334</v>
      </c>
      <c r="BP52" s="2" t="str">
        <f t="shared" si="130"/>
        <v>nie</v>
      </c>
      <c r="BQ52" s="2">
        <f t="shared" si="131"/>
        <v>2000</v>
      </c>
      <c r="BR52" s="1">
        <f t="shared" si="85"/>
        <v>45</v>
      </c>
      <c r="BS52" s="1">
        <f t="shared" si="115"/>
        <v>50</v>
      </c>
      <c r="BT52" s="6"/>
      <c r="BU52" s="6"/>
      <c r="BV52" s="2">
        <f t="shared" si="94"/>
        <v>4500</v>
      </c>
      <c r="BW52" s="8">
        <f t="shared" si="86"/>
        <v>0.05</v>
      </c>
      <c r="BX52" s="2">
        <f t="shared" si="95"/>
        <v>4687.5</v>
      </c>
      <c r="BY52" s="2">
        <f t="shared" si="87"/>
        <v>90</v>
      </c>
      <c r="BZ52" s="2">
        <f t="shared" si="120"/>
        <v>5000</v>
      </c>
      <c r="CA52" s="8">
        <f t="shared" si="116"/>
        <v>4.2999999999999997E-2</v>
      </c>
      <c r="CB52" s="2">
        <f t="shared" si="117"/>
        <v>5179.166666666667</v>
      </c>
      <c r="CC52" s="2">
        <f t="shared" si="118"/>
        <v>100</v>
      </c>
      <c r="CD52" s="2">
        <f t="shared" si="132"/>
        <v>0</v>
      </c>
      <c r="CE52" s="2">
        <f t="shared" si="96"/>
        <v>0</v>
      </c>
      <c r="CF52" s="2">
        <f t="shared" si="97"/>
        <v>49.999999999985448</v>
      </c>
      <c r="CG52" s="1">
        <f t="shared" si="78"/>
        <v>0</v>
      </c>
      <c r="CH52" s="2">
        <f t="shared" si="133"/>
        <v>49.999999999985448</v>
      </c>
      <c r="CI52" s="1">
        <f t="shared" si="89"/>
        <v>0</v>
      </c>
      <c r="CJ52" s="2">
        <f t="shared" si="98"/>
        <v>49.999999999985448</v>
      </c>
      <c r="CK52" s="2">
        <f t="shared" si="99"/>
        <v>113500</v>
      </c>
      <c r="CL52" s="2">
        <f t="shared" si="134"/>
        <v>0</v>
      </c>
      <c r="CM52" s="2">
        <f t="shared" si="47"/>
        <v>175.27999999999997</v>
      </c>
      <c r="CN52" s="2">
        <f t="shared" si="135"/>
        <v>113324.72</v>
      </c>
      <c r="CO52" s="2">
        <f t="shared" si="48"/>
        <v>2190</v>
      </c>
      <c r="CP52" s="2">
        <f t="shared" si="136"/>
        <v>2148.9</v>
      </c>
      <c r="CQ52" s="2">
        <f t="shared" si="137"/>
        <v>108985.82</v>
      </c>
      <c r="CS52" s="5">
        <f t="shared" ref="CS52:CS83" si="151">IF(CY51="tak",
ROUNDDOWN(CX51/zamiana_EDO,0),
CS51)</f>
        <v>1000</v>
      </c>
      <c r="CT52" s="2">
        <f t="shared" ref="CT52:CT83" si="152">IF(CY51="tak",
CS52*zamiana_EDO,
CT51)</f>
        <v>100000</v>
      </c>
      <c r="CU52" s="2">
        <f t="shared" ref="CU52:CU83" si="153">IF(CY51="tak",
CS52*100,
CU51)</f>
        <v>100000</v>
      </c>
      <c r="CV52" s="2">
        <f t="shared" ref="CV52:CV83" si="154">IF(CY51="tak",
 CU52,
IF(MOD($W52,kapitalizacja_odsetek_mc_EDO)&lt;&gt;1,CV51,CX51))</f>
        <v>110668.8</v>
      </c>
      <c r="CW52" s="8">
        <f t="shared" si="138"/>
        <v>4.8000000000000001E-2</v>
      </c>
      <c r="CX52" s="2">
        <f t="shared" si="139"/>
        <v>115095.55200000001</v>
      </c>
      <c r="CY52" s="2" t="str">
        <f t="shared" si="140"/>
        <v>nie</v>
      </c>
      <c r="CZ52" s="2">
        <f t="shared" si="53"/>
        <v>0</v>
      </c>
      <c r="DA52" s="2">
        <f t="shared" si="54"/>
        <v>0</v>
      </c>
      <c r="DB52" s="2">
        <f t="shared" si="55"/>
        <v>115095.55200000001</v>
      </c>
      <c r="DC52" s="2">
        <f t="shared" si="141"/>
        <v>0</v>
      </c>
      <c r="DD52" s="2">
        <f t="shared" si="56"/>
        <v>177.07008000000002</v>
      </c>
      <c r="DE52" s="2">
        <f t="shared" si="57"/>
        <v>114918.48192000001</v>
      </c>
      <c r="DF52" s="2">
        <f t="shared" si="142"/>
        <v>3000</v>
      </c>
      <c r="DG52" s="2">
        <f t="shared" si="143"/>
        <v>2298.1548800000019</v>
      </c>
      <c r="DH52" s="2">
        <f t="shared" si="58"/>
        <v>109620.32704</v>
      </c>
    </row>
    <row r="53" spans="2:112">
      <c r="B53" s="228"/>
      <c r="C53" s="1">
        <f t="shared" si="102"/>
        <v>16</v>
      </c>
      <c r="D53" s="2">
        <f t="shared" si="105"/>
        <v>106272.07500000001</v>
      </c>
      <c r="E53" s="2">
        <f t="shared" si="106"/>
        <v>104270.38075000001</v>
      </c>
      <c r="F53" s="2">
        <f t="shared" si="107"/>
        <v>106516.66666666666</v>
      </c>
      <c r="G53" s="2">
        <f t="shared" si="108"/>
        <v>103591</v>
      </c>
      <c r="H53" s="2">
        <f t="shared" si="109"/>
        <v>107289.60000000001</v>
      </c>
      <c r="I53" s="2">
        <f t="shared" si="110"/>
        <v>103474.576</v>
      </c>
      <c r="J53" s="2">
        <f t="shared" si="103"/>
        <v>104690.0912362075</v>
      </c>
      <c r="K53" s="2">
        <f t="shared" si="104"/>
        <v>103759.46666666667</v>
      </c>
      <c r="W53" s="1">
        <f t="shared" si="144"/>
        <v>35</v>
      </c>
      <c r="X53" s="2">
        <f t="shared" si="121"/>
        <v>108390.81226666666</v>
      </c>
      <c r="Y53" s="8">
        <f t="shared" si="76"/>
        <v>4.1300000000000003E-2</v>
      </c>
      <c r="Z53" s="5">
        <f t="shared" si="145"/>
        <v>1000</v>
      </c>
      <c r="AA53" s="2">
        <f t="shared" si="146"/>
        <v>100000</v>
      </c>
      <c r="AB53" s="2">
        <f t="shared" si="37"/>
        <v>100000</v>
      </c>
      <c r="AC53" s="2">
        <f t="shared" si="147"/>
        <v>109516.22499999999</v>
      </c>
      <c r="AD53" s="8">
        <f t="shared" si="122"/>
        <v>4.65E-2</v>
      </c>
      <c r="AE53" s="2">
        <f t="shared" si="2"/>
        <v>114184.35409062498</v>
      </c>
      <c r="AF53" s="2" t="str">
        <f t="shared" si="123"/>
        <v>nie</v>
      </c>
      <c r="AG53" s="2">
        <f t="shared" si="124"/>
        <v>1000</v>
      </c>
      <c r="AH53" s="1">
        <f t="shared" si="79"/>
        <v>0</v>
      </c>
      <c r="AI53" s="1">
        <f t="shared" si="111"/>
        <v>0</v>
      </c>
      <c r="AJ53" s="6"/>
      <c r="AK53" s="6"/>
      <c r="AL53" s="2">
        <f t="shared" si="90"/>
        <v>0</v>
      </c>
      <c r="AM53" s="8">
        <f t="shared" si="80"/>
        <v>4.65E-2</v>
      </c>
      <c r="AN53" s="2">
        <f t="shared" si="91"/>
        <v>0</v>
      </c>
      <c r="AO53" s="2">
        <f t="shared" si="81"/>
        <v>0</v>
      </c>
      <c r="AP53" s="2">
        <f t="shared" si="119"/>
        <v>0</v>
      </c>
      <c r="AQ53" s="8">
        <f t="shared" si="112"/>
        <v>4.1300000000000003E-2</v>
      </c>
      <c r="AR53" s="2">
        <f t="shared" si="113"/>
        <v>0</v>
      </c>
      <c r="AS53" s="2">
        <f t="shared" si="114"/>
        <v>0</v>
      </c>
      <c r="AT53" s="2">
        <f t="shared" si="39"/>
        <v>0</v>
      </c>
      <c r="AU53" s="2">
        <f t="shared" si="92"/>
        <v>0</v>
      </c>
      <c r="AV53" s="2">
        <f t="shared" si="82"/>
        <v>0</v>
      </c>
      <c r="AW53" s="1">
        <f t="shared" si="77"/>
        <v>0</v>
      </c>
      <c r="AX53" s="2">
        <f t="shared" si="125"/>
        <v>0</v>
      </c>
      <c r="AY53" s="1">
        <f t="shared" si="83"/>
        <v>0</v>
      </c>
      <c r="AZ53" s="2">
        <f t="shared" si="40"/>
        <v>0</v>
      </c>
      <c r="BA53" s="2">
        <f t="shared" si="93"/>
        <v>114184.35409062498</v>
      </c>
      <c r="BB53" s="2">
        <f t="shared" si="126"/>
        <v>0</v>
      </c>
      <c r="BC53" s="2">
        <f t="shared" si="41"/>
        <v>175.22595999999999</v>
      </c>
      <c r="BD53" s="2">
        <f t="shared" si="10"/>
        <v>114009.12813062499</v>
      </c>
      <c r="BE53" s="2">
        <f t="shared" si="42"/>
        <v>1000</v>
      </c>
      <c r="BF53" s="2">
        <f t="shared" si="11"/>
        <v>2505.0272772187468</v>
      </c>
      <c r="BG53" s="2">
        <f t="shared" si="12"/>
        <v>110504.10085340624</v>
      </c>
      <c r="BI53" s="8">
        <f t="shared" si="84"/>
        <v>2.8000000000000001E-2</v>
      </c>
      <c r="BJ53" s="5">
        <f t="shared" si="148"/>
        <v>1000</v>
      </c>
      <c r="BK53" s="2">
        <f t="shared" si="149"/>
        <v>100000</v>
      </c>
      <c r="BL53" s="2">
        <f t="shared" si="150"/>
        <v>100000</v>
      </c>
      <c r="BM53" s="2">
        <f t="shared" si="127"/>
        <v>100000</v>
      </c>
      <c r="BN53" s="8">
        <f t="shared" si="128"/>
        <v>4.2999999999999997E-2</v>
      </c>
      <c r="BO53" s="2">
        <f t="shared" si="129"/>
        <v>103941.66666666667</v>
      </c>
      <c r="BP53" s="2" t="str">
        <f t="shared" si="130"/>
        <v>nie</v>
      </c>
      <c r="BQ53" s="2">
        <f t="shared" si="131"/>
        <v>2000</v>
      </c>
      <c r="BR53" s="1">
        <f t="shared" si="85"/>
        <v>45</v>
      </c>
      <c r="BS53" s="1">
        <f t="shared" si="115"/>
        <v>50</v>
      </c>
      <c r="BT53" s="6"/>
      <c r="BU53" s="6"/>
      <c r="BV53" s="2">
        <f t="shared" si="94"/>
        <v>4500</v>
      </c>
      <c r="BW53" s="8">
        <f t="shared" si="86"/>
        <v>0.05</v>
      </c>
      <c r="BX53" s="2">
        <f t="shared" si="95"/>
        <v>4706.25</v>
      </c>
      <c r="BY53" s="2">
        <f t="shared" si="87"/>
        <v>90</v>
      </c>
      <c r="BZ53" s="2">
        <f t="shared" si="120"/>
        <v>5000</v>
      </c>
      <c r="CA53" s="8">
        <f t="shared" si="116"/>
        <v>4.2999999999999997E-2</v>
      </c>
      <c r="CB53" s="2">
        <f t="shared" si="117"/>
        <v>5197.083333333333</v>
      </c>
      <c r="CC53" s="2">
        <f t="shared" si="118"/>
        <v>100</v>
      </c>
      <c r="CD53" s="2">
        <f t="shared" si="132"/>
        <v>0</v>
      </c>
      <c r="CE53" s="2">
        <f t="shared" si="96"/>
        <v>0</v>
      </c>
      <c r="CF53" s="2">
        <f t="shared" si="97"/>
        <v>49.999999999985448</v>
      </c>
      <c r="CG53" s="1">
        <f t="shared" si="78"/>
        <v>0</v>
      </c>
      <c r="CH53" s="2">
        <f t="shared" si="133"/>
        <v>49.999999999985448</v>
      </c>
      <c r="CI53" s="1">
        <f t="shared" si="89"/>
        <v>0</v>
      </c>
      <c r="CJ53" s="2">
        <f t="shared" si="98"/>
        <v>49.999999999985448</v>
      </c>
      <c r="CK53" s="2">
        <f t="shared" si="99"/>
        <v>113894.99999999999</v>
      </c>
      <c r="CL53" s="2">
        <f t="shared" si="134"/>
        <v>0</v>
      </c>
      <c r="CM53" s="2">
        <f t="shared" si="47"/>
        <v>175.27999999999997</v>
      </c>
      <c r="CN53" s="2">
        <f t="shared" si="135"/>
        <v>113719.71999999999</v>
      </c>
      <c r="CO53" s="2">
        <f t="shared" si="48"/>
        <v>2190</v>
      </c>
      <c r="CP53" s="2">
        <f t="shared" si="136"/>
        <v>2223.9499999999971</v>
      </c>
      <c r="CQ53" s="2">
        <f t="shared" si="137"/>
        <v>109305.76999999999</v>
      </c>
      <c r="CS53" s="5">
        <f t="shared" si="151"/>
        <v>1000</v>
      </c>
      <c r="CT53" s="2">
        <f t="shared" si="152"/>
        <v>100000</v>
      </c>
      <c r="CU53" s="2">
        <f t="shared" si="153"/>
        <v>100000</v>
      </c>
      <c r="CV53" s="2">
        <f t="shared" si="154"/>
        <v>110668.8</v>
      </c>
      <c r="CW53" s="8">
        <f t="shared" si="138"/>
        <v>4.8000000000000001E-2</v>
      </c>
      <c r="CX53" s="2">
        <f t="shared" si="139"/>
        <v>115538.22720000001</v>
      </c>
      <c r="CY53" s="2" t="str">
        <f t="shared" si="140"/>
        <v>nie</v>
      </c>
      <c r="CZ53" s="2">
        <f t="shared" si="53"/>
        <v>0</v>
      </c>
      <c r="DA53" s="2">
        <f t="shared" si="54"/>
        <v>0</v>
      </c>
      <c r="DB53" s="2">
        <f t="shared" si="55"/>
        <v>115538.22720000001</v>
      </c>
      <c r="DC53" s="2">
        <f t="shared" si="141"/>
        <v>0</v>
      </c>
      <c r="DD53" s="2">
        <f t="shared" si="56"/>
        <v>177.07008000000002</v>
      </c>
      <c r="DE53" s="2">
        <f t="shared" si="57"/>
        <v>115361.15712</v>
      </c>
      <c r="DF53" s="2">
        <f t="shared" si="142"/>
        <v>3000</v>
      </c>
      <c r="DG53" s="2">
        <f t="shared" si="143"/>
        <v>2382.2631680000018</v>
      </c>
      <c r="DH53" s="2">
        <f t="shared" si="58"/>
        <v>109978.893952</v>
      </c>
    </row>
    <row r="54" spans="2:112">
      <c r="B54" s="228"/>
      <c r="C54" s="1">
        <f t="shared" si="102"/>
        <v>17</v>
      </c>
      <c r="D54" s="2">
        <f t="shared" si="105"/>
        <v>106677.59374999999</v>
      </c>
      <c r="E54" s="2">
        <f t="shared" si="106"/>
        <v>104598.85093749998</v>
      </c>
      <c r="F54" s="2">
        <f t="shared" si="107"/>
        <v>106895.83333333333</v>
      </c>
      <c r="G54" s="2">
        <f t="shared" si="108"/>
        <v>103884.625</v>
      </c>
      <c r="H54" s="2">
        <f t="shared" si="109"/>
        <v>107712</v>
      </c>
      <c r="I54" s="2">
        <f t="shared" si="110"/>
        <v>103816.72</v>
      </c>
      <c r="J54" s="2">
        <f t="shared" si="103"/>
        <v>104990.42093544138</v>
      </c>
      <c r="K54" s="2">
        <f t="shared" si="104"/>
        <v>103999.33333333334</v>
      </c>
      <c r="W54" s="1">
        <f t="shared" si="144"/>
        <v>36</v>
      </c>
      <c r="X54" s="2">
        <f t="shared" si="121"/>
        <v>108637.3952</v>
      </c>
      <c r="Y54" s="8">
        <f t="shared" si="76"/>
        <v>4.1300000000000003E-2</v>
      </c>
      <c r="Z54" s="5">
        <f t="shared" si="145"/>
        <v>1000</v>
      </c>
      <c r="AA54" s="2">
        <f t="shared" si="146"/>
        <v>100000</v>
      </c>
      <c r="AB54" s="2">
        <f t="shared" si="37"/>
        <v>100000</v>
      </c>
      <c r="AC54" s="2">
        <f t="shared" si="147"/>
        <v>109516.22499999999</v>
      </c>
      <c r="AD54" s="8">
        <f t="shared" si="122"/>
        <v>4.1300000000000003E-2</v>
      </c>
      <c r="AE54" s="2">
        <f t="shared" si="2"/>
        <v>114039.2450925</v>
      </c>
      <c r="AF54" s="2" t="str">
        <f t="shared" si="123"/>
        <v>tak</v>
      </c>
      <c r="AG54" s="2">
        <f t="shared" si="124"/>
        <v>0</v>
      </c>
      <c r="AH54" s="1">
        <f t="shared" si="79"/>
        <v>0</v>
      </c>
      <c r="AI54" s="1">
        <f t="shared" si="111"/>
        <v>0</v>
      </c>
      <c r="AJ54" s="6"/>
      <c r="AK54" s="6"/>
      <c r="AL54" s="2">
        <f t="shared" si="90"/>
        <v>0</v>
      </c>
      <c r="AM54" s="8">
        <f t="shared" si="80"/>
        <v>4.65E-2</v>
      </c>
      <c r="AN54" s="2">
        <f t="shared" si="91"/>
        <v>0</v>
      </c>
      <c r="AO54" s="2">
        <f t="shared" si="81"/>
        <v>0</v>
      </c>
      <c r="AP54" s="2">
        <f t="shared" si="119"/>
        <v>0</v>
      </c>
      <c r="AQ54" s="8">
        <f t="shared" si="112"/>
        <v>4.1300000000000003E-2</v>
      </c>
      <c r="AR54" s="2">
        <f t="shared" si="113"/>
        <v>0</v>
      </c>
      <c r="AS54" s="2">
        <f t="shared" si="114"/>
        <v>0</v>
      </c>
      <c r="AT54" s="2">
        <f t="shared" si="39"/>
        <v>53.345092499992461</v>
      </c>
      <c r="AU54" s="2">
        <f t="shared" si="92"/>
        <v>0</v>
      </c>
      <c r="AV54" s="2">
        <f t="shared" si="82"/>
        <v>53.345092499992461</v>
      </c>
      <c r="AW54" s="1">
        <f t="shared" si="77"/>
        <v>0</v>
      </c>
      <c r="AX54" s="2">
        <f t="shared" si="125"/>
        <v>53.345092499992461</v>
      </c>
      <c r="AY54" s="1">
        <f t="shared" si="83"/>
        <v>0</v>
      </c>
      <c r="AZ54" s="2">
        <f t="shared" si="40"/>
        <v>53.345092499992461</v>
      </c>
      <c r="BA54" s="2">
        <f t="shared" si="93"/>
        <v>114039.2450925</v>
      </c>
      <c r="BB54" s="2">
        <f t="shared" si="126"/>
        <v>171.05886763875</v>
      </c>
      <c r="BC54" s="2">
        <f t="shared" si="41"/>
        <v>346.28482763875002</v>
      </c>
      <c r="BD54" s="2">
        <f t="shared" si="10"/>
        <v>113692.96026486125</v>
      </c>
      <c r="BE54" s="2">
        <f t="shared" si="42"/>
        <v>0</v>
      </c>
      <c r="BF54" s="2">
        <f t="shared" si="11"/>
        <v>2667.4565675750005</v>
      </c>
      <c r="BG54" s="2">
        <f t="shared" si="12"/>
        <v>111025.50369728624</v>
      </c>
      <c r="BI54" s="8">
        <f t="shared" si="84"/>
        <v>2.8000000000000001E-2</v>
      </c>
      <c r="BJ54" s="5">
        <f t="shared" si="148"/>
        <v>1000</v>
      </c>
      <c r="BK54" s="2">
        <f t="shared" si="149"/>
        <v>100000</v>
      </c>
      <c r="BL54" s="2">
        <f t="shared" si="150"/>
        <v>100000</v>
      </c>
      <c r="BM54" s="2">
        <f t="shared" si="127"/>
        <v>100000</v>
      </c>
      <c r="BN54" s="8">
        <f t="shared" si="128"/>
        <v>4.2999999999999997E-2</v>
      </c>
      <c r="BO54" s="2">
        <f t="shared" si="129"/>
        <v>104299.99999999999</v>
      </c>
      <c r="BP54" s="2" t="str">
        <f t="shared" si="130"/>
        <v>nie</v>
      </c>
      <c r="BQ54" s="2">
        <f t="shared" si="131"/>
        <v>2000</v>
      </c>
      <c r="BR54" s="1">
        <f t="shared" si="85"/>
        <v>45</v>
      </c>
      <c r="BS54" s="1">
        <f t="shared" si="115"/>
        <v>50</v>
      </c>
      <c r="BT54" s="6"/>
      <c r="BU54" s="6"/>
      <c r="BV54" s="2">
        <f t="shared" si="94"/>
        <v>4500</v>
      </c>
      <c r="BW54" s="8">
        <f t="shared" si="86"/>
        <v>0.05</v>
      </c>
      <c r="BX54" s="2">
        <f t="shared" si="95"/>
        <v>4725</v>
      </c>
      <c r="BY54" s="2">
        <f t="shared" si="87"/>
        <v>90</v>
      </c>
      <c r="BZ54" s="2">
        <f t="shared" si="120"/>
        <v>5000</v>
      </c>
      <c r="CA54" s="8">
        <f t="shared" si="116"/>
        <v>4.2999999999999997E-2</v>
      </c>
      <c r="CB54" s="2">
        <f t="shared" si="117"/>
        <v>5215</v>
      </c>
      <c r="CC54" s="2">
        <f t="shared" si="118"/>
        <v>100</v>
      </c>
      <c r="CD54" s="2">
        <f t="shared" si="132"/>
        <v>4299.9999999999854</v>
      </c>
      <c r="CE54" s="2">
        <f t="shared" si="96"/>
        <v>440</v>
      </c>
      <c r="CF54" s="2">
        <f t="shared" si="97"/>
        <v>4789.9999999999709</v>
      </c>
      <c r="CG54" s="1">
        <f t="shared" si="78"/>
        <v>0</v>
      </c>
      <c r="CH54" s="2">
        <f t="shared" si="133"/>
        <v>4789.9999999999709</v>
      </c>
      <c r="CI54" s="1">
        <f t="shared" si="89"/>
        <v>47</v>
      </c>
      <c r="CJ54" s="2">
        <f t="shared" si="98"/>
        <v>89.999999999970896</v>
      </c>
      <c r="CK54" s="2">
        <f t="shared" si="99"/>
        <v>114289.99999999997</v>
      </c>
      <c r="CL54" s="2">
        <f t="shared" si="134"/>
        <v>171.43499999999997</v>
      </c>
      <c r="CM54" s="2">
        <f t="shared" si="47"/>
        <v>346.71499999999992</v>
      </c>
      <c r="CN54" s="2">
        <f t="shared" si="135"/>
        <v>113943.28499999997</v>
      </c>
      <c r="CO54" s="2">
        <f t="shared" si="48"/>
        <v>2190</v>
      </c>
      <c r="CP54" s="2">
        <f t="shared" si="136"/>
        <v>2298.9999999999945</v>
      </c>
      <c r="CQ54" s="2">
        <f t="shared" si="137"/>
        <v>109454.28499999997</v>
      </c>
      <c r="CS54" s="5">
        <f t="shared" si="151"/>
        <v>1000</v>
      </c>
      <c r="CT54" s="2">
        <f t="shared" si="152"/>
        <v>100000</v>
      </c>
      <c r="CU54" s="2">
        <f t="shared" si="153"/>
        <v>100000</v>
      </c>
      <c r="CV54" s="2">
        <f t="shared" si="154"/>
        <v>110668.8</v>
      </c>
      <c r="CW54" s="8">
        <f t="shared" si="138"/>
        <v>4.8000000000000001E-2</v>
      </c>
      <c r="CX54" s="2">
        <f t="shared" si="139"/>
        <v>115980.90240000001</v>
      </c>
      <c r="CY54" s="2" t="str">
        <f t="shared" si="140"/>
        <v>nie</v>
      </c>
      <c r="CZ54" s="2">
        <f t="shared" si="53"/>
        <v>0</v>
      </c>
      <c r="DA54" s="2">
        <f t="shared" si="54"/>
        <v>0</v>
      </c>
      <c r="DB54" s="2">
        <f t="shared" si="55"/>
        <v>115980.90240000001</v>
      </c>
      <c r="DC54" s="2">
        <f t="shared" si="141"/>
        <v>173.97135360000001</v>
      </c>
      <c r="DD54" s="2">
        <f t="shared" si="56"/>
        <v>351.0414336</v>
      </c>
      <c r="DE54" s="2">
        <f t="shared" si="57"/>
        <v>115629.86096640001</v>
      </c>
      <c r="DF54" s="2">
        <f t="shared" si="142"/>
        <v>3000</v>
      </c>
      <c r="DG54" s="2">
        <f t="shared" si="143"/>
        <v>2466.3714560000012</v>
      </c>
      <c r="DH54" s="2">
        <f t="shared" si="58"/>
        <v>110163.4895104</v>
      </c>
    </row>
    <row r="55" spans="2:112">
      <c r="B55" s="228"/>
      <c r="C55" s="1">
        <f t="shared" si="102"/>
        <v>18</v>
      </c>
      <c r="D55" s="2">
        <f t="shared" si="105"/>
        <v>107083.1125</v>
      </c>
      <c r="E55" s="2">
        <f t="shared" si="106"/>
        <v>104927.321125</v>
      </c>
      <c r="F55" s="2">
        <f t="shared" si="107"/>
        <v>107275.00000000001</v>
      </c>
      <c r="G55" s="2">
        <f t="shared" si="108"/>
        <v>104191.75000000001</v>
      </c>
      <c r="H55" s="2">
        <f t="shared" si="109"/>
        <v>108134.40000000001</v>
      </c>
      <c r="I55" s="2">
        <f t="shared" si="110"/>
        <v>104158.864</v>
      </c>
      <c r="J55" s="2">
        <f t="shared" si="103"/>
        <v>105291.61220549991</v>
      </c>
      <c r="K55" s="2">
        <f t="shared" si="104"/>
        <v>104239.2</v>
      </c>
      <c r="W55" s="1">
        <f t="shared" si="144"/>
        <v>37</v>
      </c>
      <c r="X55" s="2">
        <f t="shared" si="121"/>
        <v>108890.88245546666</v>
      </c>
      <c r="Y55" s="8">
        <f t="shared" si="76"/>
        <v>4.1300000000000003E-2</v>
      </c>
      <c r="Z55" s="5">
        <f t="shared" si="145"/>
        <v>1141</v>
      </c>
      <c r="AA55" s="2">
        <f t="shared" si="146"/>
        <v>113985.90000000001</v>
      </c>
      <c r="AB55" s="2">
        <f t="shared" si="37"/>
        <v>114100</v>
      </c>
      <c r="AC55" s="2">
        <f t="shared" si="147"/>
        <v>114100</v>
      </c>
      <c r="AD55" s="8">
        <f t="shared" si="122"/>
        <v>4.65E-2</v>
      </c>
      <c r="AE55" s="2">
        <f t="shared" si="2"/>
        <v>114542.13750000001</v>
      </c>
      <c r="AF55" s="2" t="str">
        <f t="shared" si="123"/>
        <v>nie</v>
      </c>
      <c r="AG55" s="2">
        <f t="shared" si="124"/>
        <v>442.13750000001164</v>
      </c>
      <c r="AH55" s="1">
        <f t="shared" si="79"/>
        <v>0</v>
      </c>
      <c r="AI55" s="1">
        <f t="shared" si="111"/>
        <v>0</v>
      </c>
      <c r="AJ55" s="1">
        <f t="shared" ref="AJ55:AJ86" si="155">IF(zapadalnosc_TOS/12&gt;=AJ$18,AI43,0)</f>
        <v>0</v>
      </c>
      <c r="AK55" s="6"/>
      <c r="AL55" s="2">
        <f t="shared" si="90"/>
        <v>0</v>
      </c>
      <c r="AM55" s="8">
        <f t="shared" si="80"/>
        <v>4.65E-2</v>
      </c>
      <c r="AN55" s="2">
        <f t="shared" si="91"/>
        <v>0</v>
      </c>
      <c r="AO55" s="2">
        <f t="shared" si="81"/>
        <v>0</v>
      </c>
      <c r="AP55" s="2">
        <f t="shared" si="119"/>
        <v>0</v>
      </c>
      <c r="AQ55" s="8">
        <f t="shared" si="112"/>
        <v>4.1300000000000003E-2</v>
      </c>
      <c r="AR55" s="2">
        <f t="shared" si="113"/>
        <v>0</v>
      </c>
      <c r="AS55" s="2">
        <f t="shared" si="114"/>
        <v>0</v>
      </c>
      <c r="AT55" s="2">
        <f t="shared" si="39"/>
        <v>0</v>
      </c>
      <c r="AU55" s="2">
        <f t="shared" si="92"/>
        <v>0</v>
      </c>
      <c r="AV55" s="2">
        <f t="shared" si="82"/>
        <v>53.345092499992461</v>
      </c>
      <c r="AW55" s="1">
        <f t="shared" si="77"/>
        <v>0</v>
      </c>
      <c r="AX55" s="2">
        <f t="shared" si="125"/>
        <v>53.345092499992461</v>
      </c>
      <c r="AY55" s="1">
        <f t="shared" si="83"/>
        <v>0</v>
      </c>
      <c r="AZ55" s="2">
        <f t="shared" si="40"/>
        <v>53.345092499992461</v>
      </c>
      <c r="BA55" s="2">
        <f t="shared" si="93"/>
        <v>114595.4825925</v>
      </c>
      <c r="BB55" s="2">
        <f t="shared" si="126"/>
        <v>0</v>
      </c>
      <c r="BC55" s="2">
        <f t="shared" si="41"/>
        <v>346.28482763875002</v>
      </c>
      <c r="BD55" s="2">
        <f t="shared" si="10"/>
        <v>114249.19776486125</v>
      </c>
      <c r="BE55" s="2">
        <f t="shared" si="42"/>
        <v>442.13750000001164</v>
      </c>
      <c r="BF55" s="2">
        <f t="shared" si="11"/>
        <v>2689.1355675749987</v>
      </c>
      <c r="BG55" s="2">
        <f t="shared" si="12"/>
        <v>111117.92469728625</v>
      </c>
      <c r="BI55" s="8">
        <f t="shared" si="84"/>
        <v>2.8000000000000001E-2</v>
      </c>
      <c r="BJ55" s="5">
        <f t="shared" si="148"/>
        <v>1000</v>
      </c>
      <c r="BK55" s="2">
        <f t="shared" si="149"/>
        <v>100000</v>
      </c>
      <c r="BL55" s="2">
        <f t="shared" si="150"/>
        <v>100000</v>
      </c>
      <c r="BM55" s="2">
        <f t="shared" si="127"/>
        <v>100000</v>
      </c>
      <c r="BN55" s="8">
        <f t="shared" si="128"/>
        <v>4.2999999999999997E-2</v>
      </c>
      <c r="BO55" s="2">
        <f t="shared" si="129"/>
        <v>100358.33333333333</v>
      </c>
      <c r="BP55" s="2" t="str">
        <f t="shared" si="130"/>
        <v>nie</v>
      </c>
      <c r="BQ55" s="2">
        <f t="shared" si="131"/>
        <v>2000</v>
      </c>
      <c r="BR55" s="1">
        <f t="shared" si="85"/>
        <v>47</v>
      </c>
      <c r="BS55" s="1">
        <f t="shared" si="115"/>
        <v>45</v>
      </c>
      <c r="BT55" s="1">
        <f t="shared" ref="BT55:BT86" si="156">IF(zapadalnosc_COI/12&gt;=BT$18,BS43,0)</f>
        <v>50</v>
      </c>
      <c r="BU55" s="6"/>
      <c r="BV55" s="2">
        <f t="shared" si="94"/>
        <v>4700</v>
      </c>
      <c r="BW55" s="8">
        <f t="shared" si="86"/>
        <v>0.05</v>
      </c>
      <c r="BX55" s="2">
        <f t="shared" si="95"/>
        <v>4719.583333333333</v>
      </c>
      <c r="BY55" s="2">
        <f t="shared" si="87"/>
        <v>19.58333333333303</v>
      </c>
      <c r="BZ55" s="2">
        <f t="shared" si="120"/>
        <v>9500</v>
      </c>
      <c r="CA55" s="8">
        <f t="shared" si="116"/>
        <v>4.2999999999999997E-2</v>
      </c>
      <c r="CB55" s="2">
        <f t="shared" si="117"/>
        <v>9534.0416666666661</v>
      </c>
      <c r="CC55" s="2">
        <f t="shared" si="118"/>
        <v>190</v>
      </c>
      <c r="CD55" s="2">
        <f t="shared" si="132"/>
        <v>0</v>
      </c>
      <c r="CE55" s="2">
        <f t="shared" si="96"/>
        <v>0</v>
      </c>
      <c r="CF55" s="2">
        <f t="shared" si="97"/>
        <v>89.999999999970896</v>
      </c>
      <c r="CG55" s="1">
        <f t="shared" si="78"/>
        <v>0</v>
      </c>
      <c r="CH55" s="2">
        <f t="shared" si="133"/>
        <v>89.999999999970896</v>
      </c>
      <c r="CI55" s="1">
        <f t="shared" si="89"/>
        <v>0</v>
      </c>
      <c r="CJ55" s="2">
        <f t="shared" si="98"/>
        <v>89.999999999970896</v>
      </c>
      <c r="CK55" s="2">
        <f t="shared" si="99"/>
        <v>114701.9583333333</v>
      </c>
      <c r="CL55" s="2">
        <f t="shared" si="134"/>
        <v>0</v>
      </c>
      <c r="CM55" s="2">
        <f t="shared" si="47"/>
        <v>346.71499999999992</v>
      </c>
      <c r="CN55" s="2">
        <f t="shared" si="135"/>
        <v>114355.2433333333</v>
      </c>
      <c r="CO55" s="2">
        <f t="shared" si="48"/>
        <v>2209.583333333333</v>
      </c>
      <c r="CP55" s="2">
        <f t="shared" si="136"/>
        <v>2373.5512499999945</v>
      </c>
      <c r="CQ55" s="2">
        <f t="shared" si="137"/>
        <v>109772.10874999998</v>
      </c>
      <c r="CS55" s="5">
        <f t="shared" si="151"/>
        <v>1000</v>
      </c>
      <c r="CT55" s="2">
        <f t="shared" si="152"/>
        <v>100000</v>
      </c>
      <c r="CU55" s="2">
        <f t="shared" si="153"/>
        <v>100000</v>
      </c>
      <c r="CV55" s="2">
        <f t="shared" si="154"/>
        <v>115980.90240000001</v>
      </c>
      <c r="CW55" s="8">
        <f t="shared" si="138"/>
        <v>4.8000000000000001E-2</v>
      </c>
      <c r="CX55" s="2">
        <f t="shared" si="139"/>
        <v>116444.8260096</v>
      </c>
      <c r="CY55" s="2" t="str">
        <f t="shared" si="140"/>
        <v>nie</v>
      </c>
      <c r="CZ55" s="2">
        <f t="shared" si="53"/>
        <v>0</v>
      </c>
      <c r="DA55" s="2">
        <f t="shared" si="54"/>
        <v>0</v>
      </c>
      <c r="DB55" s="2">
        <f t="shared" si="55"/>
        <v>116444.8260096</v>
      </c>
      <c r="DC55" s="2">
        <f t="shared" si="141"/>
        <v>0</v>
      </c>
      <c r="DD55" s="2">
        <f t="shared" si="56"/>
        <v>351.0414336</v>
      </c>
      <c r="DE55" s="2">
        <f t="shared" si="57"/>
        <v>116093.78457600001</v>
      </c>
      <c r="DF55" s="2">
        <f t="shared" si="142"/>
        <v>3000</v>
      </c>
      <c r="DG55" s="2">
        <f t="shared" si="143"/>
        <v>2554.5169418240002</v>
      </c>
      <c r="DH55" s="2">
        <f t="shared" si="58"/>
        <v>110539.26763417601</v>
      </c>
    </row>
    <row r="56" spans="2:112">
      <c r="B56" s="228"/>
      <c r="C56" s="1">
        <f t="shared" si="102"/>
        <v>19</v>
      </c>
      <c r="D56" s="2">
        <f t="shared" si="105"/>
        <v>107488.63125000001</v>
      </c>
      <c r="E56" s="2">
        <f t="shared" si="106"/>
        <v>105255.79131250001</v>
      </c>
      <c r="F56" s="2">
        <f t="shared" si="107"/>
        <v>107654.16666666666</v>
      </c>
      <c r="G56" s="2">
        <f t="shared" si="108"/>
        <v>104498.87499999999</v>
      </c>
      <c r="H56" s="2">
        <f t="shared" si="109"/>
        <v>108556.8</v>
      </c>
      <c r="I56" s="2">
        <f t="shared" si="110"/>
        <v>104501.008</v>
      </c>
      <c r="J56" s="2">
        <f t="shared" si="103"/>
        <v>105593.66751801444</v>
      </c>
      <c r="K56" s="2">
        <f t="shared" si="104"/>
        <v>104479.06666666667</v>
      </c>
      <c r="W56" s="1">
        <f t="shared" si="144"/>
        <v>38</v>
      </c>
      <c r="X56" s="2">
        <f t="shared" si="121"/>
        <v>109144.36971093333</v>
      </c>
      <c r="Y56" s="8">
        <f t="shared" si="76"/>
        <v>4.1300000000000003E-2</v>
      </c>
      <c r="Z56" s="5">
        <f t="shared" si="145"/>
        <v>1141</v>
      </c>
      <c r="AA56" s="2">
        <f t="shared" si="146"/>
        <v>113985.90000000001</v>
      </c>
      <c r="AB56" s="2">
        <f t="shared" si="37"/>
        <v>114100</v>
      </c>
      <c r="AC56" s="2">
        <f t="shared" si="147"/>
        <v>114100</v>
      </c>
      <c r="AD56" s="8">
        <f t="shared" si="122"/>
        <v>4.65E-2</v>
      </c>
      <c r="AE56" s="2">
        <f t="shared" si="2"/>
        <v>114984.27499999999</v>
      </c>
      <c r="AF56" s="2" t="str">
        <f t="shared" si="123"/>
        <v>nie</v>
      </c>
      <c r="AG56" s="2">
        <f t="shared" si="124"/>
        <v>884.27499999999418</v>
      </c>
      <c r="AH56" s="1">
        <f t="shared" si="79"/>
        <v>0</v>
      </c>
      <c r="AI56" s="1">
        <f t="shared" si="111"/>
        <v>0</v>
      </c>
      <c r="AJ56" s="1">
        <f t="shared" si="155"/>
        <v>0</v>
      </c>
      <c r="AK56" s="6"/>
      <c r="AL56" s="2">
        <f t="shared" si="90"/>
        <v>0</v>
      </c>
      <c r="AM56" s="8">
        <f t="shared" si="80"/>
        <v>4.65E-2</v>
      </c>
      <c r="AN56" s="2">
        <f t="shared" si="91"/>
        <v>0</v>
      </c>
      <c r="AO56" s="2">
        <f t="shared" si="81"/>
        <v>0</v>
      </c>
      <c r="AP56" s="2">
        <f t="shared" si="119"/>
        <v>0</v>
      </c>
      <c r="AQ56" s="8">
        <f t="shared" si="112"/>
        <v>4.1300000000000003E-2</v>
      </c>
      <c r="AR56" s="2">
        <f t="shared" si="113"/>
        <v>0</v>
      </c>
      <c r="AS56" s="2">
        <f t="shared" si="114"/>
        <v>0</v>
      </c>
      <c r="AT56" s="2">
        <f t="shared" si="39"/>
        <v>0</v>
      </c>
      <c r="AU56" s="2">
        <f t="shared" si="92"/>
        <v>0</v>
      </c>
      <c r="AV56" s="2">
        <f t="shared" si="82"/>
        <v>53.345092499992461</v>
      </c>
      <c r="AW56" s="1">
        <f t="shared" si="77"/>
        <v>0</v>
      </c>
      <c r="AX56" s="2">
        <f t="shared" si="125"/>
        <v>53.345092499992461</v>
      </c>
      <c r="AY56" s="1">
        <f t="shared" si="83"/>
        <v>0</v>
      </c>
      <c r="AZ56" s="2">
        <f t="shared" si="40"/>
        <v>53.345092499992461</v>
      </c>
      <c r="BA56" s="2">
        <f t="shared" si="93"/>
        <v>115037.62009249999</v>
      </c>
      <c r="BB56" s="2">
        <f t="shared" si="126"/>
        <v>0</v>
      </c>
      <c r="BC56" s="2">
        <f t="shared" si="41"/>
        <v>346.28482763875002</v>
      </c>
      <c r="BD56" s="2">
        <f t="shared" si="10"/>
        <v>114691.33526486123</v>
      </c>
      <c r="BE56" s="2">
        <f t="shared" si="42"/>
        <v>884.27499999999418</v>
      </c>
      <c r="BF56" s="2">
        <f t="shared" si="11"/>
        <v>2689.1355675749987</v>
      </c>
      <c r="BG56" s="2">
        <f t="shared" si="12"/>
        <v>111117.92469728625</v>
      </c>
      <c r="BI56" s="8">
        <f t="shared" si="84"/>
        <v>2.8000000000000001E-2</v>
      </c>
      <c r="BJ56" s="5">
        <f t="shared" si="148"/>
        <v>1000</v>
      </c>
      <c r="BK56" s="2">
        <f t="shared" si="149"/>
        <v>100000</v>
      </c>
      <c r="BL56" s="2">
        <f t="shared" si="150"/>
        <v>100000</v>
      </c>
      <c r="BM56" s="2">
        <f t="shared" si="127"/>
        <v>100000</v>
      </c>
      <c r="BN56" s="8">
        <f t="shared" si="128"/>
        <v>4.2999999999999997E-2</v>
      </c>
      <c r="BO56" s="2">
        <f t="shared" si="129"/>
        <v>100716.66666666667</v>
      </c>
      <c r="BP56" s="2" t="str">
        <f t="shared" si="130"/>
        <v>nie</v>
      </c>
      <c r="BQ56" s="2">
        <f t="shared" si="131"/>
        <v>2000</v>
      </c>
      <c r="BR56" s="1">
        <f t="shared" si="85"/>
        <v>47</v>
      </c>
      <c r="BS56" s="1">
        <f t="shared" si="115"/>
        <v>45</v>
      </c>
      <c r="BT56" s="1">
        <f t="shared" si="156"/>
        <v>50</v>
      </c>
      <c r="BU56" s="6"/>
      <c r="BV56" s="2">
        <f t="shared" si="94"/>
        <v>4700</v>
      </c>
      <c r="BW56" s="8">
        <f t="shared" si="86"/>
        <v>0.05</v>
      </c>
      <c r="BX56" s="2">
        <f t="shared" si="95"/>
        <v>4739.166666666667</v>
      </c>
      <c r="BY56" s="2">
        <f t="shared" si="87"/>
        <v>39.16666666666697</v>
      </c>
      <c r="BZ56" s="2">
        <f t="shared" si="120"/>
        <v>9500</v>
      </c>
      <c r="CA56" s="8">
        <f t="shared" si="116"/>
        <v>4.2999999999999997E-2</v>
      </c>
      <c r="CB56" s="2">
        <f t="shared" si="117"/>
        <v>9568.0833333333339</v>
      </c>
      <c r="CC56" s="2">
        <f t="shared" si="118"/>
        <v>190</v>
      </c>
      <c r="CD56" s="2">
        <f t="shared" si="132"/>
        <v>0</v>
      </c>
      <c r="CE56" s="2">
        <f t="shared" si="96"/>
        <v>0</v>
      </c>
      <c r="CF56" s="2">
        <f t="shared" si="97"/>
        <v>89.999999999970896</v>
      </c>
      <c r="CG56" s="1">
        <f t="shared" si="78"/>
        <v>0</v>
      </c>
      <c r="CH56" s="2">
        <f t="shared" si="133"/>
        <v>89.999999999970896</v>
      </c>
      <c r="CI56" s="1">
        <f t="shared" si="89"/>
        <v>0</v>
      </c>
      <c r="CJ56" s="2">
        <f t="shared" si="98"/>
        <v>89.999999999970896</v>
      </c>
      <c r="CK56" s="2">
        <f t="shared" si="99"/>
        <v>115113.91666666664</v>
      </c>
      <c r="CL56" s="2">
        <f t="shared" si="134"/>
        <v>0</v>
      </c>
      <c r="CM56" s="2">
        <f t="shared" si="47"/>
        <v>346.71499999999992</v>
      </c>
      <c r="CN56" s="2">
        <f t="shared" si="135"/>
        <v>114767.20166666665</v>
      </c>
      <c r="CO56" s="2">
        <f t="shared" si="48"/>
        <v>2229.166666666667</v>
      </c>
      <c r="CP56" s="2">
        <f t="shared" si="136"/>
        <v>2448.1024999999945</v>
      </c>
      <c r="CQ56" s="2">
        <f t="shared" si="137"/>
        <v>110089.93249999998</v>
      </c>
      <c r="CS56" s="5">
        <f t="shared" si="151"/>
        <v>1000</v>
      </c>
      <c r="CT56" s="2">
        <f t="shared" si="152"/>
        <v>100000</v>
      </c>
      <c r="CU56" s="2">
        <f t="shared" si="153"/>
        <v>100000</v>
      </c>
      <c r="CV56" s="2">
        <f t="shared" si="154"/>
        <v>115980.90240000001</v>
      </c>
      <c r="CW56" s="8">
        <f t="shared" si="138"/>
        <v>4.8000000000000001E-2</v>
      </c>
      <c r="CX56" s="2">
        <f t="shared" si="139"/>
        <v>116908.74961920001</v>
      </c>
      <c r="CY56" s="2" t="str">
        <f t="shared" si="140"/>
        <v>nie</v>
      </c>
      <c r="CZ56" s="2">
        <f t="shared" si="53"/>
        <v>0</v>
      </c>
      <c r="DA56" s="2">
        <f t="shared" si="54"/>
        <v>0</v>
      </c>
      <c r="DB56" s="2">
        <f t="shared" si="55"/>
        <v>116908.74961920001</v>
      </c>
      <c r="DC56" s="2">
        <f t="shared" si="141"/>
        <v>0</v>
      </c>
      <c r="DD56" s="2">
        <f t="shared" si="56"/>
        <v>351.0414336</v>
      </c>
      <c r="DE56" s="2">
        <f t="shared" si="57"/>
        <v>116557.70818560001</v>
      </c>
      <c r="DF56" s="2">
        <f t="shared" si="142"/>
        <v>3000</v>
      </c>
      <c r="DG56" s="2">
        <f t="shared" si="143"/>
        <v>2642.662427648002</v>
      </c>
      <c r="DH56" s="2">
        <f t="shared" si="58"/>
        <v>110915.04575795202</v>
      </c>
    </row>
    <row r="57" spans="2:112">
      <c r="B57" s="228"/>
      <c r="C57" s="1">
        <f t="shared" si="102"/>
        <v>20</v>
      </c>
      <c r="D57" s="2">
        <f t="shared" si="105"/>
        <v>107894.15</v>
      </c>
      <c r="E57" s="2">
        <f t="shared" si="106"/>
        <v>105584.26149999999</v>
      </c>
      <c r="F57" s="2">
        <f t="shared" si="107"/>
        <v>108033.33333333333</v>
      </c>
      <c r="G57" s="2">
        <f t="shared" si="108"/>
        <v>104806</v>
      </c>
      <c r="H57" s="2">
        <f t="shared" si="109"/>
        <v>108979.2</v>
      </c>
      <c r="I57" s="2">
        <f t="shared" si="110"/>
        <v>104843.152</v>
      </c>
      <c r="J57" s="2">
        <f t="shared" si="103"/>
        <v>105896.58935170675</v>
      </c>
      <c r="K57" s="2">
        <f t="shared" si="104"/>
        <v>104718.93333333333</v>
      </c>
      <c r="W57" s="1">
        <f t="shared" si="144"/>
        <v>39</v>
      </c>
      <c r="X57" s="2">
        <f t="shared" si="121"/>
        <v>109397.85696639998</v>
      </c>
      <c r="Y57" s="8">
        <f t="shared" ref="Y57:Y88" si="157">MAX(INDEX(scenariusz_I_WIBOR6M,MATCH(ROUNDUP(W57/12,0),scenariusz_I_rok,0)),0)</f>
        <v>4.1300000000000003E-2</v>
      </c>
      <c r="Z57" s="5">
        <f t="shared" si="145"/>
        <v>1141</v>
      </c>
      <c r="AA57" s="2">
        <f t="shared" si="146"/>
        <v>113985.90000000001</v>
      </c>
      <c r="AB57" s="2">
        <f t="shared" si="37"/>
        <v>114100</v>
      </c>
      <c r="AC57" s="2">
        <f t="shared" si="147"/>
        <v>114100</v>
      </c>
      <c r="AD57" s="8">
        <f t="shared" si="122"/>
        <v>4.65E-2</v>
      </c>
      <c r="AE57" s="2">
        <f t="shared" si="2"/>
        <v>115426.41250000001</v>
      </c>
      <c r="AF57" s="2" t="str">
        <f t="shared" si="123"/>
        <v>nie</v>
      </c>
      <c r="AG57" s="2">
        <f t="shared" si="124"/>
        <v>1141</v>
      </c>
      <c r="AH57" s="1">
        <f t="shared" si="79"/>
        <v>0</v>
      </c>
      <c r="AI57" s="1">
        <f t="shared" si="111"/>
        <v>0</v>
      </c>
      <c r="AJ57" s="1">
        <f t="shared" si="155"/>
        <v>0</v>
      </c>
      <c r="AK57" s="6"/>
      <c r="AL57" s="2">
        <f t="shared" si="90"/>
        <v>0</v>
      </c>
      <c r="AM57" s="8">
        <f t="shared" si="80"/>
        <v>4.65E-2</v>
      </c>
      <c r="AN57" s="2">
        <f t="shared" si="91"/>
        <v>0</v>
      </c>
      <c r="AO57" s="2">
        <f t="shared" si="81"/>
        <v>0</v>
      </c>
      <c r="AP57" s="2">
        <f t="shared" si="119"/>
        <v>0</v>
      </c>
      <c r="AQ57" s="8">
        <f t="shared" si="112"/>
        <v>4.1300000000000003E-2</v>
      </c>
      <c r="AR57" s="2">
        <f t="shared" si="113"/>
        <v>0</v>
      </c>
      <c r="AS57" s="2">
        <f t="shared" si="114"/>
        <v>0</v>
      </c>
      <c r="AT57" s="2">
        <f t="shared" si="39"/>
        <v>0</v>
      </c>
      <c r="AU57" s="2">
        <f t="shared" si="92"/>
        <v>0</v>
      </c>
      <c r="AV57" s="2">
        <f t="shared" si="82"/>
        <v>53.345092499992461</v>
      </c>
      <c r="AW57" s="1">
        <f t="shared" si="77"/>
        <v>0</v>
      </c>
      <c r="AX57" s="2">
        <f t="shared" si="125"/>
        <v>53.345092499992461</v>
      </c>
      <c r="AY57" s="1">
        <f t="shared" si="83"/>
        <v>0</v>
      </c>
      <c r="AZ57" s="2">
        <f t="shared" si="40"/>
        <v>53.345092499992461</v>
      </c>
      <c r="BA57" s="2">
        <f t="shared" si="93"/>
        <v>115479.7575925</v>
      </c>
      <c r="BB57" s="2">
        <f t="shared" si="126"/>
        <v>0</v>
      </c>
      <c r="BC57" s="2">
        <f t="shared" si="41"/>
        <v>346.28482763875002</v>
      </c>
      <c r="BD57" s="2">
        <f t="shared" si="10"/>
        <v>115133.47276486125</v>
      </c>
      <c r="BE57" s="2">
        <f t="shared" si="42"/>
        <v>1141</v>
      </c>
      <c r="BF57" s="2">
        <f t="shared" si="11"/>
        <v>2724.3639425749998</v>
      </c>
      <c r="BG57" s="2">
        <f t="shared" si="12"/>
        <v>111268.10882228625</v>
      </c>
      <c r="BI57" s="8">
        <f t="shared" si="84"/>
        <v>2.8000000000000001E-2</v>
      </c>
      <c r="BJ57" s="5">
        <f t="shared" si="148"/>
        <v>1000</v>
      </c>
      <c r="BK57" s="2">
        <f t="shared" si="149"/>
        <v>100000</v>
      </c>
      <c r="BL57" s="2">
        <f t="shared" si="150"/>
        <v>100000</v>
      </c>
      <c r="BM57" s="2">
        <f t="shared" si="127"/>
        <v>100000</v>
      </c>
      <c r="BN57" s="8">
        <f t="shared" si="128"/>
        <v>4.2999999999999997E-2</v>
      </c>
      <c r="BO57" s="2">
        <f t="shared" si="129"/>
        <v>101075</v>
      </c>
      <c r="BP57" s="2" t="str">
        <f t="shared" si="130"/>
        <v>nie</v>
      </c>
      <c r="BQ57" s="2">
        <f t="shared" si="131"/>
        <v>2000</v>
      </c>
      <c r="BR57" s="1">
        <f t="shared" si="85"/>
        <v>47</v>
      </c>
      <c r="BS57" s="1">
        <f t="shared" si="115"/>
        <v>45</v>
      </c>
      <c r="BT57" s="1">
        <f t="shared" si="156"/>
        <v>50</v>
      </c>
      <c r="BU57" s="6"/>
      <c r="BV57" s="2">
        <f t="shared" si="94"/>
        <v>4700</v>
      </c>
      <c r="BW57" s="8">
        <f t="shared" si="86"/>
        <v>0.05</v>
      </c>
      <c r="BX57" s="2">
        <f t="shared" si="95"/>
        <v>4758.75</v>
      </c>
      <c r="BY57" s="2">
        <f t="shared" si="87"/>
        <v>58.75</v>
      </c>
      <c r="BZ57" s="2">
        <f t="shared" si="120"/>
        <v>9500</v>
      </c>
      <c r="CA57" s="8">
        <f t="shared" si="116"/>
        <v>4.2999999999999997E-2</v>
      </c>
      <c r="CB57" s="2">
        <f t="shared" si="117"/>
        <v>9602.125</v>
      </c>
      <c r="CC57" s="2">
        <f t="shared" si="118"/>
        <v>190</v>
      </c>
      <c r="CD57" s="2">
        <f t="shared" si="132"/>
        <v>0</v>
      </c>
      <c r="CE57" s="2">
        <f t="shared" si="96"/>
        <v>0</v>
      </c>
      <c r="CF57" s="2">
        <f t="shared" si="97"/>
        <v>89.999999999970896</v>
      </c>
      <c r="CG57" s="1">
        <f t="shared" si="78"/>
        <v>0</v>
      </c>
      <c r="CH57" s="2">
        <f t="shared" si="133"/>
        <v>89.999999999970896</v>
      </c>
      <c r="CI57" s="1">
        <f t="shared" si="89"/>
        <v>0</v>
      </c>
      <c r="CJ57" s="2">
        <f t="shared" si="98"/>
        <v>89.999999999970896</v>
      </c>
      <c r="CK57" s="2">
        <f t="shared" si="99"/>
        <v>115525.87499999997</v>
      </c>
      <c r="CL57" s="2">
        <f t="shared" si="134"/>
        <v>0</v>
      </c>
      <c r="CM57" s="2">
        <f t="shared" si="47"/>
        <v>346.71499999999992</v>
      </c>
      <c r="CN57" s="2">
        <f t="shared" si="135"/>
        <v>115179.15999999997</v>
      </c>
      <c r="CO57" s="2">
        <f t="shared" si="48"/>
        <v>2248.75</v>
      </c>
      <c r="CP57" s="2">
        <f t="shared" si="136"/>
        <v>2522.6537499999945</v>
      </c>
      <c r="CQ57" s="2">
        <f t="shared" si="137"/>
        <v>110407.75624999998</v>
      </c>
      <c r="CS57" s="5">
        <f t="shared" si="151"/>
        <v>1000</v>
      </c>
      <c r="CT57" s="2">
        <f t="shared" si="152"/>
        <v>100000</v>
      </c>
      <c r="CU57" s="2">
        <f t="shared" si="153"/>
        <v>100000</v>
      </c>
      <c r="CV57" s="2">
        <f t="shared" si="154"/>
        <v>115980.90240000001</v>
      </c>
      <c r="CW57" s="8">
        <f t="shared" si="138"/>
        <v>4.8000000000000001E-2</v>
      </c>
      <c r="CX57" s="2">
        <f t="shared" si="139"/>
        <v>117372.67322880001</v>
      </c>
      <c r="CY57" s="2" t="str">
        <f t="shared" si="140"/>
        <v>nie</v>
      </c>
      <c r="CZ57" s="2">
        <f t="shared" si="53"/>
        <v>0</v>
      </c>
      <c r="DA57" s="2">
        <f t="shared" si="54"/>
        <v>0</v>
      </c>
      <c r="DB57" s="2">
        <f t="shared" si="55"/>
        <v>117372.67322880001</v>
      </c>
      <c r="DC57" s="2">
        <f t="shared" si="141"/>
        <v>0</v>
      </c>
      <c r="DD57" s="2">
        <f t="shared" si="56"/>
        <v>351.0414336</v>
      </c>
      <c r="DE57" s="2">
        <f t="shared" si="57"/>
        <v>117021.63179520001</v>
      </c>
      <c r="DF57" s="2">
        <f t="shared" si="142"/>
        <v>3000</v>
      </c>
      <c r="DG57" s="2">
        <f t="shared" si="143"/>
        <v>2730.807913472001</v>
      </c>
      <c r="DH57" s="2">
        <f t="shared" si="58"/>
        <v>111290.82388172801</v>
      </c>
    </row>
    <row r="58" spans="2:112">
      <c r="B58" s="228"/>
      <c r="C58" s="1">
        <f t="shared" si="102"/>
        <v>21</v>
      </c>
      <c r="D58" s="2">
        <f t="shared" si="105"/>
        <v>108299.66875</v>
      </c>
      <c r="E58" s="2">
        <f t="shared" si="106"/>
        <v>105912.7316875</v>
      </c>
      <c r="F58" s="2">
        <f t="shared" si="107"/>
        <v>108412.49999999999</v>
      </c>
      <c r="G58" s="2">
        <f t="shared" si="108"/>
        <v>105113.12499999999</v>
      </c>
      <c r="H58" s="2">
        <f t="shared" si="109"/>
        <v>109401.60000000001</v>
      </c>
      <c r="I58" s="2">
        <f t="shared" si="110"/>
        <v>105185.296</v>
      </c>
      <c r="J58" s="2">
        <f t="shared" si="103"/>
        <v>106200.38019240944</v>
      </c>
      <c r="K58" s="2">
        <f t="shared" si="104"/>
        <v>104958.79999999999</v>
      </c>
      <c r="W58" s="1">
        <f t="shared" si="144"/>
        <v>40</v>
      </c>
      <c r="X58" s="2">
        <f t="shared" si="121"/>
        <v>109651.34422186668</v>
      </c>
      <c r="Y58" s="8">
        <f t="shared" si="157"/>
        <v>4.1300000000000003E-2</v>
      </c>
      <c r="Z58" s="5">
        <f t="shared" si="145"/>
        <v>1141</v>
      </c>
      <c r="AA58" s="2">
        <f t="shared" si="146"/>
        <v>113985.90000000001</v>
      </c>
      <c r="AB58" s="2">
        <f t="shared" si="37"/>
        <v>114100</v>
      </c>
      <c r="AC58" s="2">
        <f t="shared" si="147"/>
        <v>114100</v>
      </c>
      <c r="AD58" s="8">
        <f t="shared" si="122"/>
        <v>4.65E-2</v>
      </c>
      <c r="AE58" s="2">
        <f t="shared" si="2"/>
        <v>115868.55</v>
      </c>
      <c r="AF58" s="2" t="str">
        <f t="shared" si="123"/>
        <v>nie</v>
      </c>
      <c r="AG58" s="2">
        <f t="shared" si="124"/>
        <v>1141</v>
      </c>
      <c r="AH58" s="1">
        <f t="shared" si="79"/>
        <v>0</v>
      </c>
      <c r="AI58" s="1">
        <f t="shared" si="111"/>
        <v>0</v>
      </c>
      <c r="AJ58" s="1">
        <f t="shared" si="155"/>
        <v>0</v>
      </c>
      <c r="AK58" s="6"/>
      <c r="AL58" s="2">
        <f t="shared" si="90"/>
        <v>0</v>
      </c>
      <c r="AM58" s="8">
        <f t="shared" si="80"/>
        <v>4.65E-2</v>
      </c>
      <c r="AN58" s="2">
        <f t="shared" si="91"/>
        <v>0</v>
      </c>
      <c r="AO58" s="2">
        <f t="shared" si="81"/>
        <v>0</v>
      </c>
      <c r="AP58" s="2">
        <f t="shared" si="119"/>
        <v>0</v>
      </c>
      <c r="AQ58" s="8">
        <f t="shared" si="112"/>
        <v>4.1300000000000003E-2</v>
      </c>
      <c r="AR58" s="2">
        <f t="shared" si="113"/>
        <v>0</v>
      </c>
      <c r="AS58" s="2">
        <f t="shared" si="114"/>
        <v>0</v>
      </c>
      <c r="AT58" s="2">
        <f t="shared" si="39"/>
        <v>0</v>
      </c>
      <c r="AU58" s="2">
        <f t="shared" si="92"/>
        <v>0</v>
      </c>
      <c r="AV58" s="2">
        <f t="shared" si="82"/>
        <v>53.345092499992461</v>
      </c>
      <c r="AW58" s="1">
        <f t="shared" si="77"/>
        <v>0</v>
      </c>
      <c r="AX58" s="2">
        <f t="shared" si="125"/>
        <v>53.345092499992461</v>
      </c>
      <c r="AY58" s="1">
        <f t="shared" si="83"/>
        <v>0</v>
      </c>
      <c r="AZ58" s="2">
        <f t="shared" si="40"/>
        <v>53.345092499992461</v>
      </c>
      <c r="BA58" s="2">
        <f t="shared" si="93"/>
        <v>115921.8950925</v>
      </c>
      <c r="BB58" s="2">
        <f t="shared" si="126"/>
        <v>0</v>
      </c>
      <c r="BC58" s="2">
        <f t="shared" si="41"/>
        <v>346.28482763875002</v>
      </c>
      <c r="BD58" s="2">
        <f t="shared" si="10"/>
        <v>115575.61026486124</v>
      </c>
      <c r="BE58" s="2">
        <f t="shared" si="42"/>
        <v>1141</v>
      </c>
      <c r="BF58" s="2">
        <f t="shared" si="11"/>
        <v>2808.3700675749992</v>
      </c>
      <c r="BG58" s="2">
        <f t="shared" si="12"/>
        <v>111626.24019728624</v>
      </c>
      <c r="BI58" s="8">
        <f t="shared" si="84"/>
        <v>2.8000000000000001E-2</v>
      </c>
      <c r="BJ58" s="5">
        <f t="shared" si="148"/>
        <v>1000</v>
      </c>
      <c r="BK58" s="2">
        <f t="shared" si="149"/>
        <v>100000</v>
      </c>
      <c r="BL58" s="2">
        <f t="shared" si="150"/>
        <v>100000</v>
      </c>
      <c r="BM58" s="2">
        <f t="shared" si="127"/>
        <v>100000</v>
      </c>
      <c r="BN58" s="8">
        <f t="shared" si="128"/>
        <v>4.2999999999999997E-2</v>
      </c>
      <c r="BO58" s="2">
        <f t="shared" si="129"/>
        <v>101433.33333333333</v>
      </c>
      <c r="BP58" s="2" t="str">
        <f t="shared" si="130"/>
        <v>nie</v>
      </c>
      <c r="BQ58" s="2">
        <f t="shared" si="131"/>
        <v>2000</v>
      </c>
      <c r="BR58" s="1">
        <f t="shared" si="85"/>
        <v>47</v>
      </c>
      <c r="BS58" s="1">
        <f t="shared" si="115"/>
        <v>45</v>
      </c>
      <c r="BT58" s="1">
        <f t="shared" si="156"/>
        <v>50</v>
      </c>
      <c r="BU58" s="6"/>
      <c r="BV58" s="2">
        <f t="shared" si="94"/>
        <v>4700</v>
      </c>
      <c r="BW58" s="8">
        <f t="shared" si="86"/>
        <v>0.05</v>
      </c>
      <c r="BX58" s="2">
        <f t="shared" si="95"/>
        <v>4778.333333333333</v>
      </c>
      <c r="BY58" s="2">
        <f t="shared" si="87"/>
        <v>78.33333333333303</v>
      </c>
      <c r="BZ58" s="2">
        <f t="shared" si="120"/>
        <v>9500</v>
      </c>
      <c r="CA58" s="8">
        <f t="shared" si="116"/>
        <v>4.2999999999999997E-2</v>
      </c>
      <c r="CB58" s="2">
        <f t="shared" si="117"/>
        <v>9636.1666666666661</v>
      </c>
      <c r="CC58" s="2">
        <f t="shared" si="118"/>
        <v>190</v>
      </c>
      <c r="CD58" s="2">
        <f t="shared" si="132"/>
        <v>0</v>
      </c>
      <c r="CE58" s="2">
        <f t="shared" si="96"/>
        <v>0</v>
      </c>
      <c r="CF58" s="2">
        <f t="shared" si="97"/>
        <v>89.999999999970896</v>
      </c>
      <c r="CG58" s="1">
        <f t="shared" si="78"/>
        <v>0</v>
      </c>
      <c r="CH58" s="2">
        <f t="shared" si="133"/>
        <v>89.999999999970896</v>
      </c>
      <c r="CI58" s="1">
        <f t="shared" si="89"/>
        <v>0</v>
      </c>
      <c r="CJ58" s="2">
        <f t="shared" si="98"/>
        <v>89.999999999970896</v>
      </c>
      <c r="CK58" s="2">
        <f t="shared" si="99"/>
        <v>115937.8333333333</v>
      </c>
      <c r="CL58" s="2">
        <f t="shared" si="134"/>
        <v>0</v>
      </c>
      <c r="CM58" s="2">
        <f t="shared" si="47"/>
        <v>346.71499999999992</v>
      </c>
      <c r="CN58" s="2">
        <f t="shared" si="135"/>
        <v>115591.1183333333</v>
      </c>
      <c r="CO58" s="2">
        <f t="shared" si="48"/>
        <v>2268.333333333333</v>
      </c>
      <c r="CP58" s="2">
        <f t="shared" si="136"/>
        <v>2597.2049999999945</v>
      </c>
      <c r="CQ58" s="2">
        <f t="shared" si="137"/>
        <v>110725.57999999999</v>
      </c>
      <c r="CS58" s="5">
        <f t="shared" si="151"/>
        <v>1000</v>
      </c>
      <c r="CT58" s="2">
        <f t="shared" si="152"/>
        <v>100000</v>
      </c>
      <c r="CU58" s="2">
        <f t="shared" si="153"/>
        <v>100000</v>
      </c>
      <c r="CV58" s="2">
        <f t="shared" si="154"/>
        <v>115980.90240000001</v>
      </c>
      <c r="CW58" s="8">
        <f t="shared" si="138"/>
        <v>4.8000000000000001E-2</v>
      </c>
      <c r="CX58" s="2">
        <f t="shared" si="139"/>
        <v>117836.59683840002</v>
      </c>
      <c r="CY58" s="2" t="str">
        <f t="shared" si="140"/>
        <v>nie</v>
      </c>
      <c r="CZ58" s="2">
        <f t="shared" si="53"/>
        <v>0</v>
      </c>
      <c r="DA58" s="2">
        <f t="shared" si="54"/>
        <v>0</v>
      </c>
      <c r="DB58" s="2">
        <f t="shared" si="55"/>
        <v>117836.59683840002</v>
      </c>
      <c r="DC58" s="2">
        <f t="shared" si="141"/>
        <v>0</v>
      </c>
      <c r="DD58" s="2">
        <f t="shared" si="56"/>
        <v>351.0414336</v>
      </c>
      <c r="DE58" s="2">
        <f t="shared" si="57"/>
        <v>117485.55540480002</v>
      </c>
      <c r="DF58" s="2">
        <f t="shared" si="142"/>
        <v>3000</v>
      </c>
      <c r="DG58" s="2">
        <f t="shared" si="143"/>
        <v>2818.9533992960028</v>
      </c>
      <c r="DH58" s="2">
        <f t="shared" si="58"/>
        <v>111666.60200550401</v>
      </c>
    </row>
    <row r="59" spans="2:112">
      <c r="B59" s="228"/>
      <c r="C59" s="1">
        <f t="shared" si="102"/>
        <v>22</v>
      </c>
      <c r="D59" s="2">
        <f t="shared" si="105"/>
        <v>108705.1875</v>
      </c>
      <c r="E59" s="2">
        <f t="shared" si="106"/>
        <v>106241.201875</v>
      </c>
      <c r="F59" s="2">
        <f t="shared" si="107"/>
        <v>108791.66666666667</v>
      </c>
      <c r="G59" s="2">
        <f t="shared" si="108"/>
        <v>105420.25</v>
      </c>
      <c r="H59" s="2">
        <f t="shared" si="109"/>
        <v>109824</v>
      </c>
      <c r="I59" s="2">
        <f t="shared" si="110"/>
        <v>105527.44</v>
      </c>
      <c r="J59" s="2">
        <f t="shared" si="103"/>
        <v>106505.04253308641</v>
      </c>
      <c r="K59" s="2">
        <f t="shared" si="104"/>
        <v>105198.66666666667</v>
      </c>
      <c r="W59" s="1">
        <f t="shared" si="144"/>
        <v>41</v>
      </c>
      <c r="X59" s="2">
        <f t="shared" si="121"/>
        <v>109904.83147733334</v>
      </c>
      <c r="Y59" s="8">
        <f t="shared" si="157"/>
        <v>4.1300000000000003E-2</v>
      </c>
      <c r="Z59" s="5">
        <f t="shared" si="145"/>
        <v>1141</v>
      </c>
      <c r="AA59" s="2">
        <f t="shared" si="146"/>
        <v>113985.90000000001</v>
      </c>
      <c r="AB59" s="2">
        <f t="shared" si="37"/>
        <v>114100</v>
      </c>
      <c r="AC59" s="2">
        <f t="shared" si="147"/>
        <v>114100</v>
      </c>
      <c r="AD59" s="8">
        <f t="shared" si="122"/>
        <v>4.65E-2</v>
      </c>
      <c r="AE59" s="2">
        <f t="shared" si="2"/>
        <v>116310.68749999999</v>
      </c>
      <c r="AF59" s="2" t="str">
        <f t="shared" si="123"/>
        <v>nie</v>
      </c>
      <c r="AG59" s="2">
        <f t="shared" si="124"/>
        <v>1141</v>
      </c>
      <c r="AH59" s="1">
        <f t="shared" si="79"/>
        <v>0</v>
      </c>
      <c r="AI59" s="1">
        <f t="shared" si="111"/>
        <v>0</v>
      </c>
      <c r="AJ59" s="1">
        <f t="shared" si="155"/>
        <v>0</v>
      </c>
      <c r="AK59" s="6"/>
      <c r="AL59" s="2">
        <f t="shared" si="90"/>
        <v>0</v>
      </c>
      <c r="AM59" s="8">
        <f t="shared" si="80"/>
        <v>4.65E-2</v>
      </c>
      <c r="AN59" s="2">
        <f t="shared" si="91"/>
        <v>0</v>
      </c>
      <c r="AO59" s="2">
        <f t="shared" si="81"/>
        <v>0</v>
      </c>
      <c r="AP59" s="2">
        <f t="shared" si="119"/>
        <v>0</v>
      </c>
      <c r="AQ59" s="8">
        <f t="shared" si="112"/>
        <v>4.1300000000000003E-2</v>
      </c>
      <c r="AR59" s="2">
        <f t="shared" si="113"/>
        <v>0</v>
      </c>
      <c r="AS59" s="2">
        <f t="shared" si="114"/>
        <v>0</v>
      </c>
      <c r="AT59" s="2">
        <f t="shared" si="39"/>
        <v>0</v>
      </c>
      <c r="AU59" s="2">
        <f t="shared" si="92"/>
        <v>0</v>
      </c>
      <c r="AV59" s="2">
        <f t="shared" si="82"/>
        <v>53.345092499992461</v>
      </c>
      <c r="AW59" s="1">
        <f t="shared" si="77"/>
        <v>0</v>
      </c>
      <c r="AX59" s="2">
        <f t="shared" si="125"/>
        <v>53.345092499992461</v>
      </c>
      <c r="AY59" s="1">
        <f t="shared" si="83"/>
        <v>0</v>
      </c>
      <c r="AZ59" s="2">
        <f t="shared" si="40"/>
        <v>53.345092499992461</v>
      </c>
      <c r="BA59" s="2">
        <f t="shared" si="93"/>
        <v>116364.03259249998</v>
      </c>
      <c r="BB59" s="2">
        <f t="shared" si="126"/>
        <v>0</v>
      </c>
      <c r="BC59" s="2">
        <f t="shared" si="41"/>
        <v>346.28482763875002</v>
      </c>
      <c r="BD59" s="2">
        <f t="shared" si="10"/>
        <v>116017.74776486123</v>
      </c>
      <c r="BE59" s="2">
        <f t="shared" si="42"/>
        <v>1141</v>
      </c>
      <c r="BF59" s="2">
        <f t="shared" si="11"/>
        <v>2892.3761925749959</v>
      </c>
      <c r="BG59" s="2">
        <f t="shared" si="12"/>
        <v>111984.37157228623</v>
      </c>
      <c r="BI59" s="8">
        <f t="shared" si="84"/>
        <v>2.8000000000000001E-2</v>
      </c>
      <c r="BJ59" s="5">
        <f t="shared" si="148"/>
        <v>1000</v>
      </c>
      <c r="BK59" s="2">
        <f t="shared" si="149"/>
        <v>100000</v>
      </c>
      <c r="BL59" s="2">
        <f t="shared" si="150"/>
        <v>100000</v>
      </c>
      <c r="BM59" s="2">
        <f t="shared" si="127"/>
        <v>100000</v>
      </c>
      <c r="BN59" s="8">
        <f t="shared" si="128"/>
        <v>4.2999999999999997E-2</v>
      </c>
      <c r="BO59" s="2">
        <f t="shared" si="129"/>
        <v>101791.66666666666</v>
      </c>
      <c r="BP59" s="2" t="str">
        <f t="shared" si="130"/>
        <v>nie</v>
      </c>
      <c r="BQ59" s="2">
        <f t="shared" si="131"/>
        <v>2000</v>
      </c>
      <c r="BR59" s="1">
        <f t="shared" si="85"/>
        <v>47</v>
      </c>
      <c r="BS59" s="1">
        <f t="shared" si="115"/>
        <v>45</v>
      </c>
      <c r="BT59" s="1">
        <f t="shared" si="156"/>
        <v>50</v>
      </c>
      <c r="BU59" s="6"/>
      <c r="BV59" s="2">
        <f t="shared" si="94"/>
        <v>4700</v>
      </c>
      <c r="BW59" s="8">
        <f t="shared" si="86"/>
        <v>0.05</v>
      </c>
      <c r="BX59" s="2">
        <f t="shared" si="95"/>
        <v>4797.9166666666661</v>
      </c>
      <c r="BY59" s="2">
        <f t="shared" si="87"/>
        <v>94</v>
      </c>
      <c r="BZ59" s="2">
        <f t="shared" si="120"/>
        <v>9500</v>
      </c>
      <c r="CA59" s="8">
        <f t="shared" si="116"/>
        <v>4.2999999999999997E-2</v>
      </c>
      <c r="CB59" s="2">
        <f t="shared" si="117"/>
        <v>9670.2083333333321</v>
      </c>
      <c r="CC59" s="2">
        <f t="shared" si="118"/>
        <v>190</v>
      </c>
      <c r="CD59" s="2">
        <f t="shared" si="132"/>
        <v>0</v>
      </c>
      <c r="CE59" s="2">
        <f t="shared" si="96"/>
        <v>0</v>
      </c>
      <c r="CF59" s="2">
        <f t="shared" si="97"/>
        <v>89.999999999970896</v>
      </c>
      <c r="CG59" s="1">
        <f t="shared" si="78"/>
        <v>0</v>
      </c>
      <c r="CH59" s="2">
        <f t="shared" si="133"/>
        <v>89.999999999970896</v>
      </c>
      <c r="CI59" s="1">
        <f t="shared" si="89"/>
        <v>0</v>
      </c>
      <c r="CJ59" s="2">
        <f t="shared" si="98"/>
        <v>89.999999999970896</v>
      </c>
      <c r="CK59" s="2">
        <f t="shared" si="99"/>
        <v>116349.79166666663</v>
      </c>
      <c r="CL59" s="2">
        <f t="shared" si="134"/>
        <v>0</v>
      </c>
      <c r="CM59" s="2">
        <f t="shared" si="47"/>
        <v>346.71499999999992</v>
      </c>
      <c r="CN59" s="2">
        <f t="shared" si="135"/>
        <v>116003.07666666663</v>
      </c>
      <c r="CO59" s="2">
        <f t="shared" si="48"/>
        <v>2284</v>
      </c>
      <c r="CP59" s="2">
        <f t="shared" si="136"/>
        <v>2672.5004166666595</v>
      </c>
      <c r="CQ59" s="2">
        <f t="shared" si="137"/>
        <v>111046.57624999997</v>
      </c>
      <c r="CS59" s="5">
        <f t="shared" si="151"/>
        <v>1000</v>
      </c>
      <c r="CT59" s="2">
        <f t="shared" si="152"/>
        <v>100000</v>
      </c>
      <c r="CU59" s="2">
        <f t="shared" si="153"/>
        <v>100000</v>
      </c>
      <c r="CV59" s="2">
        <f t="shared" si="154"/>
        <v>115980.90240000001</v>
      </c>
      <c r="CW59" s="8">
        <f t="shared" si="138"/>
        <v>4.8000000000000001E-2</v>
      </c>
      <c r="CX59" s="2">
        <f t="shared" si="139"/>
        <v>118300.52044800001</v>
      </c>
      <c r="CY59" s="2" t="str">
        <f t="shared" si="140"/>
        <v>nie</v>
      </c>
      <c r="CZ59" s="2">
        <f t="shared" si="53"/>
        <v>0</v>
      </c>
      <c r="DA59" s="2">
        <f t="shared" si="54"/>
        <v>0</v>
      </c>
      <c r="DB59" s="2">
        <f t="shared" si="55"/>
        <v>118300.52044800001</v>
      </c>
      <c r="DC59" s="2">
        <f t="shared" si="141"/>
        <v>0</v>
      </c>
      <c r="DD59" s="2">
        <f t="shared" si="56"/>
        <v>351.0414336</v>
      </c>
      <c r="DE59" s="2">
        <f t="shared" si="57"/>
        <v>117949.47901440001</v>
      </c>
      <c r="DF59" s="2">
        <f t="shared" si="142"/>
        <v>3000</v>
      </c>
      <c r="DG59" s="2">
        <f t="shared" si="143"/>
        <v>2907.0988851200018</v>
      </c>
      <c r="DH59" s="2">
        <f t="shared" si="58"/>
        <v>112042.38012928001</v>
      </c>
    </row>
    <row r="60" spans="2:112">
      <c r="B60" s="229"/>
      <c r="C60" s="1">
        <f t="shared" si="102"/>
        <v>23</v>
      </c>
      <c r="D60" s="2">
        <f t="shared" si="105"/>
        <v>109110.70624999999</v>
      </c>
      <c r="E60" s="2">
        <f t="shared" si="106"/>
        <v>106569.67206249999</v>
      </c>
      <c r="F60" s="2">
        <f t="shared" si="107"/>
        <v>109170.83333333334</v>
      </c>
      <c r="G60" s="2">
        <f t="shared" si="108"/>
        <v>105727.37500000001</v>
      </c>
      <c r="H60" s="2">
        <f t="shared" si="109"/>
        <v>110246.40000000001</v>
      </c>
      <c r="I60" s="2">
        <f t="shared" si="110"/>
        <v>105869.584</v>
      </c>
      <c r="J60" s="2">
        <f t="shared" si="103"/>
        <v>106810.5788738532</v>
      </c>
      <c r="K60" s="2">
        <f t="shared" si="104"/>
        <v>105438.53333333334</v>
      </c>
      <c r="W60" s="1">
        <f t="shared" si="144"/>
        <v>42</v>
      </c>
      <c r="X60" s="2">
        <f t="shared" si="121"/>
        <v>110158.31873280001</v>
      </c>
      <c r="Y60" s="8">
        <f t="shared" si="157"/>
        <v>4.1300000000000003E-2</v>
      </c>
      <c r="Z60" s="5">
        <f t="shared" si="145"/>
        <v>1141</v>
      </c>
      <c r="AA60" s="2">
        <f t="shared" si="146"/>
        <v>113985.90000000001</v>
      </c>
      <c r="AB60" s="2">
        <f t="shared" si="37"/>
        <v>114100</v>
      </c>
      <c r="AC60" s="2">
        <f t="shared" si="147"/>
        <v>114100</v>
      </c>
      <c r="AD60" s="8">
        <f t="shared" si="122"/>
        <v>4.65E-2</v>
      </c>
      <c r="AE60" s="2">
        <f t="shared" si="2"/>
        <v>116752.825</v>
      </c>
      <c r="AF60" s="2" t="str">
        <f t="shared" si="123"/>
        <v>nie</v>
      </c>
      <c r="AG60" s="2">
        <f t="shared" si="124"/>
        <v>1141</v>
      </c>
      <c r="AH60" s="1">
        <f t="shared" si="79"/>
        <v>0</v>
      </c>
      <c r="AI60" s="1">
        <f t="shared" si="111"/>
        <v>0</v>
      </c>
      <c r="AJ60" s="1">
        <f t="shared" si="155"/>
        <v>0</v>
      </c>
      <c r="AK60" s="6"/>
      <c r="AL60" s="2">
        <f t="shared" si="90"/>
        <v>0</v>
      </c>
      <c r="AM60" s="8">
        <f t="shared" si="80"/>
        <v>4.65E-2</v>
      </c>
      <c r="AN60" s="2">
        <f t="shared" si="91"/>
        <v>0</v>
      </c>
      <c r="AO60" s="2">
        <f t="shared" si="81"/>
        <v>0</v>
      </c>
      <c r="AP60" s="2">
        <f t="shared" si="119"/>
        <v>0</v>
      </c>
      <c r="AQ60" s="8">
        <f t="shared" si="112"/>
        <v>4.1300000000000003E-2</v>
      </c>
      <c r="AR60" s="2">
        <f t="shared" si="113"/>
        <v>0</v>
      </c>
      <c r="AS60" s="2">
        <f t="shared" si="114"/>
        <v>0</v>
      </c>
      <c r="AT60" s="2">
        <f t="shared" si="39"/>
        <v>0</v>
      </c>
      <c r="AU60" s="2">
        <f t="shared" si="92"/>
        <v>0</v>
      </c>
      <c r="AV60" s="2">
        <f t="shared" si="82"/>
        <v>53.345092499992461</v>
      </c>
      <c r="AW60" s="1">
        <f t="shared" si="77"/>
        <v>0</v>
      </c>
      <c r="AX60" s="2">
        <f t="shared" si="125"/>
        <v>53.345092499992461</v>
      </c>
      <c r="AY60" s="1">
        <f t="shared" si="83"/>
        <v>0</v>
      </c>
      <c r="AZ60" s="2">
        <f t="shared" si="40"/>
        <v>53.345092499992461</v>
      </c>
      <c r="BA60" s="2">
        <f t="shared" si="93"/>
        <v>116806.17009249999</v>
      </c>
      <c r="BB60" s="2">
        <f t="shared" si="126"/>
        <v>0</v>
      </c>
      <c r="BC60" s="2">
        <f t="shared" si="41"/>
        <v>346.28482763875002</v>
      </c>
      <c r="BD60" s="2">
        <f t="shared" si="10"/>
        <v>116459.88526486124</v>
      </c>
      <c r="BE60" s="2">
        <f t="shared" si="42"/>
        <v>1141</v>
      </c>
      <c r="BF60" s="2">
        <f t="shared" si="11"/>
        <v>2976.3823175749981</v>
      </c>
      <c r="BG60" s="2">
        <f t="shared" si="12"/>
        <v>112342.50294728624</v>
      </c>
      <c r="BI60" s="8">
        <f t="shared" si="84"/>
        <v>2.8000000000000001E-2</v>
      </c>
      <c r="BJ60" s="5">
        <f t="shared" si="148"/>
        <v>1000</v>
      </c>
      <c r="BK60" s="2">
        <f t="shared" si="149"/>
        <v>100000</v>
      </c>
      <c r="BL60" s="2">
        <f t="shared" si="150"/>
        <v>100000</v>
      </c>
      <c r="BM60" s="2">
        <f t="shared" si="127"/>
        <v>100000</v>
      </c>
      <c r="BN60" s="8">
        <f t="shared" si="128"/>
        <v>4.2999999999999997E-2</v>
      </c>
      <c r="BO60" s="2">
        <f t="shared" si="129"/>
        <v>102150.00000000001</v>
      </c>
      <c r="BP60" s="2" t="str">
        <f t="shared" si="130"/>
        <v>nie</v>
      </c>
      <c r="BQ60" s="2">
        <f t="shared" si="131"/>
        <v>2000</v>
      </c>
      <c r="BR60" s="1">
        <f t="shared" si="85"/>
        <v>47</v>
      </c>
      <c r="BS60" s="1">
        <f t="shared" si="115"/>
        <v>45</v>
      </c>
      <c r="BT60" s="1">
        <f t="shared" si="156"/>
        <v>50</v>
      </c>
      <c r="BU60" s="6"/>
      <c r="BV60" s="2">
        <f t="shared" si="94"/>
        <v>4700</v>
      </c>
      <c r="BW60" s="8">
        <f t="shared" si="86"/>
        <v>0.05</v>
      </c>
      <c r="BX60" s="2">
        <f t="shared" si="95"/>
        <v>4817.5</v>
      </c>
      <c r="BY60" s="2">
        <f t="shared" si="87"/>
        <v>94</v>
      </c>
      <c r="BZ60" s="2">
        <f t="shared" si="120"/>
        <v>9500</v>
      </c>
      <c r="CA60" s="8">
        <f t="shared" si="116"/>
        <v>4.2999999999999997E-2</v>
      </c>
      <c r="CB60" s="2">
        <f t="shared" si="117"/>
        <v>9704.25</v>
      </c>
      <c r="CC60" s="2">
        <f t="shared" si="118"/>
        <v>190</v>
      </c>
      <c r="CD60" s="2">
        <f t="shared" si="132"/>
        <v>0</v>
      </c>
      <c r="CE60" s="2">
        <f t="shared" si="96"/>
        <v>0</v>
      </c>
      <c r="CF60" s="2">
        <f t="shared" si="97"/>
        <v>89.999999999970896</v>
      </c>
      <c r="CG60" s="1">
        <f t="shared" si="78"/>
        <v>0</v>
      </c>
      <c r="CH60" s="2">
        <f t="shared" si="133"/>
        <v>89.999999999970896</v>
      </c>
      <c r="CI60" s="1">
        <f t="shared" si="89"/>
        <v>0</v>
      </c>
      <c r="CJ60" s="2">
        <f t="shared" si="98"/>
        <v>89.999999999970896</v>
      </c>
      <c r="CK60" s="2">
        <f t="shared" si="99"/>
        <v>116761.74999999999</v>
      </c>
      <c r="CL60" s="2">
        <f t="shared" si="134"/>
        <v>0</v>
      </c>
      <c r="CM60" s="2">
        <f t="shared" si="47"/>
        <v>346.71499999999992</v>
      </c>
      <c r="CN60" s="2">
        <f t="shared" si="135"/>
        <v>116415.03499999999</v>
      </c>
      <c r="CO60" s="2">
        <f t="shared" si="48"/>
        <v>2284</v>
      </c>
      <c r="CP60" s="2">
        <f t="shared" si="136"/>
        <v>2750.7724999999973</v>
      </c>
      <c r="CQ60" s="2">
        <f t="shared" si="137"/>
        <v>111380.2625</v>
      </c>
      <c r="CS60" s="5">
        <f t="shared" si="151"/>
        <v>1000</v>
      </c>
      <c r="CT60" s="2">
        <f t="shared" si="152"/>
        <v>100000</v>
      </c>
      <c r="CU60" s="2">
        <f t="shared" si="153"/>
        <v>100000</v>
      </c>
      <c r="CV60" s="2">
        <f t="shared" si="154"/>
        <v>115980.90240000001</v>
      </c>
      <c r="CW60" s="8">
        <f t="shared" si="138"/>
        <v>4.8000000000000001E-2</v>
      </c>
      <c r="CX60" s="2">
        <f t="shared" si="139"/>
        <v>118764.44405760001</v>
      </c>
      <c r="CY60" s="2" t="str">
        <f t="shared" si="140"/>
        <v>nie</v>
      </c>
      <c r="CZ60" s="2">
        <f t="shared" si="53"/>
        <v>0</v>
      </c>
      <c r="DA60" s="2">
        <f t="shared" si="54"/>
        <v>0</v>
      </c>
      <c r="DB60" s="2">
        <f t="shared" si="55"/>
        <v>118764.44405760001</v>
      </c>
      <c r="DC60" s="2">
        <f t="shared" si="141"/>
        <v>0</v>
      </c>
      <c r="DD60" s="2">
        <f t="shared" si="56"/>
        <v>351.0414336</v>
      </c>
      <c r="DE60" s="2">
        <f t="shared" si="57"/>
        <v>118413.40262400001</v>
      </c>
      <c r="DF60" s="2">
        <f t="shared" si="142"/>
        <v>3000</v>
      </c>
      <c r="DG60" s="2">
        <f t="shared" si="143"/>
        <v>2995.2443709440008</v>
      </c>
      <c r="DH60" s="2">
        <f t="shared" si="58"/>
        <v>112418.15825305601</v>
      </c>
    </row>
    <row r="61" spans="2:112">
      <c r="B61" s="227">
        <f>ROUNDUP(C62/12,0)</f>
        <v>3</v>
      </c>
      <c r="C61" s="3">
        <f t="shared" si="102"/>
        <v>24</v>
      </c>
      <c r="D61" s="10">
        <f t="shared" si="105"/>
        <v>109340.99904</v>
      </c>
      <c r="E61" s="10">
        <f t="shared" si="106"/>
        <v>106722.91628999999</v>
      </c>
      <c r="F61" s="10">
        <f t="shared" si="107"/>
        <v>109374.71999999999</v>
      </c>
      <c r="G61" s="10">
        <f t="shared" si="108"/>
        <v>105859.21999999999</v>
      </c>
      <c r="H61" s="10">
        <f t="shared" si="109"/>
        <v>110491.72992</v>
      </c>
      <c r="I61" s="10">
        <f t="shared" si="110"/>
        <v>106034.65792</v>
      </c>
      <c r="J61" s="10">
        <f t="shared" si="103"/>
        <v>107116.99172199756</v>
      </c>
      <c r="K61" s="10">
        <f t="shared" si="104"/>
        <v>105678.39999999999</v>
      </c>
      <c r="W61" s="1">
        <f t="shared" si="144"/>
        <v>43</v>
      </c>
      <c r="X61" s="2">
        <f t="shared" si="121"/>
        <v>110411.80598826666</v>
      </c>
      <c r="Y61" s="8">
        <f t="shared" si="157"/>
        <v>4.1300000000000003E-2</v>
      </c>
      <c r="Z61" s="5">
        <f t="shared" si="145"/>
        <v>1141</v>
      </c>
      <c r="AA61" s="2">
        <f t="shared" si="146"/>
        <v>113985.90000000001</v>
      </c>
      <c r="AB61" s="2">
        <f t="shared" si="37"/>
        <v>114100</v>
      </c>
      <c r="AC61" s="2">
        <f t="shared" si="147"/>
        <v>114100</v>
      </c>
      <c r="AD61" s="8">
        <f t="shared" si="122"/>
        <v>4.65E-2</v>
      </c>
      <c r="AE61" s="2">
        <f t="shared" si="2"/>
        <v>117194.96250000001</v>
      </c>
      <c r="AF61" s="2" t="str">
        <f t="shared" si="123"/>
        <v>nie</v>
      </c>
      <c r="AG61" s="2">
        <f t="shared" si="124"/>
        <v>1141</v>
      </c>
      <c r="AH61" s="1">
        <f t="shared" si="79"/>
        <v>0</v>
      </c>
      <c r="AI61" s="1">
        <f t="shared" si="111"/>
        <v>0</v>
      </c>
      <c r="AJ61" s="1">
        <f t="shared" si="155"/>
        <v>0</v>
      </c>
      <c r="AK61" s="6"/>
      <c r="AL61" s="2">
        <f t="shared" si="90"/>
        <v>0</v>
      </c>
      <c r="AM61" s="8">
        <f t="shared" si="80"/>
        <v>4.65E-2</v>
      </c>
      <c r="AN61" s="2">
        <f t="shared" si="91"/>
        <v>0</v>
      </c>
      <c r="AO61" s="2">
        <f t="shared" si="81"/>
        <v>0</v>
      </c>
      <c r="AP61" s="2">
        <f t="shared" si="119"/>
        <v>0</v>
      </c>
      <c r="AQ61" s="8">
        <f t="shared" si="112"/>
        <v>4.1300000000000003E-2</v>
      </c>
      <c r="AR61" s="2">
        <f t="shared" si="113"/>
        <v>0</v>
      </c>
      <c r="AS61" s="2">
        <f t="shared" si="114"/>
        <v>0</v>
      </c>
      <c r="AT61" s="2">
        <f t="shared" si="39"/>
        <v>0</v>
      </c>
      <c r="AU61" s="2">
        <f t="shared" si="92"/>
        <v>0</v>
      </c>
      <c r="AV61" s="2">
        <f t="shared" si="82"/>
        <v>53.345092499992461</v>
      </c>
      <c r="AW61" s="1">
        <f t="shared" si="77"/>
        <v>0</v>
      </c>
      <c r="AX61" s="2">
        <f t="shared" si="125"/>
        <v>53.345092499992461</v>
      </c>
      <c r="AY61" s="1">
        <f t="shared" si="83"/>
        <v>0</v>
      </c>
      <c r="AZ61" s="2">
        <f t="shared" si="40"/>
        <v>53.345092499992461</v>
      </c>
      <c r="BA61" s="2">
        <f t="shared" si="93"/>
        <v>117248.3075925</v>
      </c>
      <c r="BB61" s="2">
        <f t="shared" si="126"/>
        <v>0</v>
      </c>
      <c r="BC61" s="2">
        <f t="shared" si="41"/>
        <v>346.28482763875002</v>
      </c>
      <c r="BD61" s="2">
        <f t="shared" si="10"/>
        <v>116902.02276486125</v>
      </c>
      <c r="BE61" s="2">
        <f t="shared" si="42"/>
        <v>1141</v>
      </c>
      <c r="BF61" s="2">
        <f t="shared" si="11"/>
        <v>3060.3884425750002</v>
      </c>
      <c r="BG61" s="2">
        <f t="shared" si="12"/>
        <v>112700.63432228625</v>
      </c>
      <c r="BI61" s="8">
        <f t="shared" si="84"/>
        <v>2.8000000000000001E-2</v>
      </c>
      <c r="BJ61" s="5">
        <f t="shared" si="148"/>
        <v>1000</v>
      </c>
      <c r="BK61" s="2">
        <f t="shared" si="149"/>
        <v>100000</v>
      </c>
      <c r="BL61" s="2">
        <f t="shared" si="150"/>
        <v>100000</v>
      </c>
      <c r="BM61" s="2">
        <f t="shared" si="127"/>
        <v>100000</v>
      </c>
      <c r="BN61" s="8">
        <f t="shared" si="128"/>
        <v>4.2999999999999997E-2</v>
      </c>
      <c r="BO61" s="2">
        <f t="shared" si="129"/>
        <v>102508.33333333333</v>
      </c>
      <c r="BP61" s="2" t="str">
        <f t="shared" si="130"/>
        <v>nie</v>
      </c>
      <c r="BQ61" s="2">
        <f t="shared" si="131"/>
        <v>2000</v>
      </c>
      <c r="BR61" s="1">
        <f t="shared" si="85"/>
        <v>47</v>
      </c>
      <c r="BS61" s="1">
        <f t="shared" si="115"/>
        <v>45</v>
      </c>
      <c r="BT61" s="1">
        <f t="shared" si="156"/>
        <v>50</v>
      </c>
      <c r="BU61" s="6"/>
      <c r="BV61" s="2">
        <f t="shared" si="94"/>
        <v>4700</v>
      </c>
      <c r="BW61" s="8">
        <f t="shared" si="86"/>
        <v>0.05</v>
      </c>
      <c r="BX61" s="2">
        <f t="shared" si="95"/>
        <v>4837.083333333333</v>
      </c>
      <c r="BY61" s="2">
        <f t="shared" si="87"/>
        <v>94</v>
      </c>
      <c r="BZ61" s="2">
        <f t="shared" si="120"/>
        <v>9500</v>
      </c>
      <c r="CA61" s="8">
        <f t="shared" si="116"/>
        <v>4.2999999999999997E-2</v>
      </c>
      <c r="CB61" s="2">
        <f t="shared" si="117"/>
        <v>9738.2916666666661</v>
      </c>
      <c r="CC61" s="2">
        <f t="shared" si="118"/>
        <v>190</v>
      </c>
      <c r="CD61" s="2">
        <f t="shared" si="132"/>
        <v>0</v>
      </c>
      <c r="CE61" s="2">
        <f t="shared" si="96"/>
        <v>0</v>
      </c>
      <c r="CF61" s="2">
        <f t="shared" si="97"/>
        <v>89.999999999970896</v>
      </c>
      <c r="CG61" s="1">
        <f t="shared" si="78"/>
        <v>0</v>
      </c>
      <c r="CH61" s="2">
        <f t="shared" si="133"/>
        <v>89.999999999970896</v>
      </c>
      <c r="CI61" s="1">
        <f t="shared" si="89"/>
        <v>0</v>
      </c>
      <c r="CJ61" s="2">
        <f t="shared" si="98"/>
        <v>89.999999999970896</v>
      </c>
      <c r="CK61" s="2">
        <f t="shared" si="99"/>
        <v>117173.7083333333</v>
      </c>
      <c r="CL61" s="2">
        <f t="shared" si="134"/>
        <v>0</v>
      </c>
      <c r="CM61" s="2">
        <f t="shared" si="47"/>
        <v>346.71499999999992</v>
      </c>
      <c r="CN61" s="2">
        <f t="shared" si="135"/>
        <v>116826.9933333333</v>
      </c>
      <c r="CO61" s="2">
        <f t="shared" si="48"/>
        <v>2284</v>
      </c>
      <c r="CP61" s="2">
        <f t="shared" si="136"/>
        <v>2829.044583333327</v>
      </c>
      <c r="CQ61" s="2">
        <f t="shared" si="137"/>
        <v>111713.94874999998</v>
      </c>
      <c r="CS61" s="5">
        <f t="shared" si="151"/>
        <v>1000</v>
      </c>
      <c r="CT61" s="2">
        <f t="shared" si="152"/>
        <v>100000</v>
      </c>
      <c r="CU61" s="2">
        <f t="shared" si="153"/>
        <v>100000</v>
      </c>
      <c r="CV61" s="2">
        <f t="shared" si="154"/>
        <v>115980.90240000001</v>
      </c>
      <c r="CW61" s="8">
        <f t="shared" si="138"/>
        <v>4.8000000000000001E-2</v>
      </c>
      <c r="CX61" s="2">
        <f t="shared" si="139"/>
        <v>119228.36766720001</v>
      </c>
      <c r="CY61" s="2" t="str">
        <f t="shared" si="140"/>
        <v>nie</v>
      </c>
      <c r="CZ61" s="2">
        <f t="shared" si="53"/>
        <v>0</v>
      </c>
      <c r="DA61" s="2">
        <f t="shared" si="54"/>
        <v>0</v>
      </c>
      <c r="DB61" s="2">
        <f t="shared" si="55"/>
        <v>119228.36766720001</v>
      </c>
      <c r="DC61" s="2">
        <f t="shared" si="141"/>
        <v>0</v>
      </c>
      <c r="DD61" s="2">
        <f t="shared" si="56"/>
        <v>351.0414336</v>
      </c>
      <c r="DE61" s="2">
        <f t="shared" si="57"/>
        <v>118877.32623360002</v>
      </c>
      <c r="DF61" s="2">
        <f t="shared" si="142"/>
        <v>3000</v>
      </c>
      <c r="DG61" s="2">
        <f t="shared" si="143"/>
        <v>3083.389856768003</v>
      </c>
      <c r="DH61" s="2">
        <f t="shared" si="58"/>
        <v>112793.93637683202</v>
      </c>
    </row>
    <row r="62" spans="2:112">
      <c r="B62" s="228"/>
      <c r="C62" s="1">
        <f t="shared" si="102"/>
        <v>25</v>
      </c>
      <c r="D62" s="2">
        <f t="shared" si="105"/>
        <v>109765.374411875</v>
      </c>
      <c r="E62" s="2">
        <f t="shared" si="106"/>
        <v>107066.66034121875</v>
      </c>
      <c r="F62" s="2">
        <f t="shared" si="107"/>
        <v>109769.71999999999</v>
      </c>
      <c r="G62" s="2">
        <f t="shared" si="108"/>
        <v>106163.98249999998</v>
      </c>
      <c r="H62" s="2">
        <f t="shared" si="109"/>
        <v>110934.40512</v>
      </c>
      <c r="I62" s="2">
        <f t="shared" si="110"/>
        <v>106393.22483199999</v>
      </c>
      <c r="J62" s="2">
        <f t="shared" si="103"/>
        <v>107424.28359200004</v>
      </c>
      <c r="K62" s="2">
        <f t="shared" si="104"/>
        <v>105924.98293333332</v>
      </c>
      <c r="W62" s="1">
        <f t="shared" si="144"/>
        <v>44</v>
      </c>
      <c r="X62" s="2">
        <f t="shared" si="121"/>
        <v>110665.29324373332</v>
      </c>
      <c r="Y62" s="8">
        <f t="shared" si="157"/>
        <v>4.1300000000000003E-2</v>
      </c>
      <c r="Z62" s="5">
        <f t="shared" si="145"/>
        <v>1141</v>
      </c>
      <c r="AA62" s="2">
        <f t="shared" si="146"/>
        <v>113985.90000000001</v>
      </c>
      <c r="AB62" s="2">
        <f t="shared" si="37"/>
        <v>114100</v>
      </c>
      <c r="AC62" s="2">
        <f t="shared" si="147"/>
        <v>114100</v>
      </c>
      <c r="AD62" s="8">
        <f t="shared" si="122"/>
        <v>4.65E-2</v>
      </c>
      <c r="AE62" s="2">
        <f t="shared" si="2"/>
        <v>117637.09999999999</v>
      </c>
      <c r="AF62" s="2" t="str">
        <f t="shared" si="123"/>
        <v>nie</v>
      </c>
      <c r="AG62" s="2">
        <f t="shared" si="124"/>
        <v>1141</v>
      </c>
      <c r="AH62" s="1">
        <f t="shared" si="79"/>
        <v>0</v>
      </c>
      <c r="AI62" s="1">
        <f t="shared" si="111"/>
        <v>0</v>
      </c>
      <c r="AJ62" s="1">
        <f t="shared" si="155"/>
        <v>0</v>
      </c>
      <c r="AK62" s="6"/>
      <c r="AL62" s="2">
        <f t="shared" si="90"/>
        <v>0</v>
      </c>
      <c r="AM62" s="8">
        <f t="shared" si="80"/>
        <v>4.65E-2</v>
      </c>
      <c r="AN62" s="2">
        <f t="shared" si="91"/>
        <v>0</v>
      </c>
      <c r="AO62" s="2">
        <f t="shared" si="81"/>
        <v>0</v>
      </c>
      <c r="AP62" s="2">
        <f t="shared" si="119"/>
        <v>0</v>
      </c>
      <c r="AQ62" s="8">
        <f t="shared" si="112"/>
        <v>4.1300000000000003E-2</v>
      </c>
      <c r="AR62" s="2">
        <f t="shared" si="113"/>
        <v>0</v>
      </c>
      <c r="AS62" s="2">
        <f t="shared" si="114"/>
        <v>0</v>
      </c>
      <c r="AT62" s="2">
        <f t="shared" si="39"/>
        <v>0</v>
      </c>
      <c r="AU62" s="2">
        <f t="shared" si="92"/>
        <v>0</v>
      </c>
      <c r="AV62" s="2">
        <f t="shared" si="82"/>
        <v>53.345092499992461</v>
      </c>
      <c r="AW62" s="1">
        <f t="shared" ref="AW62:AW93" si="158">IF(AT62&lt;&gt;0,MIN(IF(AK62&lt;&gt;"",AK62,0),ROUNDDOWN(AV62/zamiana_TOS,0)),0)</f>
        <v>0</v>
      </c>
      <c r="AX62" s="2">
        <f t="shared" si="125"/>
        <v>53.345092499992461</v>
      </c>
      <c r="AY62" s="1">
        <f t="shared" si="83"/>
        <v>0</v>
      </c>
      <c r="AZ62" s="2">
        <f t="shared" si="40"/>
        <v>53.345092499992461</v>
      </c>
      <c r="BA62" s="2">
        <f t="shared" si="93"/>
        <v>117690.44509249998</v>
      </c>
      <c r="BB62" s="2">
        <f t="shared" si="126"/>
        <v>0</v>
      </c>
      <c r="BC62" s="2">
        <f t="shared" si="41"/>
        <v>346.28482763875002</v>
      </c>
      <c r="BD62" s="2">
        <f t="shared" si="10"/>
        <v>117344.16026486123</v>
      </c>
      <c r="BE62" s="2">
        <f t="shared" si="42"/>
        <v>1141</v>
      </c>
      <c r="BF62" s="2">
        <f t="shared" si="11"/>
        <v>3144.3945675749969</v>
      </c>
      <c r="BG62" s="2">
        <f t="shared" si="12"/>
        <v>113058.76569728623</v>
      </c>
      <c r="BI62" s="8">
        <f t="shared" si="84"/>
        <v>2.8000000000000001E-2</v>
      </c>
      <c r="BJ62" s="5">
        <f t="shared" si="148"/>
        <v>1000</v>
      </c>
      <c r="BK62" s="2">
        <f t="shared" si="149"/>
        <v>100000</v>
      </c>
      <c r="BL62" s="2">
        <f t="shared" si="150"/>
        <v>100000</v>
      </c>
      <c r="BM62" s="2">
        <f t="shared" si="127"/>
        <v>100000</v>
      </c>
      <c r="BN62" s="8">
        <f t="shared" si="128"/>
        <v>4.2999999999999997E-2</v>
      </c>
      <c r="BO62" s="2">
        <f t="shared" si="129"/>
        <v>102866.66666666666</v>
      </c>
      <c r="BP62" s="2" t="str">
        <f t="shared" si="130"/>
        <v>nie</v>
      </c>
      <c r="BQ62" s="2">
        <f t="shared" si="131"/>
        <v>2000</v>
      </c>
      <c r="BR62" s="1">
        <f t="shared" si="85"/>
        <v>47</v>
      </c>
      <c r="BS62" s="1">
        <f t="shared" si="115"/>
        <v>45</v>
      </c>
      <c r="BT62" s="1">
        <f t="shared" si="156"/>
        <v>50</v>
      </c>
      <c r="BU62" s="6"/>
      <c r="BV62" s="2">
        <f t="shared" si="94"/>
        <v>4700</v>
      </c>
      <c r="BW62" s="8">
        <f t="shared" si="86"/>
        <v>0.05</v>
      </c>
      <c r="BX62" s="2">
        <f t="shared" si="95"/>
        <v>4856.666666666667</v>
      </c>
      <c r="BY62" s="2">
        <f t="shared" si="87"/>
        <v>94</v>
      </c>
      <c r="BZ62" s="2">
        <f t="shared" si="120"/>
        <v>9500</v>
      </c>
      <c r="CA62" s="8">
        <f t="shared" si="116"/>
        <v>4.2999999999999997E-2</v>
      </c>
      <c r="CB62" s="2">
        <f t="shared" si="117"/>
        <v>9772.3333333333321</v>
      </c>
      <c r="CC62" s="2">
        <f t="shared" si="118"/>
        <v>190</v>
      </c>
      <c r="CD62" s="2">
        <f t="shared" si="132"/>
        <v>0</v>
      </c>
      <c r="CE62" s="2">
        <f t="shared" si="96"/>
        <v>0</v>
      </c>
      <c r="CF62" s="2">
        <f t="shared" si="97"/>
        <v>89.999999999970896</v>
      </c>
      <c r="CG62" s="1">
        <f t="shared" ref="CG62:CG93" si="159">IF(CD62&lt;&gt;0,MIN(IF(BU62&lt;&gt;"",BU62,0),ROUNDDOWN(CF62/zamiana_COI,0)),0)</f>
        <v>0</v>
      </c>
      <c r="CH62" s="2">
        <f t="shared" si="133"/>
        <v>89.999999999970896</v>
      </c>
      <c r="CI62" s="1">
        <f t="shared" si="89"/>
        <v>0</v>
      </c>
      <c r="CJ62" s="2">
        <f t="shared" si="98"/>
        <v>89.999999999970896</v>
      </c>
      <c r="CK62" s="2">
        <f t="shared" si="99"/>
        <v>117585.66666666663</v>
      </c>
      <c r="CL62" s="2">
        <f t="shared" si="134"/>
        <v>0</v>
      </c>
      <c r="CM62" s="2">
        <f t="shared" si="47"/>
        <v>346.71499999999992</v>
      </c>
      <c r="CN62" s="2">
        <f t="shared" si="135"/>
        <v>117238.95166666663</v>
      </c>
      <c r="CO62" s="2">
        <f t="shared" si="48"/>
        <v>2284</v>
      </c>
      <c r="CP62" s="2">
        <f t="shared" si="136"/>
        <v>2907.3166666666593</v>
      </c>
      <c r="CQ62" s="2">
        <f t="shared" si="137"/>
        <v>112047.63499999997</v>
      </c>
      <c r="CS62" s="5">
        <f t="shared" si="151"/>
        <v>1000</v>
      </c>
      <c r="CT62" s="2">
        <f t="shared" si="152"/>
        <v>100000</v>
      </c>
      <c r="CU62" s="2">
        <f t="shared" si="153"/>
        <v>100000</v>
      </c>
      <c r="CV62" s="2">
        <f t="shared" si="154"/>
        <v>115980.90240000001</v>
      </c>
      <c r="CW62" s="8">
        <f t="shared" si="138"/>
        <v>4.8000000000000001E-2</v>
      </c>
      <c r="CX62" s="2">
        <f t="shared" si="139"/>
        <v>119692.29127680001</v>
      </c>
      <c r="CY62" s="2" t="str">
        <f t="shared" si="140"/>
        <v>nie</v>
      </c>
      <c r="CZ62" s="2">
        <f t="shared" si="53"/>
        <v>0</v>
      </c>
      <c r="DA62" s="2">
        <f t="shared" si="54"/>
        <v>0</v>
      </c>
      <c r="DB62" s="2">
        <f t="shared" si="55"/>
        <v>119692.29127680001</v>
      </c>
      <c r="DC62" s="2">
        <f t="shared" si="141"/>
        <v>0</v>
      </c>
      <c r="DD62" s="2">
        <f t="shared" si="56"/>
        <v>351.0414336</v>
      </c>
      <c r="DE62" s="2">
        <f t="shared" si="57"/>
        <v>119341.24984320001</v>
      </c>
      <c r="DF62" s="2">
        <f t="shared" si="142"/>
        <v>3000</v>
      </c>
      <c r="DG62" s="2">
        <f t="shared" si="143"/>
        <v>3171.5353425920021</v>
      </c>
      <c r="DH62" s="2">
        <f t="shared" si="58"/>
        <v>113169.71450060801</v>
      </c>
    </row>
    <row r="63" spans="2:112">
      <c r="B63" s="228"/>
      <c r="C63" s="1">
        <f t="shared" si="102"/>
        <v>26</v>
      </c>
      <c r="D63" s="2">
        <f t="shared" si="105"/>
        <v>110189.74978374998</v>
      </c>
      <c r="E63" s="2">
        <f t="shared" si="106"/>
        <v>107410.40439243749</v>
      </c>
      <c r="F63" s="2">
        <f t="shared" si="107"/>
        <v>110164.71999999999</v>
      </c>
      <c r="G63" s="2">
        <f t="shared" si="108"/>
        <v>106468.745</v>
      </c>
      <c r="H63" s="2">
        <f t="shared" si="109"/>
        <v>111377.08031999999</v>
      </c>
      <c r="I63" s="2">
        <f t="shared" si="110"/>
        <v>106751.79174399999</v>
      </c>
      <c r="J63" s="2">
        <f t="shared" si="103"/>
        <v>107732.45700555458</v>
      </c>
      <c r="K63" s="2">
        <f t="shared" si="104"/>
        <v>106171.56586666666</v>
      </c>
      <c r="W63" s="1">
        <f t="shared" si="144"/>
        <v>45</v>
      </c>
      <c r="X63" s="2">
        <f t="shared" si="121"/>
        <v>110918.78049919999</v>
      </c>
      <c r="Y63" s="8">
        <f t="shared" si="157"/>
        <v>4.1300000000000003E-2</v>
      </c>
      <c r="Z63" s="5">
        <f t="shared" si="145"/>
        <v>1141</v>
      </c>
      <c r="AA63" s="2">
        <f t="shared" si="146"/>
        <v>113985.90000000001</v>
      </c>
      <c r="AB63" s="2">
        <f t="shared" si="37"/>
        <v>114100</v>
      </c>
      <c r="AC63" s="2">
        <f t="shared" si="147"/>
        <v>114100</v>
      </c>
      <c r="AD63" s="8">
        <f t="shared" si="122"/>
        <v>4.65E-2</v>
      </c>
      <c r="AE63" s="2">
        <f t="shared" si="2"/>
        <v>118079.2375</v>
      </c>
      <c r="AF63" s="2" t="str">
        <f t="shared" si="123"/>
        <v>nie</v>
      </c>
      <c r="AG63" s="2">
        <f t="shared" si="124"/>
        <v>1141</v>
      </c>
      <c r="AH63" s="1">
        <f t="shared" si="79"/>
        <v>0</v>
      </c>
      <c r="AI63" s="1">
        <f t="shared" si="111"/>
        <v>0</v>
      </c>
      <c r="AJ63" s="1">
        <f t="shared" si="155"/>
        <v>0</v>
      </c>
      <c r="AK63" s="6"/>
      <c r="AL63" s="2">
        <f t="shared" si="90"/>
        <v>0</v>
      </c>
      <c r="AM63" s="8">
        <f t="shared" ref="AM63:AM94" si="160">proc_I_okres_TOS</f>
        <v>4.65E-2</v>
      </c>
      <c r="AN63" s="2">
        <f t="shared" si="91"/>
        <v>0</v>
      </c>
      <c r="AO63" s="2">
        <f t="shared" ref="AO63:AO94" si="161">MIN(AH63*koszt_wczesniejszy_wykup_TOS,AN63-AL63)</f>
        <v>0</v>
      </c>
      <c r="AP63" s="2">
        <f t="shared" si="119"/>
        <v>0</v>
      </c>
      <c r="AQ63" s="8">
        <f t="shared" si="112"/>
        <v>4.1300000000000003E-2</v>
      </c>
      <c r="AR63" s="2">
        <f t="shared" si="113"/>
        <v>0</v>
      </c>
      <c r="AS63" s="2">
        <f t="shared" si="114"/>
        <v>0</v>
      </c>
      <c r="AT63" s="2">
        <f t="shared" si="39"/>
        <v>0</v>
      </c>
      <c r="AU63" s="2">
        <f t="shared" si="92"/>
        <v>0</v>
      </c>
      <c r="AV63" s="2">
        <f t="shared" si="82"/>
        <v>53.345092499992461</v>
      </c>
      <c r="AW63" s="1">
        <f t="shared" si="158"/>
        <v>0</v>
      </c>
      <c r="AX63" s="2">
        <f t="shared" si="125"/>
        <v>53.345092499992461</v>
      </c>
      <c r="AY63" s="1">
        <f t="shared" si="83"/>
        <v>0</v>
      </c>
      <c r="AZ63" s="2">
        <f t="shared" si="40"/>
        <v>53.345092499992461</v>
      </c>
      <c r="BA63" s="2">
        <f t="shared" si="93"/>
        <v>118132.5825925</v>
      </c>
      <c r="BB63" s="2">
        <f t="shared" si="126"/>
        <v>0</v>
      </c>
      <c r="BC63" s="2">
        <f t="shared" si="41"/>
        <v>346.28482763875002</v>
      </c>
      <c r="BD63" s="2">
        <f t="shared" si="10"/>
        <v>117786.29776486124</v>
      </c>
      <c r="BE63" s="2">
        <f t="shared" si="42"/>
        <v>1141</v>
      </c>
      <c r="BF63" s="2">
        <f t="shared" si="11"/>
        <v>3228.4006925749991</v>
      </c>
      <c r="BG63" s="2">
        <f t="shared" si="12"/>
        <v>113416.89707228624</v>
      </c>
      <c r="BI63" s="8">
        <f t="shared" ref="BI63:BI94" si="162">MAX(INDEX(scenariusz_I_inflacja,MATCH(ROUNDUP(W63/12,0)-1,scenariusz_I_rok,0)),0)</f>
        <v>2.8000000000000001E-2</v>
      </c>
      <c r="BJ63" s="5">
        <f t="shared" si="148"/>
        <v>1000</v>
      </c>
      <c r="BK63" s="2">
        <f t="shared" si="149"/>
        <v>100000</v>
      </c>
      <c r="BL63" s="2">
        <f t="shared" si="150"/>
        <v>100000</v>
      </c>
      <c r="BM63" s="2">
        <f t="shared" si="127"/>
        <v>100000</v>
      </c>
      <c r="BN63" s="8">
        <f t="shared" si="128"/>
        <v>4.2999999999999997E-2</v>
      </c>
      <c r="BO63" s="2">
        <f t="shared" si="129"/>
        <v>103224.99999999999</v>
      </c>
      <c r="BP63" s="2" t="str">
        <f t="shared" si="130"/>
        <v>nie</v>
      </c>
      <c r="BQ63" s="2">
        <f t="shared" si="131"/>
        <v>2000</v>
      </c>
      <c r="BR63" s="1">
        <f t="shared" ref="BR63:BR94" si="163">IF(CD62&lt;&gt;0,CG62+CI62,BR62)</f>
        <v>47</v>
      </c>
      <c r="BS63" s="1">
        <f t="shared" si="115"/>
        <v>45</v>
      </c>
      <c r="BT63" s="1">
        <f t="shared" si="156"/>
        <v>50</v>
      </c>
      <c r="BU63" s="6"/>
      <c r="BV63" s="2">
        <f t="shared" si="94"/>
        <v>4700</v>
      </c>
      <c r="BW63" s="8">
        <f t="shared" ref="BW63:BW94" si="164">proc_I_okres_COI</f>
        <v>0.05</v>
      </c>
      <c r="BX63" s="2">
        <f t="shared" si="95"/>
        <v>4876.25</v>
      </c>
      <c r="BY63" s="2">
        <f t="shared" ref="BY63:BY94" si="165">MIN(BR63*koszt_wczesniejszy_wykup_COI,BX63-BV63)</f>
        <v>94</v>
      </c>
      <c r="BZ63" s="2">
        <f t="shared" si="120"/>
        <v>9500</v>
      </c>
      <c r="CA63" s="8">
        <f t="shared" si="116"/>
        <v>4.2999999999999997E-2</v>
      </c>
      <c r="CB63" s="2">
        <f t="shared" si="117"/>
        <v>9806.3749999999982</v>
      </c>
      <c r="CC63" s="2">
        <f t="shared" si="118"/>
        <v>190</v>
      </c>
      <c r="CD63" s="2">
        <f t="shared" si="132"/>
        <v>0</v>
      </c>
      <c r="CE63" s="2">
        <f t="shared" si="96"/>
        <v>0</v>
      </c>
      <c r="CF63" s="2">
        <f t="shared" si="97"/>
        <v>89.999999999970896</v>
      </c>
      <c r="CG63" s="1">
        <f t="shared" si="159"/>
        <v>0</v>
      </c>
      <c r="CH63" s="2">
        <f t="shared" si="133"/>
        <v>89.999999999970896</v>
      </c>
      <c r="CI63" s="1">
        <f t="shared" si="89"/>
        <v>0</v>
      </c>
      <c r="CJ63" s="2">
        <f t="shared" si="98"/>
        <v>89.999999999970896</v>
      </c>
      <c r="CK63" s="2">
        <f t="shared" si="99"/>
        <v>117997.62499999996</v>
      </c>
      <c r="CL63" s="2">
        <f t="shared" si="134"/>
        <v>0</v>
      </c>
      <c r="CM63" s="2">
        <f t="shared" si="47"/>
        <v>346.71499999999992</v>
      </c>
      <c r="CN63" s="2">
        <f t="shared" si="135"/>
        <v>117650.90999999996</v>
      </c>
      <c r="CO63" s="2">
        <f t="shared" si="48"/>
        <v>2284</v>
      </c>
      <c r="CP63" s="2">
        <f t="shared" si="136"/>
        <v>2985.5887499999917</v>
      </c>
      <c r="CQ63" s="2">
        <f t="shared" si="137"/>
        <v>112381.32124999996</v>
      </c>
      <c r="CS63" s="5">
        <f t="shared" si="151"/>
        <v>1000</v>
      </c>
      <c r="CT63" s="2">
        <f t="shared" si="152"/>
        <v>100000</v>
      </c>
      <c r="CU63" s="2">
        <f t="shared" si="153"/>
        <v>100000</v>
      </c>
      <c r="CV63" s="2">
        <f t="shared" si="154"/>
        <v>115980.90240000001</v>
      </c>
      <c r="CW63" s="8">
        <f t="shared" si="138"/>
        <v>4.8000000000000001E-2</v>
      </c>
      <c r="CX63" s="2">
        <f t="shared" si="139"/>
        <v>120156.2148864</v>
      </c>
      <c r="CY63" s="2" t="str">
        <f t="shared" si="140"/>
        <v>nie</v>
      </c>
      <c r="CZ63" s="2">
        <f t="shared" si="53"/>
        <v>0</v>
      </c>
      <c r="DA63" s="2">
        <f t="shared" si="54"/>
        <v>0</v>
      </c>
      <c r="DB63" s="2">
        <f t="shared" si="55"/>
        <v>120156.2148864</v>
      </c>
      <c r="DC63" s="2">
        <f t="shared" si="141"/>
        <v>0</v>
      </c>
      <c r="DD63" s="2">
        <f t="shared" si="56"/>
        <v>351.0414336</v>
      </c>
      <c r="DE63" s="2">
        <f t="shared" si="57"/>
        <v>119805.17345280001</v>
      </c>
      <c r="DF63" s="2">
        <f t="shared" si="142"/>
        <v>3000</v>
      </c>
      <c r="DG63" s="2">
        <f t="shared" si="143"/>
        <v>3259.6808284160011</v>
      </c>
      <c r="DH63" s="2">
        <f t="shared" si="58"/>
        <v>113545.492624384</v>
      </c>
    </row>
    <row r="64" spans="2:112">
      <c r="B64" s="228"/>
      <c r="C64" s="1">
        <f t="shared" si="102"/>
        <v>27</v>
      </c>
      <c r="D64" s="2">
        <f t="shared" si="105"/>
        <v>110614.12515562499</v>
      </c>
      <c r="E64" s="2">
        <f t="shared" si="106"/>
        <v>107754.14844365625</v>
      </c>
      <c r="F64" s="2">
        <f t="shared" si="107"/>
        <v>110559.71999999999</v>
      </c>
      <c r="G64" s="2">
        <f t="shared" si="108"/>
        <v>106773.50749999999</v>
      </c>
      <c r="H64" s="2">
        <f t="shared" si="109"/>
        <v>111819.75552000001</v>
      </c>
      <c r="I64" s="2">
        <f t="shared" si="110"/>
        <v>107110.358656</v>
      </c>
      <c r="J64" s="2">
        <f t="shared" si="103"/>
        <v>108041.51449158926</v>
      </c>
      <c r="K64" s="2">
        <f t="shared" si="104"/>
        <v>106418.14879999998</v>
      </c>
      <c r="W64" s="1">
        <f t="shared" si="144"/>
        <v>46</v>
      </c>
      <c r="X64" s="2">
        <f t="shared" si="121"/>
        <v>111172.26775466668</v>
      </c>
      <c r="Y64" s="8">
        <f t="shared" si="157"/>
        <v>4.1300000000000003E-2</v>
      </c>
      <c r="Z64" s="5">
        <f t="shared" si="145"/>
        <v>1141</v>
      </c>
      <c r="AA64" s="2">
        <f t="shared" si="146"/>
        <v>113985.90000000001</v>
      </c>
      <c r="AB64" s="2">
        <f t="shared" si="37"/>
        <v>114100</v>
      </c>
      <c r="AC64" s="2">
        <f t="shared" si="147"/>
        <v>114100</v>
      </c>
      <c r="AD64" s="8">
        <f t="shared" si="122"/>
        <v>4.65E-2</v>
      </c>
      <c r="AE64" s="2">
        <f t="shared" si="2"/>
        <v>118521.375</v>
      </c>
      <c r="AF64" s="2" t="str">
        <f t="shared" si="123"/>
        <v>nie</v>
      </c>
      <c r="AG64" s="2">
        <f t="shared" si="124"/>
        <v>1141</v>
      </c>
      <c r="AH64" s="1">
        <f t="shared" si="79"/>
        <v>0</v>
      </c>
      <c r="AI64" s="1">
        <f t="shared" si="111"/>
        <v>0</v>
      </c>
      <c r="AJ64" s="1">
        <f t="shared" si="155"/>
        <v>0</v>
      </c>
      <c r="AK64" s="6"/>
      <c r="AL64" s="2">
        <f t="shared" si="90"/>
        <v>0</v>
      </c>
      <c r="AM64" s="8">
        <f t="shared" si="160"/>
        <v>4.65E-2</v>
      </c>
      <c r="AN64" s="2">
        <f t="shared" si="91"/>
        <v>0</v>
      </c>
      <c r="AO64" s="2">
        <f t="shared" si="161"/>
        <v>0</v>
      </c>
      <c r="AP64" s="2">
        <f t="shared" si="119"/>
        <v>0</v>
      </c>
      <c r="AQ64" s="8">
        <f t="shared" si="112"/>
        <v>4.1300000000000003E-2</v>
      </c>
      <c r="AR64" s="2">
        <f t="shared" si="113"/>
        <v>0</v>
      </c>
      <c r="AS64" s="2">
        <f t="shared" si="114"/>
        <v>0</v>
      </c>
      <c r="AT64" s="2">
        <f t="shared" si="39"/>
        <v>0</v>
      </c>
      <c r="AU64" s="2">
        <f t="shared" si="92"/>
        <v>0</v>
      </c>
      <c r="AV64" s="2">
        <f t="shared" si="82"/>
        <v>53.345092499992461</v>
      </c>
      <c r="AW64" s="1">
        <f t="shared" si="158"/>
        <v>0</v>
      </c>
      <c r="AX64" s="2">
        <f t="shared" si="125"/>
        <v>53.345092499992461</v>
      </c>
      <c r="AY64" s="1">
        <f t="shared" si="83"/>
        <v>0</v>
      </c>
      <c r="AZ64" s="2">
        <f t="shared" si="40"/>
        <v>53.345092499992461</v>
      </c>
      <c r="BA64" s="2">
        <f t="shared" si="93"/>
        <v>118574.72009249999</v>
      </c>
      <c r="BB64" s="2">
        <f t="shared" si="126"/>
        <v>0</v>
      </c>
      <c r="BC64" s="2">
        <f t="shared" si="41"/>
        <v>346.28482763875002</v>
      </c>
      <c r="BD64" s="2">
        <f t="shared" si="10"/>
        <v>118228.43526486124</v>
      </c>
      <c r="BE64" s="2">
        <f t="shared" si="42"/>
        <v>1141</v>
      </c>
      <c r="BF64" s="2">
        <f t="shared" si="11"/>
        <v>3312.4068175749985</v>
      </c>
      <c r="BG64" s="2">
        <f t="shared" si="12"/>
        <v>113775.02844728624</v>
      </c>
      <c r="BI64" s="8">
        <f t="shared" si="162"/>
        <v>2.8000000000000001E-2</v>
      </c>
      <c r="BJ64" s="5">
        <f t="shared" si="148"/>
        <v>1000</v>
      </c>
      <c r="BK64" s="2">
        <f t="shared" si="149"/>
        <v>100000</v>
      </c>
      <c r="BL64" s="2">
        <f t="shared" si="150"/>
        <v>100000</v>
      </c>
      <c r="BM64" s="2">
        <f t="shared" si="127"/>
        <v>100000</v>
      </c>
      <c r="BN64" s="8">
        <f t="shared" si="128"/>
        <v>4.2999999999999997E-2</v>
      </c>
      <c r="BO64" s="2">
        <f t="shared" si="129"/>
        <v>103583.33333333334</v>
      </c>
      <c r="BP64" s="2" t="str">
        <f t="shared" si="130"/>
        <v>nie</v>
      </c>
      <c r="BQ64" s="2">
        <f t="shared" si="131"/>
        <v>2000</v>
      </c>
      <c r="BR64" s="1">
        <f t="shared" si="163"/>
        <v>47</v>
      </c>
      <c r="BS64" s="1">
        <f t="shared" si="115"/>
        <v>45</v>
      </c>
      <c r="BT64" s="1">
        <f t="shared" si="156"/>
        <v>50</v>
      </c>
      <c r="BU64" s="6"/>
      <c r="BV64" s="2">
        <f t="shared" si="94"/>
        <v>4700</v>
      </c>
      <c r="BW64" s="8">
        <f t="shared" si="164"/>
        <v>0.05</v>
      </c>
      <c r="BX64" s="2">
        <f t="shared" si="95"/>
        <v>4895.8333333333339</v>
      </c>
      <c r="BY64" s="2">
        <f t="shared" si="165"/>
        <v>94</v>
      </c>
      <c r="BZ64" s="2">
        <f t="shared" si="120"/>
        <v>9500</v>
      </c>
      <c r="CA64" s="8">
        <f t="shared" si="116"/>
        <v>4.2999999999999997E-2</v>
      </c>
      <c r="CB64" s="2">
        <f t="shared" si="117"/>
        <v>9840.4166666666679</v>
      </c>
      <c r="CC64" s="2">
        <f t="shared" si="118"/>
        <v>190</v>
      </c>
      <c r="CD64" s="2">
        <f t="shared" si="132"/>
        <v>0</v>
      </c>
      <c r="CE64" s="2">
        <f t="shared" si="96"/>
        <v>0</v>
      </c>
      <c r="CF64" s="2">
        <f t="shared" si="97"/>
        <v>89.999999999970896</v>
      </c>
      <c r="CG64" s="1">
        <f t="shared" si="159"/>
        <v>0</v>
      </c>
      <c r="CH64" s="2">
        <f t="shared" si="133"/>
        <v>89.999999999970896</v>
      </c>
      <c r="CI64" s="1">
        <f t="shared" si="89"/>
        <v>0</v>
      </c>
      <c r="CJ64" s="2">
        <f t="shared" si="98"/>
        <v>89.999999999970896</v>
      </c>
      <c r="CK64" s="2">
        <f t="shared" si="99"/>
        <v>118409.58333333331</v>
      </c>
      <c r="CL64" s="2">
        <f t="shared" si="134"/>
        <v>0</v>
      </c>
      <c r="CM64" s="2">
        <f t="shared" si="47"/>
        <v>346.71499999999992</v>
      </c>
      <c r="CN64" s="2">
        <f t="shared" si="135"/>
        <v>118062.86833333332</v>
      </c>
      <c r="CO64" s="2">
        <f t="shared" si="48"/>
        <v>2284</v>
      </c>
      <c r="CP64" s="2">
        <f t="shared" si="136"/>
        <v>3063.8608333333295</v>
      </c>
      <c r="CQ64" s="2">
        <f t="shared" si="137"/>
        <v>112715.00749999999</v>
      </c>
      <c r="CS64" s="5">
        <f t="shared" si="151"/>
        <v>1000</v>
      </c>
      <c r="CT64" s="2">
        <f t="shared" si="152"/>
        <v>100000</v>
      </c>
      <c r="CU64" s="2">
        <f t="shared" si="153"/>
        <v>100000</v>
      </c>
      <c r="CV64" s="2">
        <f t="shared" si="154"/>
        <v>115980.90240000001</v>
      </c>
      <c r="CW64" s="8">
        <f t="shared" si="138"/>
        <v>4.8000000000000001E-2</v>
      </c>
      <c r="CX64" s="2">
        <f t="shared" si="139"/>
        <v>120620.13849600001</v>
      </c>
      <c r="CY64" s="2" t="str">
        <f t="shared" si="140"/>
        <v>nie</v>
      </c>
      <c r="CZ64" s="2">
        <f t="shared" si="53"/>
        <v>0</v>
      </c>
      <c r="DA64" s="2">
        <f t="shared" si="54"/>
        <v>0</v>
      </c>
      <c r="DB64" s="2">
        <f t="shared" si="55"/>
        <v>120620.13849600001</v>
      </c>
      <c r="DC64" s="2">
        <f t="shared" si="141"/>
        <v>0</v>
      </c>
      <c r="DD64" s="2">
        <f t="shared" si="56"/>
        <v>351.0414336</v>
      </c>
      <c r="DE64" s="2">
        <f t="shared" si="57"/>
        <v>120269.09706240002</v>
      </c>
      <c r="DF64" s="2">
        <f t="shared" si="142"/>
        <v>3000</v>
      </c>
      <c r="DG64" s="2">
        <f t="shared" si="143"/>
        <v>3347.8263142400028</v>
      </c>
      <c r="DH64" s="2">
        <f t="shared" si="58"/>
        <v>113921.27074816002</v>
      </c>
    </row>
    <row r="65" spans="2:115">
      <c r="B65" s="228"/>
      <c r="C65" s="1">
        <f t="shared" si="102"/>
        <v>28</v>
      </c>
      <c r="D65" s="2">
        <f t="shared" si="105"/>
        <v>111038.5005275</v>
      </c>
      <c r="E65" s="2">
        <f t="shared" si="106"/>
        <v>108097.89249487501</v>
      </c>
      <c r="F65" s="2">
        <f t="shared" si="107"/>
        <v>110954.71999999999</v>
      </c>
      <c r="G65" s="2">
        <f t="shared" si="108"/>
        <v>107078.26999999999</v>
      </c>
      <c r="H65" s="2">
        <f t="shared" si="109"/>
        <v>112262.43072</v>
      </c>
      <c r="I65" s="2">
        <f t="shared" si="110"/>
        <v>107468.92556800001</v>
      </c>
      <c r="J65" s="2">
        <f t="shared" si="103"/>
        <v>108351.458586287</v>
      </c>
      <c r="K65" s="2">
        <f t="shared" si="104"/>
        <v>106664.73173333333</v>
      </c>
      <c r="W65" s="1">
        <f t="shared" si="144"/>
        <v>47</v>
      </c>
      <c r="X65" s="2">
        <f t="shared" si="121"/>
        <v>111425.75501013333</v>
      </c>
      <c r="Y65" s="8">
        <f t="shared" si="157"/>
        <v>4.1300000000000003E-2</v>
      </c>
      <c r="Z65" s="5">
        <f t="shared" si="145"/>
        <v>1141</v>
      </c>
      <c r="AA65" s="2">
        <f t="shared" si="146"/>
        <v>113985.90000000001</v>
      </c>
      <c r="AB65" s="2">
        <f t="shared" si="37"/>
        <v>114100</v>
      </c>
      <c r="AC65" s="2">
        <f t="shared" si="147"/>
        <v>114100</v>
      </c>
      <c r="AD65" s="8">
        <f t="shared" si="122"/>
        <v>4.65E-2</v>
      </c>
      <c r="AE65" s="2">
        <f t="shared" si="2"/>
        <v>118963.5125</v>
      </c>
      <c r="AF65" s="2" t="str">
        <f t="shared" si="123"/>
        <v>nie</v>
      </c>
      <c r="AG65" s="2">
        <f t="shared" si="124"/>
        <v>1141</v>
      </c>
      <c r="AH65" s="1">
        <f t="shared" si="79"/>
        <v>0</v>
      </c>
      <c r="AI65" s="1">
        <f t="shared" si="111"/>
        <v>0</v>
      </c>
      <c r="AJ65" s="1">
        <f t="shared" si="155"/>
        <v>0</v>
      </c>
      <c r="AK65" s="6"/>
      <c r="AL65" s="2">
        <f t="shared" si="90"/>
        <v>0</v>
      </c>
      <c r="AM65" s="8">
        <f t="shared" si="160"/>
        <v>4.65E-2</v>
      </c>
      <c r="AN65" s="2">
        <f t="shared" si="91"/>
        <v>0</v>
      </c>
      <c r="AO65" s="2">
        <f t="shared" si="161"/>
        <v>0</v>
      </c>
      <c r="AP65" s="2">
        <f t="shared" si="119"/>
        <v>0</v>
      </c>
      <c r="AQ65" s="8">
        <f t="shared" si="112"/>
        <v>4.1300000000000003E-2</v>
      </c>
      <c r="AR65" s="2">
        <f t="shared" si="113"/>
        <v>0</v>
      </c>
      <c r="AS65" s="2">
        <f t="shared" si="114"/>
        <v>0</v>
      </c>
      <c r="AT65" s="2">
        <f t="shared" si="39"/>
        <v>0</v>
      </c>
      <c r="AU65" s="2">
        <f t="shared" si="92"/>
        <v>0</v>
      </c>
      <c r="AV65" s="2">
        <f t="shared" si="82"/>
        <v>53.345092499992461</v>
      </c>
      <c r="AW65" s="1">
        <f t="shared" si="158"/>
        <v>0</v>
      </c>
      <c r="AX65" s="2">
        <f t="shared" si="125"/>
        <v>53.345092499992461</v>
      </c>
      <c r="AY65" s="1">
        <f t="shared" si="83"/>
        <v>0</v>
      </c>
      <c r="AZ65" s="2">
        <f t="shared" si="40"/>
        <v>53.345092499992461</v>
      </c>
      <c r="BA65" s="2">
        <f t="shared" si="93"/>
        <v>119016.85759249999</v>
      </c>
      <c r="BB65" s="2">
        <f t="shared" si="126"/>
        <v>0</v>
      </c>
      <c r="BC65" s="2">
        <f t="shared" si="41"/>
        <v>346.28482763875002</v>
      </c>
      <c r="BD65" s="2">
        <f t="shared" si="10"/>
        <v>118670.57276486124</v>
      </c>
      <c r="BE65" s="2">
        <f t="shared" si="42"/>
        <v>1141</v>
      </c>
      <c r="BF65" s="2">
        <f t="shared" si="11"/>
        <v>3396.4129425749979</v>
      </c>
      <c r="BG65" s="2">
        <f t="shared" si="12"/>
        <v>114133.15982228624</v>
      </c>
      <c r="BI65" s="8">
        <f t="shared" si="162"/>
        <v>2.8000000000000001E-2</v>
      </c>
      <c r="BJ65" s="5">
        <f t="shared" si="148"/>
        <v>1000</v>
      </c>
      <c r="BK65" s="2">
        <f t="shared" si="149"/>
        <v>100000</v>
      </c>
      <c r="BL65" s="2">
        <f t="shared" si="150"/>
        <v>100000</v>
      </c>
      <c r="BM65" s="2">
        <f t="shared" si="127"/>
        <v>100000</v>
      </c>
      <c r="BN65" s="8">
        <f t="shared" si="128"/>
        <v>4.2999999999999997E-2</v>
      </c>
      <c r="BO65" s="2">
        <f t="shared" si="129"/>
        <v>103941.66666666667</v>
      </c>
      <c r="BP65" s="2" t="str">
        <f t="shared" si="130"/>
        <v>nie</v>
      </c>
      <c r="BQ65" s="2">
        <f t="shared" si="131"/>
        <v>2000</v>
      </c>
      <c r="BR65" s="1">
        <f t="shared" si="163"/>
        <v>47</v>
      </c>
      <c r="BS65" s="1">
        <f t="shared" si="115"/>
        <v>45</v>
      </c>
      <c r="BT65" s="1">
        <f t="shared" si="156"/>
        <v>50</v>
      </c>
      <c r="BU65" s="6"/>
      <c r="BV65" s="2">
        <f t="shared" si="94"/>
        <v>4700</v>
      </c>
      <c r="BW65" s="8">
        <f t="shared" si="164"/>
        <v>0.05</v>
      </c>
      <c r="BX65" s="2">
        <f t="shared" si="95"/>
        <v>4915.416666666667</v>
      </c>
      <c r="BY65" s="2">
        <f t="shared" si="165"/>
        <v>94</v>
      </c>
      <c r="BZ65" s="2">
        <f t="shared" si="120"/>
        <v>9500</v>
      </c>
      <c r="CA65" s="8">
        <f t="shared" si="116"/>
        <v>4.2999999999999997E-2</v>
      </c>
      <c r="CB65" s="2">
        <f t="shared" si="117"/>
        <v>9874.4583333333339</v>
      </c>
      <c r="CC65" s="2">
        <f t="shared" si="118"/>
        <v>190</v>
      </c>
      <c r="CD65" s="2">
        <f t="shared" si="132"/>
        <v>0</v>
      </c>
      <c r="CE65" s="2">
        <f t="shared" si="96"/>
        <v>0</v>
      </c>
      <c r="CF65" s="2">
        <f t="shared" si="97"/>
        <v>89.999999999970896</v>
      </c>
      <c r="CG65" s="1">
        <f t="shared" si="159"/>
        <v>0</v>
      </c>
      <c r="CH65" s="2">
        <f t="shared" si="133"/>
        <v>89.999999999970896</v>
      </c>
      <c r="CI65" s="1">
        <f t="shared" si="89"/>
        <v>0</v>
      </c>
      <c r="CJ65" s="2">
        <f t="shared" si="98"/>
        <v>89.999999999970896</v>
      </c>
      <c r="CK65" s="2">
        <f t="shared" si="99"/>
        <v>118821.54166666664</v>
      </c>
      <c r="CL65" s="2">
        <f t="shared" si="134"/>
        <v>0</v>
      </c>
      <c r="CM65" s="2">
        <f t="shared" si="47"/>
        <v>346.71499999999992</v>
      </c>
      <c r="CN65" s="2">
        <f t="shared" si="135"/>
        <v>118474.82666666665</v>
      </c>
      <c r="CO65" s="2">
        <f t="shared" si="48"/>
        <v>2284</v>
      </c>
      <c r="CP65" s="2">
        <f t="shared" si="136"/>
        <v>3142.1329166666619</v>
      </c>
      <c r="CQ65" s="2">
        <f t="shared" si="137"/>
        <v>113048.69374999998</v>
      </c>
      <c r="CS65" s="5">
        <f t="shared" si="151"/>
        <v>1000</v>
      </c>
      <c r="CT65" s="2">
        <f t="shared" si="152"/>
        <v>100000</v>
      </c>
      <c r="CU65" s="2">
        <f t="shared" si="153"/>
        <v>100000</v>
      </c>
      <c r="CV65" s="2">
        <f t="shared" si="154"/>
        <v>115980.90240000001</v>
      </c>
      <c r="CW65" s="8">
        <f t="shared" si="138"/>
        <v>4.8000000000000001E-2</v>
      </c>
      <c r="CX65" s="2">
        <f t="shared" si="139"/>
        <v>121084.06210560001</v>
      </c>
      <c r="CY65" s="2" t="str">
        <f t="shared" si="140"/>
        <v>nie</v>
      </c>
      <c r="CZ65" s="2">
        <f t="shared" si="53"/>
        <v>0</v>
      </c>
      <c r="DA65" s="2">
        <f t="shared" si="54"/>
        <v>0</v>
      </c>
      <c r="DB65" s="2">
        <f t="shared" si="55"/>
        <v>121084.06210560001</v>
      </c>
      <c r="DC65" s="2">
        <f t="shared" si="141"/>
        <v>0</v>
      </c>
      <c r="DD65" s="2">
        <f t="shared" si="56"/>
        <v>351.0414336</v>
      </c>
      <c r="DE65" s="2">
        <f t="shared" si="57"/>
        <v>120733.02067200001</v>
      </c>
      <c r="DF65" s="2">
        <f t="shared" si="142"/>
        <v>3000</v>
      </c>
      <c r="DG65" s="2">
        <f t="shared" si="143"/>
        <v>3435.9718000640019</v>
      </c>
      <c r="DH65" s="2">
        <f t="shared" si="58"/>
        <v>114297.04887193601</v>
      </c>
    </row>
    <row r="66" spans="2:115">
      <c r="B66" s="228"/>
      <c r="C66" s="1">
        <f t="shared" si="102"/>
        <v>29</v>
      </c>
      <c r="D66" s="2">
        <f t="shared" si="105"/>
        <v>111462.87589937498</v>
      </c>
      <c r="E66" s="2">
        <f t="shared" si="106"/>
        <v>108441.63654609374</v>
      </c>
      <c r="F66" s="2">
        <f t="shared" si="107"/>
        <v>111349.71999999997</v>
      </c>
      <c r="G66" s="2">
        <f t="shared" si="108"/>
        <v>107386.06999999998</v>
      </c>
      <c r="H66" s="2">
        <f t="shared" si="109"/>
        <v>112705.10592</v>
      </c>
      <c r="I66" s="2">
        <f t="shared" si="110"/>
        <v>107827.49248</v>
      </c>
      <c r="J66" s="2">
        <f t="shared" si="103"/>
        <v>108662.29183310641</v>
      </c>
      <c r="K66" s="2">
        <f t="shared" si="104"/>
        <v>106911.31466666667</v>
      </c>
      <c r="W66" s="1">
        <f t="shared" si="144"/>
        <v>48</v>
      </c>
      <c r="X66" s="2">
        <f t="shared" si="121"/>
        <v>111679.2422656</v>
      </c>
      <c r="Y66" s="8">
        <f t="shared" si="157"/>
        <v>4.1300000000000003E-2</v>
      </c>
      <c r="Z66" s="5">
        <f t="shared" si="145"/>
        <v>1141</v>
      </c>
      <c r="AA66" s="2">
        <f t="shared" si="146"/>
        <v>113985.90000000001</v>
      </c>
      <c r="AB66" s="2">
        <f t="shared" si="37"/>
        <v>114100</v>
      </c>
      <c r="AC66" s="2">
        <f t="shared" si="147"/>
        <v>114100</v>
      </c>
      <c r="AD66" s="8">
        <f t="shared" si="122"/>
        <v>4.65E-2</v>
      </c>
      <c r="AE66" s="2">
        <f t="shared" si="2"/>
        <v>119405.65</v>
      </c>
      <c r="AF66" s="2" t="str">
        <f t="shared" si="123"/>
        <v>nie</v>
      </c>
      <c r="AG66" s="2">
        <f t="shared" si="124"/>
        <v>1141</v>
      </c>
      <c r="AH66" s="1">
        <f t="shared" si="79"/>
        <v>0</v>
      </c>
      <c r="AI66" s="1">
        <f t="shared" si="111"/>
        <v>0</v>
      </c>
      <c r="AJ66" s="1">
        <f t="shared" si="155"/>
        <v>0</v>
      </c>
      <c r="AK66" s="6"/>
      <c r="AL66" s="2">
        <f t="shared" si="90"/>
        <v>0</v>
      </c>
      <c r="AM66" s="8">
        <f t="shared" si="160"/>
        <v>4.65E-2</v>
      </c>
      <c r="AN66" s="2">
        <f t="shared" si="91"/>
        <v>0</v>
      </c>
      <c r="AO66" s="2">
        <f t="shared" si="161"/>
        <v>0</v>
      </c>
      <c r="AP66" s="2">
        <f t="shared" si="119"/>
        <v>0</v>
      </c>
      <c r="AQ66" s="8">
        <f t="shared" si="112"/>
        <v>4.1300000000000003E-2</v>
      </c>
      <c r="AR66" s="2">
        <f t="shared" si="113"/>
        <v>0</v>
      </c>
      <c r="AS66" s="2">
        <f t="shared" si="114"/>
        <v>0</v>
      </c>
      <c r="AT66" s="2">
        <f t="shared" si="39"/>
        <v>0</v>
      </c>
      <c r="AU66" s="2">
        <f t="shared" si="92"/>
        <v>0</v>
      </c>
      <c r="AV66" s="2">
        <f t="shared" si="82"/>
        <v>53.345092499992461</v>
      </c>
      <c r="AW66" s="1">
        <f t="shared" si="158"/>
        <v>0</v>
      </c>
      <c r="AX66" s="2">
        <f t="shared" si="125"/>
        <v>53.345092499992461</v>
      </c>
      <c r="AY66" s="1">
        <f t="shared" si="83"/>
        <v>0</v>
      </c>
      <c r="AZ66" s="2">
        <f t="shared" si="40"/>
        <v>53.345092499992461</v>
      </c>
      <c r="BA66" s="2">
        <f t="shared" si="93"/>
        <v>119458.99509249999</v>
      </c>
      <c r="BB66" s="2">
        <f t="shared" si="126"/>
        <v>167.24259312949997</v>
      </c>
      <c r="BC66" s="2">
        <f t="shared" si="41"/>
        <v>513.52742076824995</v>
      </c>
      <c r="BD66" s="2">
        <f t="shared" si="10"/>
        <v>118945.46767173173</v>
      </c>
      <c r="BE66" s="2">
        <f t="shared" si="42"/>
        <v>1141</v>
      </c>
      <c r="BF66" s="2">
        <f t="shared" si="11"/>
        <v>3480.4190675749974</v>
      </c>
      <c r="BG66" s="2">
        <f t="shared" si="12"/>
        <v>114324.04860415673</v>
      </c>
      <c r="BI66" s="8">
        <f t="shared" si="162"/>
        <v>2.8000000000000001E-2</v>
      </c>
      <c r="BJ66" s="5">
        <f t="shared" si="148"/>
        <v>1000</v>
      </c>
      <c r="BK66" s="2">
        <f t="shared" si="149"/>
        <v>100000</v>
      </c>
      <c r="BL66" s="2">
        <f t="shared" si="150"/>
        <v>100000</v>
      </c>
      <c r="BM66" s="2">
        <f t="shared" si="127"/>
        <v>100000</v>
      </c>
      <c r="BN66" s="8">
        <f t="shared" si="128"/>
        <v>4.2999999999999997E-2</v>
      </c>
      <c r="BO66" s="2">
        <f t="shared" si="129"/>
        <v>104299.99999999999</v>
      </c>
      <c r="BP66" s="2" t="str">
        <f t="shared" si="130"/>
        <v>tak</v>
      </c>
      <c r="BQ66" s="2">
        <f t="shared" si="131"/>
        <v>0</v>
      </c>
      <c r="BR66" s="1">
        <f t="shared" si="163"/>
        <v>47</v>
      </c>
      <c r="BS66" s="1">
        <f t="shared" si="115"/>
        <v>45</v>
      </c>
      <c r="BT66" s="1">
        <f t="shared" si="156"/>
        <v>50</v>
      </c>
      <c r="BU66" s="6"/>
      <c r="BV66" s="2">
        <f t="shared" si="94"/>
        <v>4700</v>
      </c>
      <c r="BW66" s="8">
        <f t="shared" si="164"/>
        <v>0.05</v>
      </c>
      <c r="BX66" s="2">
        <f t="shared" si="95"/>
        <v>4935</v>
      </c>
      <c r="BY66" s="2">
        <f t="shared" si="165"/>
        <v>94</v>
      </c>
      <c r="BZ66" s="2">
        <f t="shared" si="120"/>
        <v>9500</v>
      </c>
      <c r="CA66" s="8">
        <f t="shared" si="116"/>
        <v>4.2999999999999997E-2</v>
      </c>
      <c r="CB66" s="2">
        <f t="shared" si="117"/>
        <v>9908.5</v>
      </c>
      <c r="CC66" s="2">
        <f t="shared" si="118"/>
        <v>190</v>
      </c>
      <c r="CD66" s="2">
        <f t="shared" si="132"/>
        <v>4.3999999999796273</v>
      </c>
      <c r="CE66" s="2">
        <f t="shared" si="96"/>
        <v>643.5</v>
      </c>
      <c r="CF66" s="2">
        <f t="shared" si="97"/>
        <v>737.89999999995052</v>
      </c>
      <c r="CG66" s="1">
        <f t="shared" si="159"/>
        <v>0</v>
      </c>
      <c r="CH66" s="2">
        <f t="shared" si="133"/>
        <v>737.89999999995052</v>
      </c>
      <c r="CI66" s="1">
        <f t="shared" si="89"/>
        <v>7</v>
      </c>
      <c r="CJ66" s="2">
        <f t="shared" si="98"/>
        <v>37.899999999950523</v>
      </c>
      <c r="CK66" s="2">
        <f t="shared" si="99"/>
        <v>119233.49999999996</v>
      </c>
      <c r="CL66" s="2">
        <f t="shared" si="134"/>
        <v>166.92689999999993</v>
      </c>
      <c r="CM66" s="2">
        <f t="shared" si="47"/>
        <v>513.64189999999985</v>
      </c>
      <c r="CN66" s="2">
        <f t="shared" si="135"/>
        <v>118719.85809999995</v>
      </c>
      <c r="CO66" s="2">
        <f t="shared" si="48"/>
        <v>284</v>
      </c>
      <c r="CP66" s="2">
        <f t="shared" si="136"/>
        <v>3600.4049999999916</v>
      </c>
      <c r="CQ66" s="2">
        <f t="shared" si="137"/>
        <v>114835.45309999996</v>
      </c>
      <c r="CS66" s="5">
        <f t="shared" si="151"/>
        <v>1000</v>
      </c>
      <c r="CT66" s="2">
        <f t="shared" si="152"/>
        <v>100000</v>
      </c>
      <c r="CU66" s="2">
        <f t="shared" si="153"/>
        <v>100000</v>
      </c>
      <c r="CV66" s="2">
        <f t="shared" si="154"/>
        <v>115980.90240000001</v>
      </c>
      <c r="CW66" s="8">
        <f t="shared" si="138"/>
        <v>4.8000000000000001E-2</v>
      </c>
      <c r="CX66" s="2">
        <f t="shared" si="139"/>
        <v>121547.98571520002</v>
      </c>
      <c r="CY66" s="2" t="str">
        <f t="shared" si="140"/>
        <v>nie</v>
      </c>
      <c r="CZ66" s="2">
        <f t="shared" si="53"/>
        <v>0</v>
      </c>
      <c r="DA66" s="2">
        <f t="shared" si="54"/>
        <v>0</v>
      </c>
      <c r="DB66" s="2">
        <f t="shared" si="55"/>
        <v>121547.98571520002</v>
      </c>
      <c r="DC66" s="2">
        <f t="shared" si="141"/>
        <v>170.16718000128003</v>
      </c>
      <c r="DD66" s="2">
        <f t="shared" si="56"/>
        <v>521.20861360128004</v>
      </c>
      <c r="DE66" s="2">
        <f t="shared" si="57"/>
        <v>121026.77710159874</v>
      </c>
      <c r="DF66" s="2">
        <f t="shared" si="142"/>
        <v>3000</v>
      </c>
      <c r="DG66" s="2">
        <f t="shared" si="143"/>
        <v>3524.1172858880036</v>
      </c>
      <c r="DH66" s="2">
        <f t="shared" si="58"/>
        <v>114502.65981571074</v>
      </c>
      <c r="DJ66" s="14"/>
      <c r="DK66" s="14"/>
    </row>
    <row r="67" spans="2:115">
      <c r="B67" s="228"/>
      <c r="C67" s="1">
        <f t="shared" si="102"/>
        <v>30</v>
      </c>
      <c r="D67" s="2">
        <f t="shared" si="105"/>
        <v>111887.25127124999</v>
      </c>
      <c r="E67" s="2">
        <f t="shared" si="106"/>
        <v>108785.3805973125</v>
      </c>
      <c r="F67" s="2">
        <f t="shared" si="107"/>
        <v>111744.72</v>
      </c>
      <c r="G67" s="2">
        <f t="shared" si="108"/>
        <v>107706.02</v>
      </c>
      <c r="H67" s="2">
        <f t="shared" si="109"/>
        <v>113147.78112</v>
      </c>
      <c r="I67" s="2">
        <f t="shared" si="110"/>
        <v>108186.059392</v>
      </c>
      <c r="J67" s="2">
        <f t="shared" si="103"/>
        <v>108974.01678280263</v>
      </c>
      <c r="K67" s="2">
        <f t="shared" si="104"/>
        <v>107157.8976</v>
      </c>
      <c r="W67" s="1">
        <f t="shared" si="144"/>
        <v>49</v>
      </c>
      <c r="X67" s="2">
        <f t="shared" si="121"/>
        <v>111939.82716421972</v>
      </c>
      <c r="Y67" s="8">
        <f t="shared" si="157"/>
        <v>4.1300000000000003E-2</v>
      </c>
      <c r="Z67" s="5">
        <f t="shared" si="145"/>
        <v>1141</v>
      </c>
      <c r="AA67" s="2">
        <f t="shared" si="146"/>
        <v>113985.90000000001</v>
      </c>
      <c r="AB67" s="2">
        <f t="shared" si="37"/>
        <v>114100</v>
      </c>
      <c r="AC67" s="2">
        <f t="shared" si="147"/>
        <v>119405.65</v>
      </c>
      <c r="AD67" s="8">
        <f t="shared" si="122"/>
        <v>4.65E-2</v>
      </c>
      <c r="AE67" s="2">
        <f t="shared" si="2"/>
        <v>119868.34689375</v>
      </c>
      <c r="AF67" s="2" t="str">
        <f t="shared" si="123"/>
        <v>nie</v>
      </c>
      <c r="AG67" s="2">
        <f t="shared" si="124"/>
        <v>1141</v>
      </c>
      <c r="AH67" s="1">
        <f t="shared" si="79"/>
        <v>0</v>
      </c>
      <c r="AI67" s="1">
        <f t="shared" si="111"/>
        <v>0</v>
      </c>
      <c r="AJ67" s="1">
        <f t="shared" si="155"/>
        <v>0</v>
      </c>
      <c r="AK67" s="1">
        <f t="shared" ref="AK67:AK98" si="166">IF(zapadalnosc_TOS/12&gt;=AK$18,AJ55,0)</f>
        <v>0</v>
      </c>
      <c r="AL67" s="2">
        <f t="shared" si="90"/>
        <v>0</v>
      </c>
      <c r="AM67" s="8">
        <f t="shared" si="160"/>
        <v>4.65E-2</v>
      </c>
      <c r="AN67" s="2">
        <f t="shared" si="91"/>
        <v>0</v>
      </c>
      <c r="AO67" s="2">
        <f t="shared" si="161"/>
        <v>0</v>
      </c>
      <c r="AP67" s="2">
        <f t="shared" si="119"/>
        <v>0</v>
      </c>
      <c r="AQ67" s="8">
        <f t="shared" si="112"/>
        <v>4.1300000000000003E-2</v>
      </c>
      <c r="AR67" s="2">
        <f t="shared" si="113"/>
        <v>0</v>
      </c>
      <c r="AS67" s="2">
        <f t="shared" si="114"/>
        <v>0</v>
      </c>
      <c r="AT67" s="2">
        <f t="shared" si="39"/>
        <v>0</v>
      </c>
      <c r="AU67" s="2">
        <f t="shared" si="92"/>
        <v>0</v>
      </c>
      <c r="AV67" s="2">
        <f t="shared" si="82"/>
        <v>53.345092499992461</v>
      </c>
      <c r="AW67" s="1">
        <f t="shared" si="158"/>
        <v>0</v>
      </c>
      <c r="AX67" s="2">
        <f t="shared" si="125"/>
        <v>53.345092499992461</v>
      </c>
      <c r="AY67" s="1">
        <f t="shared" si="83"/>
        <v>0</v>
      </c>
      <c r="AZ67" s="2">
        <f t="shared" si="40"/>
        <v>53.345092499992461</v>
      </c>
      <c r="BA67" s="2">
        <f t="shared" si="93"/>
        <v>119921.69198624999</v>
      </c>
      <c r="BB67" s="2">
        <f t="shared" si="126"/>
        <v>0</v>
      </c>
      <c r="BC67" s="2">
        <f t="shared" si="41"/>
        <v>513.52742076824995</v>
      </c>
      <c r="BD67" s="2">
        <f t="shared" si="10"/>
        <v>119408.16456548174</v>
      </c>
      <c r="BE67" s="2">
        <f t="shared" si="42"/>
        <v>1141</v>
      </c>
      <c r="BF67" s="2">
        <f t="shared" si="11"/>
        <v>3568.3314773874986</v>
      </c>
      <c r="BG67" s="2">
        <f t="shared" si="12"/>
        <v>114698.83308809424</v>
      </c>
      <c r="BI67" s="8">
        <f t="shared" si="162"/>
        <v>2.8000000000000001E-2</v>
      </c>
      <c r="BJ67" s="5">
        <f t="shared" si="148"/>
        <v>1044</v>
      </c>
      <c r="BK67" s="2">
        <f t="shared" si="149"/>
        <v>104295.6</v>
      </c>
      <c r="BL67" s="2">
        <f t="shared" si="150"/>
        <v>104400</v>
      </c>
      <c r="BM67" s="2">
        <f t="shared" si="127"/>
        <v>104400</v>
      </c>
      <c r="BN67" s="8">
        <f t="shared" si="128"/>
        <v>0.05</v>
      </c>
      <c r="BO67" s="2">
        <f t="shared" si="129"/>
        <v>104835</v>
      </c>
      <c r="BP67" s="2" t="str">
        <f t="shared" si="130"/>
        <v>nie</v>
      </c>
      <c r="BQ67" s="2">
        <f t="shared" si="131"/>
        <v>435</v>
      </c>
      <c r="BR67" s="1">
        <f t="shared" si="163"/>
        <v>7</v>
      </c>
      <c r="BS67" s="1">
        <f t="shared" si="115"/>
        <v>47</v>
      </c>
      <c r="BT67" s="1">
        <f t="shared" si="156"/>
        <v>45</v>
      </c>
      <c r="BU67" s="1">
        <f t="shared" ref="BU67:BU98" si="167">IF(zapadalnosc_COI/12&gt;=BU$18,BT55,0)</f>
        <v>50</v>
      </c>
      <c r="BV67" s="2">
        <f t="shared" si="94"/>
        <v>700</v>
      </c>
      <c r="BW67" s="8">
        <f t="shared" si="164"/>
        <v>0.05</v>
      </c>
      <c r="BX67" s="2">
        <f t="shared" si="95"/>
        <v>702.91666666666663</v>
      </c>
      <c r="BY67" s="2">
        <f t="shared" si="165"/>
        <v>2.9166666666666288</v>
      </c>
      <c r="BZ67" s="2">
        <f t="shared" si="120"/>
        <v>14200</v>
      </c>
      <c r="CA67" s="8">
        <f t="shared" si="116"/>
        <v>4.2999999999999997E-2</v>
      </c>
      <c r="CB67" s="2">
        <f t="shared" si="117"/>
        <v>14250.883333333333</v>
      </c>
      <c r="CC67" s="2">
        <f t="shared" si="118"/>
        <v>284</v>
      </c>
      <c r="CD67" s="2">
        <f t="shared" si="132"/>
        <v>0</v>
      </c>
      <c r="CE67" s="2">
        <f t="shared" si="96"/>
        <v>0</v>
      </c>
      <c r="CF67" s="2">
        <f t="shared" si="97"/>
        <v>37.899999999950523</v>
      </c>
      <c r="CG67" s="1">
        <f t="shared" si="159"/>
        <v>0</v>
      </c>
      <c r="CH67" s="2">
        <f t="shared" si="133"/>
        <v>37.899999999950523</v>
      </c>
      <c r="CI67" s="1">
        <f t="shared" si="89"/>
        <v>0</v>
      </c>
      <c r="CJ67" s="2">
        <f t="shared" si="98"/>
        <v>37.899999999950523</v>
      </c>
      <c r="CK67" s="2">
        <f t="shared" si="99"/>
        <v>119826.69999999995</v>
      </c>
      <c r="CL67" s="2">
        <f t="shared" si="134"/>
        <v>0</v>
      </c>
      <c r="CM67" s="2">
        <f t="shared" si="47"/>
        <v>513.64189999999985</v>
      </c>
      <c r="CN67" s="2">
        <f t="shared" si="135"/>
        <v>119313.05809999995</v>
      </c>
      <c r="CO67" s="2">
        <f t="shared" si="48"/>
        <v>721.91666666666663</v>
      </c>
      <c r="CP67" s="2">
        <f t="shared" si="136"/>
        <v>3629.9088333333234</v>
      </c>
      <c r="CQ67" s="2">
        <f t="shared" si="137"/>
        <v>114961.23259999996</v>
      </c>
      <c r="CS67" s="5">
        <f t="shared" si="151"/>
        <v>1000</v>
      </c>
      <c r="CT67" s="2">
        <f t="shared" si="152"/>
        <v>100000</v>
      </c>
      <c r="CU67" s="2">
        <f t="shared" si="153"/>
        <v>100000</v>
      </c>
      <c r="CV67" s="2">
        <f t="shared" si="154"/>
        <v>121547.98571520002</v>
      </c>
      <c r="CW67" s="8">
        <f t="shared" si="138"/>
        <v>4.8000000000000001E-2</v>
      </c>
      <c r="CX67" s="2">
        <f t="shared" si="139"/>
        <v>122034.17765806081</v>
      </c>
      <c r="CY67" s="2" t="str">
        <f t="shared" si="140"/>
        <v>nie</v>
      </c>
      <c r="CZ67" s="2">
        <f t="shared" si="53"/>
        <v>0</v>
      </c>
      <c r="DA67" s="2">
        <f t="shared" si="54"/>
        <v>0</v>
      </c>
      <c r="DB67" s="2">
        <f t="shared" si="55"/>
        <v>122034.17765806081</v>
      </c>
      <c r="DC67" s="2">
        <f t="shared" si="141"/>
        <v>0</v>
      </c>
      <c r="DD67" s="2">
        <f t="shared" si="56"/>
        <v>521.20861360128004</v>
      </c>
      <c r="DE67" s="2">
        <f t="shared" si="57"/>
        <v>121512.96904445953</v>
      </c>
      <c r="DF67" s="2">
        <f t="shared" si="142"/>
        <v>3000</v>
      </c>
      <c r="DG67" s="2">
        <f t="shared" si="143"/>
        <v>3616.4937550315544</v>
      </c>
      <c r="DH67" s="2">
        <f t="shared" si="58"/>
        <v>114896.47528942798</v>
      </c>
    </row>
    <row r="68" spans="2:115">
      <c r="B68" s="228"/>
      <c r="C68" s="1">
        <f t="shared" si="102"/>
        <v>31</v>
      </c>
      <c r="D68" s="2">
        <f t="shared" si="105"/>
        <v>112311.626643125</v>
      </c>
      <c r="E68" s="2">
        <f t="shared" si="106"/>
        <v>109129.12464853124</v>
      </c>
      <c r="F68" s="2">
        <f t="shared" si="107"/>
        <v>112139.71999999999</v>
      </c>
      <c r="G68" s="2">
        <f t="shared" si="108"/>
        <v>108025.96999999999</v>
      </c>
      <c r="H68" s="2">
        <f t="shared" si="109"/>
        <v>113590.45632</v>
      </c>
      <c r="I68" s="2">
        <f t="shared" si="110"/>
        <v>108544.62630399999</v>
      </c>
      <c r="J68" s="2">
        <f t="shared" si="103"/>
        <v>109286.63599344829</v>
      </c>
      <c r="K68" s="2">
        <f t="shared" si="104"/>
        <v>107404.48053333332</v>
      </c>
      <c r="W68" s="1">
        <f t="shared" si="144"/>
        <v>50</v>
      </c>
      <c r="X68" s="2">
        <f t="shared" si="121"/>
        <v>112200.41206283946</v>
      </c>
      <c r="Y68" s="8">
        <f t="shared" si="157"/>
        <v>4.1300000000000003E-2</v>
      </c>
      <c r="Z68" s="5">
        <f t="shared" si="145"/>
        <v>1141</v>
      </c>
      <c r="AA68" s="2">
        <f t="shared" si="146"/>
        <v>113985.90000000001</v>
      </c>
      <c r="AB68" s="2">
        <f t="shared" si="37"/>
        <v>114100</v>
      </c>
      <c r="AC68" s="2">
        <f t="shared" si="147"/>
        <v>119405.65</v>
      </c>
      <c r="AD68" s="8">
        <f t="shared" si="122"/>
        <v>4.65E-2</v>
      </c>
      <c r="AE68" s="2">
        <f t="shared" si="2"/>
        <v>120331.04378749999</v>
      </c>
      <c r="AF68" s="2" t="str">
        <f t="shared" si="123"/>
        <v>nie</v>
      </c>
      <c r="AG68" s="2">
        <f t="shared" si="124"/>
        <v>1141</v>
      </c>
      <c r="AH68" s="1">
        <f t="shared" si="79"/>
        <v>0</v>
      </c>
      <c r="AI68" s="1">
        <f t="shared" si="111"/>
        <v>0</v>
      </c>
      <c r="AJ68" s="1">
        <f t="shared" si="155"/>
        <v>0</v>
      </c>
      <c r="AK68" s="1">
        <f t="shared" si="166"/>
        <v>0</v>
      </c>
      <c r="AL68" s="2">
        <f t="shared" si="90"/>
        <v>0</v>
      </c>
      <c r="AM68" s="8">
        <f t="shared" si="160"/>
        <v>4.65E-2</v>
      </c>
      <c r="AN68" s="2">
        <f t="shared" si="91"/>
        <v>0</v>
      </c>
      <c r="AO68" s="2">
        <f t="shared" si="161"/>
        <v>0</v>
      </c>
      <c r="AP68" s="2">
        <f t="shared" si="119"/>
        <v>0</v>
      </c>
      <c r="AQ68" s="8">
        <f t="shared" si="112"/>
        <v>4.1300000000000003E-2</v>
      </c>
      <c r="AR68" s="2">
        <f t="shared" si="113"/>
        <v>0</v>
      </c>
      <c r="AS68" s="2">
        <f t="shared" si="114"/>
        <v>0</v>
      </c>
      <c r="AT68" s="2">
        <f t="shared" si="39"/>
        <v>0</v>
      </c>
      <c r="AU68" s="2">
        <f t="shared" si="92"/>
        <v>0</v>
      </c>
      <c r="AV68" s="2">
        <f t="shared" si="82"/>
        <v>53.345092499992461</v>
      </c>
      <c r="AW68" s="1">
        <f t="shared" si="158"/>
        <v>0</v>
      </c>
      <c r="AX68" s="2">
        <f t="shared" si="125"/>
        <v>53.345092499992461</v>
      </c>
      <c r="AY68" s="1">
        <f t="shared" si="83"/>
        <v>0</v>
      </c>
      <c r="AZ68" s="2">
        <f t="shared" si="40"/>
        <v>53.345092499992461</v>
      </c>
      <c r="BA68" s="2">
        <f t="shared" si="93"/>
        <v>120384.38887999998</v>
      </c>
      <c r="BB68" s="2">
        <f t="shared" si="126"/>
        <v>0</v>
      </c>
      <c r="BC68" s="2">
        <f t="shared" si="41"/>
        <v>513.52742076824995</v>
      </c>
      <c r="BD68" s="2">
        <f t="shared" si="10"/>
        <v>119870.86145923173</v>
      </c>
      <c r="BE68" s="2">
        <f t="shared" si="42"/>
        <v>1141</v>
      </c>
      <c r="BF68" s="2">
        <f t="shared" si="11"/>
        <v>3656.2438871999971</v>
      </c>
      <c r="BG68" s="2">
        <f t="shared" si="12"/>
        <v>115073.61757203174</v>
      </c>
      <c r="BI68" s="8">
        <f t="shared" si="162"/>
        <v>2.8000000000000001E-2</v>
      </c>
      <c r="BJ68" s="5">
        <f t="shared" si="148"/>
        <v>1044</v>
      </c>
      <c r="BK68" s="2">
        <f t="shared" si="149"/>
        <v>104295.6</v>
      </c>
      <c r="BL68" s="2">
        <f t="shared" si="150"/>
        <v>104400</v>
      </c>
      <c r="BM68" s="2">
        <f t="shared" si="127"/>
        <v>104400</v>
      </c>
      <c r="BN68" s="8">
        <f t="shared" si="128"/>
        <v>0.05</v>
      </c>
      <c r="BO68" s="2">
        <f t="shared" si="129"/>
        <v>105270</v>
      </c>
      <c r="BP68" s="2" t="str">
        <f t="shared" si="130"/>
        <v>nie</v>
      </c>
      <c r="BQ68" s="2">
        <f t="shared" si="131"/>
        <v>870</v>
      </c>
      <c r="BR68" s="1">
        <f t="shared" si="163"/>
        <v>7</v>
      </c>
      <c r="BS68" s="1">
        <f t="shared" si="115"/>
        <v>47</v>
      </c>
      <c r="BT68" s="1">
        <f t="shared" si="156"/>
        <v>45</v>
      </c>
      <c r="BU68" s="1">
        <f t="shared" si="167"/>
        <v>50</v>
      </c>
      <c r="BV68" s="2">
        <f t="shared" si="94"/>
        <v>700</v>
      </c>
      <c r="BW68" s="8">
        <f t="shared" si="164"/>
        <v>0.05</v>
      </c>
      <c r="BX68" s="2">
        <f t="shared" si="95"/>
        <v>705.83333333333326</v>
      </c>
      <c r="BY68" s="2">
        <f t="shared" si="165"/>
        <v>5.8333333333332575</v>
      </c>
      <c r="BZ68" s="2">
        <f t="shared" si="120"/>
        <v>14200</v>
      </c>
      <c r="CA68" s="8">
        <f t="shared" si="116"/>
        <v>4.2999999999999997E-2</v>
      </c>
      <c r="CB68" s="2">
        <f t="shared" si="117"/>
        <v>14301.766666666668</v>
      </c>
      <c r="CC68" s="2">
        <f t="shared" si="118"/>
        <v>284</v>
      </c>
      <c r="CD68" s="2">
        <f t="shared" si="132"/>
        <v>0</v>
      </c>
      <c r="CE68" s="2">
        <f t="shared" si="96"/>
        <v>0</v>
      </c>
      <c r="CF68" s="2">
        <f t="shared" si="97"/>
        <v>37.899999999950523</v>
      </c>
      <c r="CG68" s="1">
        <f t="shared" si="159"/>
        <v>0</v>
      </c>
      <c r="CH68" s="2">
        <f t="shared" si="133"/>
        <v>37.899999999950523</v>
      </c>
      <c r="CI68" s="1">
        <f t="shared" si="89"/>
        <v>0</v>
      </c>
      <c r="CJ68" s="2">
        <f t="shared" si="98"/>
        <v>37.899999999950523</v>
      </c>
      <c r="CK68" s="2">
        <f t="shared" si="99"/>
        <v>120315.49999999994</v>
      </c>
      <c r="CL68" s="2">
        <f t="shared" si="134"/>
        <v>0</v>
      </c>
      <c r="CM68" s="2">
        <f t="shared" si="47"/>
        <v>513.64189999999985</v>
      </c>
      <c r="CN68" s="2">
        <f t="shared" si="135"/>
        <v>119801.85809999994</v>
      </c>
      <c r="CO68" s="2">
        <f t="shared" si="48"/>
        <v>1159.8333333333333</v>
      </c>
      <c r="CP68" s="2">
        <f t="shared" si="136"/>
        <v>3639.5766666666564</v>
      </c>
      <c r="CQ68" s="2">
        <f t="shared" si="137"/>
        <v>115002.44809999995</v>
      </c>
      <c r="CS68" s="5">
        <f t="shared" si="151"/>
        <v>1000</v>
      </c>
      <c r="CT68" s="2">
        <f t="shared" si="152"/>
        <v>100000</v>
      </c>
      <c r="CU68" s="2">
        <f t="shared" si="153"/>
        <v>100000</v>
      </c>
      <c r="CV68" s="2">
        <f t="shared" si="154"/>
        <v>121547.98571520002</v>
      </c>
      <c r="CW68" s="8">
        <f t="shared" si="138"/>
        <v>4.8000000000000001E-2</v>
      </c>
      <c r="CX68" s="2">
        <f t="shared" si="139"/>
        <v>122520.36960092162</v>
      </c>
      <c r="CY68" s="2" t="str">
        <f t="shared" si="140"/>
        <v>nie</v>
      </c>
      <c r="CZ68" s="2">
        <f t="shared" si="53"/>
        <v>0</v>
      </c>
      <c r="DA68" s="2">
        <f t="shared" si="54"/>
        <v>0</v>
      </c>
      <c r="DB68" s="2">
        <f t="shared" si="55"/>
        <v>122520.36960092162</v>
      </c>
      <c r="DC68" s="2">
        <f t="shared" si="141"/>
        <v>0</v>
      </c>
      <c r="DD68" s="2">
        <f t="shared" si="56"/>
        <v>521.20861360128004</v>
      </c>
      <c r="DE68" s="2">
        <f t="shared" si="57"/>
        <v>121999.16098732034</v>
      </c>
      <c r="DF68" s="2">
        <f t="shared" si="142"/>
        <v>3000</v>
      </c>
      <c r="DG68" s="2">
        <f t="shared" si="143"/>
        <v>3708.870224175108</v>
      </c>
      <c r="DH68" s="2">
        <f t="shared" si="58"/>
        <v>115290.29076314524</v>
      </c>
    </row>
    <row r="69" spans="2:115">
      <c r="B69" s="228"/>
      <c r="C69" s="1">
        <f t="shared" si="102"/>
        <v>32</v>
      </c>
      <c r="D69" s="2">
        <f t="shared" si="105"/>
        <v>112736.00201499999</v>
      </c>
      <c r="E69" s="2">
        <f t="shared" si="106"/>
        <v>109472.86869974999</v>
      </c>
      <c r="F69" s="2">
        <f t="shared" si="107"/>
        <v>112534.71999999997</v>
      </c>
      <c r="G69" s="2">
        <f t="shared" si="108"/>
        <v>108345.91999999998</v>
      </c>
      <c r="H69" s="2">
        <f t="shared" si="109"/>
        <v>114033.13152</v>
      </c>
      <c r="I69" s="2">
        <f t="shared" si="110"/>
        <v>108903.193216</v>
      </c>
      <c r="J69" s="2">
        <f t="shared" si="103"/>
        <v>109600.1520304545</v>
      </c>
      <c r="K69" s="2">
        <f t="shared" si="104"/>
        <v>107651.06346666666</v>
      </c>
      <c r="W69" s="1">
        <f t="shared" si="144"/>
        <v>51</v>
      </c>
      <c r="X69" s="2">
        <f t="shared" si="121"/>
        <v>112460.99696145918</v>
      </c>
      <c r="Y69" s="8">
        <f t="shared" si="157"/>
        <v>4.1300000000000003E-2</v>
      </c>
      <c r="Z69" s="5">
        <f t="shared" si="145"/>
        <v>1141</v>
      </c>
      <c r="AA69" s="2">
        <f t="shared" si="146"/>
        <v>113985.90000000001</v>
      </c>
      <c r="AB69" s="2">
        <f t="shared" si="37"/>
        <v>114100</v>
      </c>
      <c r="AC69" s="2">
        <f t="shared" si="147"/>
        <v>119405.65</v>
      </c>
      <c r="AD69" s="8">
        <f t="shared" si="122"/>
        <v>4.65E-2</v>
      </c>
      <c r="AE69" s="2">
        <f t="shared" si="2"/>
        <v>120793.74068125</v>
      </c>
      <c r="AF69" s="2" t="str">
        <f t="shared" si="123"/>
        <v>nie</v>
      </c>
      <c r="AG69" s="2">
        <f t="shared" si="124"/>
        <v>1141</v>
      </c>
      <c r="AH69" s="1">
        <f t="shared" si="79"/>
        <v>0</v>
      </c>
      <c r="AI69" s="1">
        <f t="shared" si="111"/>
        <v>0</v>
      </c>
      <c r="AJ69" s="1">
        <f t="shared" si="155"/>
        <v>0</v>
      </c>
      <c r="AK69" s="1">
        <f t="shared" si="166"/>
        <v>0</v>
      </c>
      <c r="AL69" s="2">
        <f t="shared" si="90"/>
        <v>0</v>
      </c>
      <c r="AM69" s="8">
        <f t="shared" si="160"/>
        <v>4.65E-2</v>
      </c>
      <c r="AN69" s="2">
        <f t="shared" si="91"/>
        <v>0</v>
      </c>
      <c r="AO69" s="2">
        <f t="shared" si="161"/>
        <v>0</v>
      </c>
      <c r="AP69" s="2">
        <f t="shared" si="119"/>
        <v>0</v>
      </c>
      <c r="AQ69" s="8">
        <f t="shared" si="112"/>
        <v>4.1300000000000003E-2</v>
      </c>
      <c r="AR69" s="2">
        <f t="shared" si="113"/>
        <v>0</v>
      </c>
      <c r="AS69" s="2">
        <f t="shared" si="114"/>
        <v>0</v>
      </c>
      <c r="AT69" s="2">
        <f t="shared" si="39"/>
        <v>0</v>
      </c>
      <c r="AU69" s="2">
        <f t="shared" si="92"/>
        <v>0</v>
      </c>
      <c r="AV69" s="2">
        <f t="shared" si="82"/>
        <v>53.345092499992461</v>
      </c>
      <c r="AW69" s="1">
        <f t="shared" si="158"/>
        <v>0</v>
      </c>
      <c r="AX69" s="2">
        <f t="shared" si="125"/>
        <v>53.345092499992461</v>
      </c>
      <c r="AY69" s="1">
        <f t="shared" si="83"/>
        <v>0</v>
      </c>
      <c r="AZ69" s="2">
        <f t="shared" si="40"/>
        <v>53.345092499992461</v>
      </c>
      <c r="BA69" s="2">
        <f t="shared" si="93"/>
        <v>120847.08577374999</v>
      </c>
      <c r="BB69" s="2">
        <f t="shared" si="126"/>
        <v>0</v>
      </c>
      <c r="BC69" s="2">
        <f t="shared" si="41"/>
        <v>513.52742076824995</v>
      </c>
      <c r="BD69" s="2">
        <f t="shared" si="10"/>
        <v>120333.55835298174</v>
      </c>
      <c r="BE69" s="2">
        <f t="shared" si="42"/>
        <v>1141</v>
      </c>
      <c r="BF69" s="2">
        <f t="shared" si="11"/>
        <v>3744.1562970124983</v>
      </c>
      <c r="BG69" s="2">
        <f t="shared" si="12"/>
        <v>115448.40205596924</v>
      </c>
      <c r="BI69" s="8">
        <f t="shared" si="162"/>
        <v>2.8000000000000001E-2</v>
      </c>
      <c r="BJ69" s="5">
        <f t="shared" si="148"/>
        <v>1044</v>
      </c>
      <c r="BK69" s="2">
        <f t="shared" si="149"/>
        <v>104295.6</v>
      </c>
      <c r="BL69" s="2">
        <f t="shared" si="150"/>
        <v>104400</v>
      </c>
      <c r="BM69" s="2">
        <f t="shared" si="127"/>
        <v>104400</v>
      </c>
      <c r="BN69" s="8">
        <f t="shared" si="128"/>
        <v>0.05</v>
      </c>
      <c r="BO69" s="2">
        <f t="shared" si="129"/>
        <v>105705</v>
      </c>
      <c r="BP69" s="2" t="str">
        <f t="shared" si="130"/>
        <v>nie</v>
      </c>
      <c r="BQ69" s="2">
        <f t="shared" si="131"/>
        <v>1305</v>
      </c>
      <c r="BR69" s="1">
        <f t="shared" si="163"/>
        <v>7</v>
      </c>
      <c r="BS69" s="1">
        <f t="shared" si="115"/>
        <v>47</v>
      </c>
      <c r="BT69" s="1">
        <f t="shared" si="156"/>
        <v>45</v>
      </c>
      <c r="BU69" s="1">
        <f t="shared" si="167"/>
        <v>50</v>
      </c>
      <c r="BV69" s="2">
        <f t="shared" si="94"/>
        <v>700</v>
      </c>
      <c r="BW69" s="8">
        <f t="shared" si="164"/>
        <v>0.05</v>
      </c>
      <c r="BX69" s="2">
        <f t="shared" si="95"/>
        <v>708.75</v>
      </c>
      <c r="BY69" s="2">
        <f t="shared" si="165"/>
        <v>8.75</v>
      </c>
      <c r="BZ69" s="2">
        <f t="shared" si="120"/>
        <v>14200</v>
      </c>
      <c r="CA69" s="8">
        <f t="shared" si="116"/>
        <v>4.2999999999999997E-2</v>
      </c>
      <c r="CB69" s="2">
        <f t="shared" si="117"/>
        <v>14352.65</v>
      </c>
      <c r="CC69" s="2">
        <f t="shared" si="118"/>
        <v>284</v>
      </c>
      <c r="CD69" s="2">
        <f t="shared" si="132"/>
        <v>0</v>
      </c>
      <c r="CE69" s="2">
        <f t="shared" si="96"/>
        <v>0</v>
      </c>
      <c r="CF69" s="2">
        <f t="shared" si="97"/>
        <v>37.899999999950523</v>
      </c>
      <c r="CG69" s="1">
        <f t="shared" si="159"/>
        <v>0</v>
      </c>
      <c r="CH69" s="2">
        <f t="shared" si="133"/>
        <v>37.899999999950523</v>
      </c>
      <c r="CI69" s="1">
        <f t="shared" si="89"/>
        <v>0</v>
      </c>
      <c r="CJ69" s="2">
        <f t="shared" si="98"/>
        <v>37.899999999950523</v>
      </c>
      <c r="CK69" s="2">
        <f t="shared" si="99"/>
        <v>120804.29999999994</v>
      </c>
      <c r="CL69" s="2">
        <f t="shared" si="134"/>
        <v>0</v>
      </c>
      <c r="CM69" s="2">
        <f t="shared" si="47"/>
        <v>513.64189999999985</v>
      </c>
      <c r="CN69" s="2">
        <f t="shared" si="135"/>
        <v>120290.65809999994</v>
      </c>
      <c r="CO69" s="2">
        <f t="shared" si="48"/>
        <v>1597.75</v>
      </c>
      <c r="CP69" s="2">
        <f t="shared" si="136"/>
        <v>3649.2444999999893</v>
      </c>
      <c r="CQ69" s="2">
        <f t="shared" si="137"/>
        <v>115043.66359999996</v>
      </c>
      <c r="CS69" s="5">
        <f t="shared" si="151"/>
        <v>1000</v>
      </c>
      <c r="CT69" s="2">
        <f t="shared" si="152"/>
        <v>100000</v>
      </c>
      <c r="CU69" s="2">
        <f t="shared" si="153"/>
        <v>100000</v>
      </c>
      <c r="CV69" s="2">
        <f t="shared" si="154"/>
        <v>121547.98571520002</v>
      </c>
      <c r="CW69" s="8">
        <f t="shared" si="138"/>
        <v>4.8000000000000001E-2</v>
      </c>
      <c r="CX69" s="2">
        <f t="shared" si="139"/>
        <v>123006.56154378242</v>
      </c>
      <c r="CY69" s="2" t="str">
        <f t="shared" si="140"/>
        <v>nie</v>
      </c>
      <c r="CZ69" s="2">
        <f t="shared" si="53"/>
        <v>0</v>
      </c>
      <c r="DA69" s="2">
        <f t="shared" si="54"/>
        <v>0</v>
      </c>
      <c r="DB69" s="2">
        <f t="shared" si="55"/>
        <v>123006.56154378242</v>
      </c>
      <c r="DC69" s="2">
        <f t="shared" si="141"/>
        <v>0</v>
      </c>
      <c r="DD69" s="2">
        <f t="shared" si="56"/>
        <v>521.20861360128004</v>
      </c>
      <c r="DE69" s="2">
        <f t="shared" si="57"/>
        <v>122485.35293018114</v>
      </c>
      <c r="DF69" s="2">
        <f t="shared" si="142"/>
        <v>3000</v>
      </c>
      <c r="DG69" s="2">
        <f t="shared" si="143"/>
        <v>3801.2466933186593</v>
      </c>
      <c r="DH69" s="2">
        <f t="shared" si="58"/>
        <v>115684.10623686247</v>
      </c>
    </row>
    <row r="70" spans="2:115">
      <c r="B70" s="228"/>
      <c r="C70" s="1">
        <f t="shared" ref="C70:C101" si="168">W51</f>
        <v>33</v>
      </c>
      <c r="D70" s="2">
        <f t="shared" si="105"/>
        <v>113160.377386875</v>
      </c>
      <c r="E70" s="2">
        <f t="shared" si="106"/>
        <v>109816.61275096875</v>
      </c>
      <c r="F70" s="2">
        <f t="shared" si="107"/>
        <v>112929.71999999997</v>
      </c>
      <c r="G70" s="2">
        <f t="shared" si="108"/>
        <v>108665.86999999998</v>
      </c>
      <c r="H70" s="2">
        <f t="shared" si="109"/>
        <v>114475.80672000001</v>
      </c>
      <c r="I70" s="2">
        <f t="shared" si="110"/>
        <v>109261.76012800001</v>
      </c>
      <c r="J70" s="2">
        <f t="shared" ref="J70:J101" si="169">FV(INDEX(scenariusz_I_konto,MATCH(ROUNDUP(C70/12,0),scenariusz_I_rok,0))/12*(1-podatek_Belki),1,0,-J69,1)</f>
        <v>109914.56746659186</v>
      </c>
      <c r="K70" s="2">
        <f t="shared" ref="K70:K101" si="170">X51</f>
        <v>107897.64639999998</v>
      </c>
      <c r="W70" s="1">
        <f t="shared" si="144"/>
        <v>52</v>
      </c>
      <c r="X70" s="2">
        <f t="shared" si="121"/>
        <v>112721.58186007894</v>
      </c>
      <c r="Y70" s="8">
        <f t="shared" si="157"/>
        <v>4.1300000000000003E-2</v>
      </c>
      <c r="Z70" s="5">
        <f t="shared" si="145"/>
        <v>1141</v>
      </c>
      <c r="AA70" s="2">
        <f t="shared" si="146"/>
        <v>113985.90000000001</v>
      </c>
      <c r="AB70" s="2">
        <f t="shared" si="37"/>
        <v>114100</v>
      </c>
      <c r="AC70" s="2">
        <f t="shared" si="147"/>
        <v>119405.65</v>
      </c>
      <c r="AD70" s="8">
        <f t="shared" si="122"/>
        <v>4.65E-2</v>
      </c>
      <c r="AE70" s="2">
        <f t="shared" si="2"/>
        <v>121256.437575</v>
      </c>
      <c r="AF70" s="2" t="str">
        <f t="shared" si="123"/>
        <v>nie</v>
      </c>
      <c r="AG70" s="2">
        <f t="shared" si="124"/>
        <v>1141</v>
      </c>
      <c r="AH70" s="1">
        <f t="shared" si="79"/>
        <v>0</v>
      </c>
      <c r="AI70" s="1">
        <f t="shared" si="111"/>
        <v>0</v>
      </c>
      <c r="AJ70" s="1">
        <f t="shared" si="155"/>
        <v>0</v>
      </c>
      <c r="AK70" s="1">
        <f t="shared" si="166"/>
        <v>0</v>
      </c>
      <c r="AL70" s="2">
        <f t="shared" si="90"/>
        <v>0</v>
      </c>
      <c r="AM70" s="8">
        <f t="shared" si="160"/>
        <v>4.65E-2</v>
      </c>
      <c r="AN70" s="2">
        <f t="shared" si="91"/>
        <v>0</v>
      </c>
      <c r="AO70" s="2">
        <f t="shared" si="161"/>
        <v>0</v>
      </c>
      <c r="AP70" s="2">
        <f t="shared" si="119"/>
        <v>0</v>
      </c>
      <c r="AQ70" s="8">
        <f t="shared" si="112"/>
        <v>4.1300000000000003E-2</v>
      </c>
      <c r="AR70" s="2">
        <f t="shared" si="113"/>
        <v>0</v>
      </c>
      <c r="AS70" s="2">
        <f t="shared" si="114"/>
        <v>0</v>
      </c>
      <c r="AT70" s="2">
        <f t="shared" si="39"/>
        <v>0</v>
      </c>
      <c r="AU70" s="2">
        <f t="shared" si="92"/>
        <v>0</v>
      </c>
      <c r="AV70" s="2">
        <f t="shared" si="82"/>
        <v>53.345092499992461</v>
      </c>
      <c r="AW70" s="1">
        <f t="shared" si="158"/>
        <v>0</v>
      </c>
      <c r="AX70" s="2">
        <f t="shared" si="125"/>
        <v>53.345092499992461</v>
      </c>
      <c r="AY70" s="1">
        <f t="shared" si="83"/>
        <v>0</v>
      </c>
      <c r="AZ70" s="2">
        <f t="shared" si="40"/>
        <v>53.345092499992461</v>
      </c>
      <c r="BA70" s="2">
        <f t="shared" si="93"/>
        <v>121309.7826675</v>
      </c>
      <c r="BB70" s="2">
        <f t="shared" si="126"/>
        <v>0</v>
      </c>
      <c r="BC70" s="2">
        <f t="shared" si="41"/>
        <v>513.52742076824995</v>
      </c>
      <c r="BD70" s="2">
        <f t="shared" si="10"/>
        <v>120796.25524673174</v>
      </c>
      <c r="BE70" s="2">
        <f t="shared" si="42"/>
        <v>1141</v>
      </c>
      <c r="BF70" s="2">
        <f t="shared" si="11"/>
        <v>3832.0687068249995</v>
      </c>
      <c r="BG70" s="2">
        <f t="shared" si="12"/>
        <v>115823.18653990675</v>
      </c>
      <c r="BI70" s="8">
        <f t="shared" si="162"/>
        <v>2.8000000000000001E-2</v>
      </c>
      <c r="BJ70" s="5">
        <f t="shared" si="148"/>
        <v>1044</v>
      </c>
      <c r="BK70" s="2">
        <f t="shared" si="149"/>
        <v>104295.6</v>
      </c>
      <c r="BL70" s="2">
        <f t="shared" si="150"/>
        <v>104400</v>
      </c>
      <c r="BM70" s="2">
        <f t="shared" si="127"/>
        <v>104400</v>
      </c>
      <c r="BN70" s="8">
        <f t="shared" si="128"/>
        <v>0.05</v>
      </c>
      <c r="BO70" s="2">
        <f t="shared" si="129"/>
        <v>106140</v>
      </c>
      <c r="BP70" s="2" t="str">
        <f t="shared" si="130"/>
        <v>nie</v>
      </c>
      <c r="BQ70" s="2">
        <f t="shared" si="131"/>
        <v>1740</v>
      </c>
      <c r="BR70" s="1">
        <f t="shared" si="163"/>
        <v>7</v>
      </c>
      <c r="BS70" s="1">
        <f t="shared" si="115"/>
        <v>47</v>
      </c>
      <c r="BT70" s="1">
        <f t="shared" si="156"/>
        <v>45</v>
      </c>
      <c r="BU70" s="1">
        <f t="shared" si="167"/>
        <v>50</v>
      </c>
      <c r="BV70" s="2">
        <f t="shared" si="94"/>
        <v>700</v>
      </c>
      <c r="BW70" s="8">
        <f t="shared" si="164"/>
        <v>0.05</v>
      </c>
      <c r="BX70" s="2">
        <f t="shared" si="95"/>
        <v>711.66666666666663</v>
      </c>
      <c r="BY70" s="2">
        <f t="shared" si="165"/>
        <v>11.666666666666629</v>
      </c>
      <c r="BZ70" s="2">
        <f t="shared" si="120"/>
        <v>14200</v>
      </c>
      <c r="CA70" s="8">
        <f t="shared" si="116"/>
        <v>4.2999999999999997E-2</v>
      </c>
      <c r="CB70" s="2">
        <f t="shared" si="117"/>
        <v>14403.533333333333</v>
      </c>
      <c r="CC70" s="2">
        <f t="shared" si="118"/>
        <v>284</v>
      </c>
      <c r="CD70" s="2">
        <f t="shared" si="132"/>
        <v>0</v>
      </c>
      <c r="CE70" s="2">
        <f t="shared" si="96"/>
        <v>0</v>
      </c>
      <c r="CF70" s="2">
        <f t="shared" si="97"/>
        <v>37.899999999950523</v>
      </c>
      <c r="CG70" s="1">
        <f t="shared" si="159"/>
        <v>0</v>
      </c>
      <c r="CH70" s="2">
        <f t="shared" si="133"/>
        <v>37.899999999950523</v>
      </c>
      <c r="CI70" s="1">
        <f t="shared" si="89"/>
        <v>0</v>
      </c>
      <c r="CJ70" s="2">
        <f t="shared" si="98"/>
        <v>37.899999999950523</v>
      </c>
      <c r="CK70" s="2">
        <f t="shared" si="99"/>
        <v>121293.09999999996</v>
      </c>
      <c r="CL70" s="2">
        <f t="shared" si="134"/>
        <v>0</v>
      </c>
      <c r="CM70" s="2">
        <f t="shared" si="47"/>
        <v>513.64189999999985</v>
      </c>
      <c r="CN70" s="2">
        <f t="shared" si="135"/>
        <v>120779.45809999996</v>
      </c>
      <c r="CO70" s="2">
        <f t="shared" si="48"/>
        <v>2035.6666666666665</v>
      </c>
      <c r="CP70" s="2">
        <f t="shared" si="136"/>
        <v>3658.9123333333255</v>
      </c>
      <c r="CQ70" s="2">
        <f t="shared" si="137"/>
        <v>115084.87909999996</v>
      </c>
      <c r="CS70" s="5">
        <f t="shared" si="151"/>
        <v>1000</v>
      </c>
      <c r="CT70" s="2">
        <f t="shared" si="152"/>
        <v>100000</v>
      </c>
      <c r="CU70" s="2">
        <f t="shared" si="153"/>
        <v>100000</v>
      </c>
      <c r="CV70" s="2">
        <f t="shared" si="154"/>
        <v>121547.98571520002</v>
      </c>
      <c r="CW70" s="8">
        <f t="shared" si="138"/>
        <v>4.8000000000000001E-2</v>
      </c>
      <c r="CX70" s="2">
        <f t="shared" si="139"/>
        <v>123492.75348664323</v>
      </c>
      <c r="CY70" s="2" t="str">
        <f t="shared" si="140"/>
        <v>nie</v>
      </c>
      <c r="CZ70" s="2">
        <f t="shared" si="53"/>
        <v>0</v>
      </c>
      <c r="DA70" s="2">
        <f t="shared" si="54"/>
        <v>0</v>
      </c>
      <c r="DB70" s="2">
        <f t="shared" si="55"/>
        <v>123492.75348664323</v>
      </c>
      <c r="DC70" s="2">
        <f t="shared" si="141"/>
        <v>0</v>
      </c>
      <c r="DD70" s="2">
        <f t="shared" si="56"/>
        <v>521.20861360128004</v>
      </c>
      <c r="DE70" s="2">
        <f t="shared" si="57"/>
        <v>122971.54487304194</v>
      </c>
      <c r="DF70" s="2">
        <f t="shared" si="142"/>
        <v>3000</v>
      </c>
      <c r="DG70" s="2">
        <f t="shared" si="143"/>
        <v>3893.6231624622128</v>
      </c>
      <c r="DH70" s="2">
        <f t="shared" si="58"/>
        <v>116077.92171057973</v>
      </c>
    </row>
    <row r="71" spans="2:115">
      <c r="B71" s="228"/>
      <c r="C71" s="1">
        <f t="shared" si="168"/>
        <v>34</v>
      </c>
      <c r="D71" s="2">
        <f t="shared" si="105"/>
        <v>113584.75275875001</v>
      </c>
      <c r="E71" s="2">
        <f t="shared" si="106"/>
        <v>110160.35680218751</v>
      </c>
      <c r="F71" s="2">
        <f t="shared" si="107"/>
        <v>113324.72</v>
      </c>
      <c r="G71" s="2">
        <f t="shared" si="108"/>
        <v>108985.82</v>
      </c>
      <c r="H71" s="2">
        <f t="shared" si="109"/>
        <v>114918.48192000001</v>
      </c>
      <c r="I71" s="2">
        <f t="shared" si="110"/>
        <v>109620.32704</v>
      </c>
      <c r="J71" s="2">
        <f t="shared" si="169"/>
        <v>110229.88488201164</v>
      </c>
      <c r="K71" s="2">
        <f t="shared" si="170"/>
        <v>108144.22933333334</v>
      </c>
      <c r="W71" s="1">
        <f t="shared" si="144"/>
        <v>53</v>
      </c>
      <c r="X71" s="2">
        <f t="shared" si="121"/>
        <v>112982.16675869867</v>
      </c>
      <c r="Y71" s="8">
        <f t="shared" si="157"/>
        <v>4.1300000000000003E-2</v>
      </c>
      <c r="Z71" s="5">
        <f t="shared" si="145"/>
        <v>1141</v>
      </c>
      <c r="AA71" s="2">
        <f t="shared" si="146"/>
        <v>113985.90000000001</v>
      </c>
      <c r="AB71" s="2">
        <f t="shared" si="37"/>
        <v>114100</v>
      </c>
      <c r="AC71" s="2">
        <f t="shared" si="147"/>
        <v>119405.65</v>
      </c>
      <c r="AD71" s="8">
        <f t="shared" si="122"/>
        <v>4.65E-2</v>
      </c>
      <c r="AE71" s="2">
        <f t="shared" si="2"/>
        <v>121719.13446874998</v>
      </c>
      <c r="AF71" s="2" t="str">
        <f t="shared" si="123"/>
        <v>nie</v>
      </c>
      <c r="AG71" s="2">
        <f t="shared" si="124"/>
        <v>1141</v>
      </c>
      <c r="AH71" s="1">
        <f t="shared" si="79"/>
        <v>0</v>
      </c>
      <c r="AI71" s="1">
        <f t="shared" si="111"/>
        <v>0</v>
      </c>
      <c r="AJ71" s="1">
        <f t="shared" si="155"/>
        <v>0</v>
      </c>
      <c r="AK71" s="1">
        <f t="shared" si="166"/>
        <v>0</v>
      </c>
      <c r="AL71" s="2">
        <f t="shared" si="90"/>
        <v>0</v>
      </c>
      <c r="AM71" s="8">
        <f t="shared" si="160"/>
        <v>4.65E-2</v>
      </c>
      <c r="AN71" s="2">
        <f t="shared" si="91"/>
        <v>0</v>
      </c>
      <c r="AO71" s="2">
        <f t="shared" si="161"/>
        <v>0</v>
      </c>
      <c r="AP71" s="2">
        <f t="shared" si="119"/>
        <v>0</v>
      </c>
      <c r="AQ71" s="8">
        <f t="shared" si="112"/>
        <v>4.1300000000000003E-2</v>
      </c>
      <c r="AR71" s="2">
        <f t="shared" si="113"/>
        <v>0</v>
      </c>
      <c r="AS71" s="2">
        <f t="shared" si="114"/>
        <v>0</v>
      </c>
      <c r="AT71" s="2">
        <f t="shared" si="39"/>
        <v>0</v>
      </c>
      <c r="AU71" s="2">
        <f t="shared" si="92"/>
        <v>0</v>
      </c>
      <c r="AV71" s="2">
        <f t="shared" si="82"/>
        <v>53.345092499992461</v>
      </c>
      <c r="AW71" s="1">
        <f t="shared" si="158"/>
        <v>0</v>
      </c>
      <c r="AX71" s="2">
        <f t="shared" si="125"/>
        <v>53.345092499992461</v>
      </c>
      <c r="AY71" s="1">
        <f t="shared" si="83"/>
        <v>0</v>
      </c>
      <c r="AZ71" s="2">
        <f t="shared" si="40"/>
        <v>53.345092499992461</v>
      </c>
      <c r="BA71" s="2">
        <f t="shared" si="93"/>
        <v>121772.47956124997</v>
      </c>
      <c r="BB71" s="2">
        <f t="shared" si="126"/>
        <v>0</v>
      </c>
      <c r="BC71" s="2">
        <f t="shared" si="41"/>
        <v>513.52742076824995</v>
      </c>
      <c r="BD71" s="2">
        <f t="shared" si="10"/>
        <v>121258.95214048172</v>
      </c>
      <c r="BE71" s="2">
        <f t="shared" si="42"/>
        <v>1141</v>
      </c>
      <c r="BF71" s="2">
        <f t="shared" si="11"/>
        <v>3919.9811166374948</v>
      </c>
      <c r="BG71" s="2">
        <f t="shared" si="12"/>
        <v>116197.97102384422</v>
      </c>
      <c r="BI71" s="8">
        <f t="shared" si="162"/>
        <v>2.8000000000000001E-2</v>
      </c>
      <c r="BJ71" s="5">
        <f t="shared" si="148"/>
        <v>1044</v>
      </c>
      <c r="BK71" s="2">
        <f t="shared" si="149"/>
        <v>104295.6</v>
      </c>
      <c r="BL71" s="2">
        <f t="shared" si="150"/>
        <v>104400</v>
      </c>
      <c r="BM71" s="2">
        <f t="shared" si="127"/>
        <v>104400</v>
      </c>
      <c r="BN71" s="8">
        <f t="shared" si="128"/>
        <v>0.05</v>
      </c>
      <c r="BO71" s="2">
        <f t="shared" si="129"/>
        <v>106574.99999999999</v>
      </c>
      <c r="BP71" s="2" t="str">
        <f t="shared" si="130"/>
        <v>nie</v>
      </c>
      <c r="BQ71" s="2">
        <f t="shared" si="131"/>
        <v>2088</v>
      </c>
      <c r="BR71" s="1">
        <f t="shared" si="163"/>
        <v>7</v>
      </c>
      <c r="BS71" s="1">
        <f t="shared" si="115"/>
        <v>47</v>
      </c>
      <c r="BT71" s="1">
        <f t="shared" si="156"/>
        <v>45</v>
      </c>
      <c r="BU71" s="1">
        <f t="shared" si="167"/>
        <v>50</v>
      </c>
      <c r="BV71" s="2">
        <f t="shared" si="94"/>
        <v>700</v>
      </c>
      <c r="BW71" s="8">
        <f t="shared" si="164"/>
        <v>0.05</v>
      </c>
      <c r="BX71" s="2">
        <f t="shared" si="95"/>
        <v>714.58333333333326</v>
      </c>
      <c r="BY71" s="2">
        <f t="shared" si="165"/>
        <v>14</v>
      </c>
      <c r="BZ71" s="2">
        <f t="shared" si="120"/>
        <v>14200</v>
      </c>
      <c r="CA71" s="8">
        <f t="shared" si="116"/>
        <v>4.2999999999999997E-2</v>
      </c>
      <c r="CB71" s="2">
        <f t="shared" si="117"/>
        <v>14454.416666666666</v>
      </c>
      <c r="CC71" s="2">
        <f t="shared" si="118"/>
        <v>284</v>
      </c>
      <c r="CD71" s="2">
        <f t="shared" si="132"/>
        <v>0</v>
      </c>
      <c r="CE71" s="2">
        <f t="shared" si="96"/>
        <v>0</v>
      </c>
      <c r="CF71" s="2">
        <f t="shared" si="97"/>
        <v>37.899999999950523</v>
      </c>
      <c r="CG71" s="1">
        <f t="shared" si="159"/>
        <v>0</v>
      </c>
      <c r="CH71" s="2">
        <f t="shared" si="133"/>
        <v>37.899999999950523</v>
      </c>
      <c r="CI71" s="1">
        <f t="shared" si="89"/>
        <v>0</v>
      </c>
      <c r="CJ71" s="2">
        <f t="shared" si="98"/>
        <v>37.899999999950523</v>
      </c>
      <c r="CK71" s="2">
        <f t="shared" si="99"/>
        <v>121781.89999999994</v>
      </c>
      <c r="CL71" s="2">
        <f t="shared" si="134"/>
        <v>0</v>
      </c>
      <c r="CM71" s="2">
        <f t="shared" si="47"/>
        <v>513.64189999999985</v>
      </c>
      <c r="CN71" s="2">
        <f t="shared" si="135"/>
        <v>121268.25809999993</v>
      </c>
      <c r="CO71" s="2">
        <f t="shared" si="48"/>
        <v>2386</v>
      </c>
      <c r="CP71" s="2">
        <f t="shared" si="136"/>
        <v>3685.2209999999877</v>
      </c>
      <c r="CQ71" s="2">
        <f t="shared" si="137"/>
        <v>115197.03709999994</v>
      </c>
      <c r="CS71" s="5">
        <f t="shared" si="151"/>
        <v>1000</v>
      </c>
      <c r="CT71" s="2">
        <f t="shared" si="152"/>
        <v>100000</v>
      </c>
      <c r="CU71" s="2">
        <f t="shared" si="153"/>
        <v>100000</v>
      </c>
      <c r="CV71" s="2">
        <f t="shared" si="154"/>
        <v>121547.98571520002</v>
      </c>
      <c r="CW71" s="8">
        <f t="shared" si="138"/>
        <v>4.8000000000000001E-2</v>
      </c>
      <c r="CX71" s="2">
        <f t="shared" si="139"/>
        <v>123978.94542950402</v>
      </c>
      <c r="CY71" s="2" t="str">
        <f t="shared" si="140"/>
        <v>nie</v>
      </c>
      <c r="CZ71" s="2">
        <f t="shared" si="53"/>
        <v>0</v>
      </c>
      <c r="DA71" s="2">
        <f t="shared" si="54"/>
        <v>0</v>
      </c>
      <c r="DB71" s="2">
        <f t="shared" si="55"/>
        <v>123978.94542950402</v>
      </c>
      <c r="DC71" s="2">
        <f t="shared" si="141"/>
        <v>0</v>
      </c>
      <c r="DD71" s="2">
        <f t="shared" si="56"/>
        <v>521.20861360128004</v>
      </c>
      <c r="DE71" s="2">
        <f t="shared" si="57"/>
        <v>123457.73681590274</v>
      </c>
      <c r="DF71" s="2">
        <f t="shared" si="142"/>
        <v>3000</v>
      </c>
      <c r="DG71" s="2">
        <f t="shared" si="143"/>
        <v>3985.9996316057636</v>
      </c>
      <c r="DH71" s="2">
        <f t="shared" si="58"/>
        <v>116471.73718429697</v>
      </c>
    </row>
    <row r="72" spans="2:115">
      <c r="B72" s="229"/>
      <c r="C72" s="1">
        <f t="shared" si="168"/>
        <v>35</v>
      </c>
      <c r="D72" s="2">
        <f t="shared" si="105"/>
        <v>114009.12813062499</v>
      </c>
      <c r="E72" s="2">
        <f t="shared" si="106"/>
        <v>110504.10085340624</v>
      </c>
      <c r="F72" s="2">
        <f t="shared" si="107"/>
        <v>113719.71999999999</v>
      </c>
      <c r="G72" s="2">
        <f t="shared" si="108"/>
        <v>109305.76999999999</v>
      </c>
      <c r="H72" s="2">
        <f t="shared" si="109"/>
        <v>115361.15712</v>
      </c>
      <c r="I72" s="2">
        <f t="shared" si="110"/>
        <v>109978.893952</v>
      </c>
      <c r="J72" s="2">
        <f t="shared" si="169"/>
        <v>110546.10686426691</v>
      </c>
      <c r="K72" s="2">
        <f t="shared" si="170"/>
        <v>108390.81226666666</v>
      </c>
      <c r="W72" s="1">
        <f t="shared" si="144"/>
        <v>54</v>
      </c>
      <c r="X72" s="2">
        <f t="shared" si="121"/>
        <v>113242.7516573184</v>
      </c>
      <c r="Y72" s="8">
        <f t="shared" si="157"/>
        <v>4.1300000000000003E-2</v>
      </c>
      <c r="Z72" s="5">
        <f t="shared" si="145"/>
        <v>1141</v>
      </c>
      <c r="AA72" s="2">
        <f t="shared" si="146"/>
        <v>113985.90000000001</v>
      </c>
      <c r="AB72" s="2">
        <f t="shared" si="37"/>
        <v>114100</v>
      </c>
      <c r="AC72" s="2">
        <f t="shared" si="147"/>
        <v>119405.65</v>
      </c>
      <c r="AD72" s="8">
        <f t="shared" si="122"/>
        <v>4.65E-2</v>
      </c>
      <c r="AE72" s="2">
        <f t="shared" si="2"/>
        <v>122181.83136249999</v>
      </c>
      <c r="AF72" s="2" t="str">
        <f t="shared" si="123"/>
        <v>nie</v>
      </c>
      <c r="AG72" s="2">
        <f t="shared" si="124"/>
        <v>1141</v>
      </c>
      <c r="AH72" s="1">
        <f t="shared" si="79"/>
        <v>0</v>
      </c>
      <c r="AI72" s="1">
        <f t="shared" si="111"/>
        <v>0</v>
      </c>
      <c r="AJ72" s="1">
        <f t="shared" si="155"/>
        <v>0</v>
      </c>
      <c r="AK72" s="1">
        <f t="shared" si="166"/>
        <v>0</v>
      </c>
      <c r="AL72" s="2">
        <f t="shared" si="90"/>
        <v>0</v>
      </c>
      <c r="AM72" s="8">
        <f t="shared" si="160"/>
        <v>4.65E-2</v>
      </c>
      <c r="AN72" s="2">
        <f t="shared" si="91"/>
        <v>0</v>
      </c>
      <c r="AO72" s="2">
        <f t="shared" si="161"/>
        <v>0</v>
      </c>
      <c r="AP72" s="2">
        <f t="shared" si="119"/>
        <v>0</v>
      </c>
      <c r="AQ72" s="8">
        <f t="shared" si="112"/>
        <v>4.1300000000000003E-2</v>
      </c>
      <c r="AR72" s="2">
        <f t="shared" si="113"/>
        <v>0</v>
      </c>
      <c r="AS72" s="2">
        <f t="shared" si="114"/>
        <v>0</v>
      </c>
      <c r="AT72" s="2">
        <f t="shared" si="39"/>
        <v>0</v>
      </c>
      <c r="AU72" s="2">
        <f t="shared" si="92"/>
        <v>0</v>
      </c>
      <c r="AV72" s="2">
        <f t="shared" si="82"/>
        <v>53.345092499992461</v>
      </c>
      <c r="AW72" s="1">
        <f t="shared" si="158"/>
        <v>0</v>
      </c>
      <c r="AX72" s="2">
        <f t="shared" si="125"/>
        <v>53.345092499992461</v>
      </c>
      <c r="AY72" s="1">
        <f t="shared" si="83"/>
        <v>0</v>
      </c>
      <c r="AZ72" s="2">
        <f t="shared" si="40"/>
        <v>53.345092499992461</v>
      </c>
      <c r="BA72" s="2">
        <f t="shared" si="93"/>
        <v>122235.17645499998</v>
      </c>
      <c r="BB72" s="2">
        <f t="shared" si="126"/>
        <v>0</v>
      </c>
      <c r="BC72" s="2">
        <f t="shared" si="41"/>
        <v>513.52742076824995</v>
      </c>
      <c r="BD72" s="2">
        <f t="shared" si="10"/>
        <v>121721.64903423173</v>
      </c>
      <c r="BE72" s="2">
        <f t="shared" si="42"/>
        <v>1141</v>
      </c>
      <c r="BF72" s="2">
        <f t="shared" si="11"/>
        <v>4007.893526449996</v>
      </c>
      <c r="BG72" s="2">
        <f t="shared" si="12"/>
        <v>116572.75550778172</v>
      </c>
      <c r="BI72" s="8">
        <f t="shared" si="162"/>
        <v>2.8000000000000001E-2</v>
      </c>
      <c r="BJ72" s="5">
        <f t="shared" si="148"/>
        <v>1044</v>
      </c>
      <c r="BK72" s="2">
        <f t="shared" si="149"/>
        <v>104295.6</v>
      </c>
      <c r="BL72" s="2">
        <f t="shared" si="150"/>
        <v>104400</v>
      </c>
      <c r="BM72" s="2">
        <f t="shared" si="127"/>
        <v>104400</v>
      </c>
      <c r="BN72" s="8">
        <f t="shared" si="128"/>
        <v>0.05</v>
      </c>
      <c r="BO72" s="2">
        <f t="shared" si="129"/>
        <v>107009.99999999999</v>
      </c>
      <c r="BP72" s="2" t="str">
        <f t="shared" si="130"/>
        <v>nie</v>
      </c>
      <c r="BQ72" s="2">
        <f t="shared" si="131"/>
        <v>2088</v>
      </c>
      <c r="BR72" s="1">
        <f t="shared" si="163"/>
        <v>7</v>
      </c>
      <c r="BS72" s="1">
        <f t="shared" si="115"/>
        <v>47</v>
      </c>
      <c r="BT72" s="1">
        <f t="shared" si="156"/>
        <v>45</v>
      </c>
      <c r="BU72" s="1">
        <f t="shared" si="167"/>
        <v>50</v>
      </c>
      <c r="BV72" s="2">
        <f t="shared" si="94"/>
        <v>700</v>
      </c>
      <c r="BW72" s="8">
        <f t="shared" si="164"/>
        <v>0.05</v>
      </c>
      <c r="BX72" s="2">
        <f t="shared" si="95"/>
        <v>717.49999999999989</v>
      </c>
      <c r="BY72" s="2">
        <f t="shared" si="165"/>
        <v>14</v>
      </c>
      <c r="BZ72" s="2">
        <f t="shared" si="120"/>
        <v>14200</v>
      </c>
      <c r="CA72" s="8">
        <f t="shared" si="116"/>
        <v>4.2999999999999997E-2</v>
      </c>
      <c r="CB72" s="2">
        <f t="shared" si="117"/>
        <v>14505.300000000001</v>
      </c>
      <c r="CC72" s="2">
        <f t="shared" si="118"/>
        <v>284</v>
      </c>
      <c r="CD72" s="2">
        <f t="shared" si="132"/>
        <v>0</v>
      </c>
      <c r="CE72" s="2">
        <f t="shared" si="96"/>
        <v>0</v>
      </c>
      <c r="CF72" s="2">
        <f t="shared" si="97"/>
        <v>37.899999999950523</v>
      </c>
      <c r="CG72" s="1">
        <f t="shared" si="159"/>
        <v>0</v>
      </c>
      <c r="CH72" s="2">
        <f t="shared" si="133"/>
        <v>37.899999999950523</v>
      </c>
      <c r="CI72" s="1">
        <f t="shared" si="89"/>
        <v>0</v>
      </c>
      <c r="CJ72" s="2">
        <f t="shared" si="98"/>
        <v>37.899999999950523</v>
      </c>
      <c r="CK72" s="2">
        <f t="shared" si="99"/>
        <v>122270.69999999994</v>
      </c>
      <c r="CL72" s="2">
        <f t="shared" si="134"/>
        <v>0</v>
      </c>
      <c r="CM72" s="2">
        <f t="shared" si="47"/>
        <v>513.64189999999985</v>
      </c>
      <c r="CN72" s="2">
        <f t="shared" si="135"/>
        <v>121757.05809999994</v>
      </c>
      <c r="CO72" s="2">
        <f t="shared" si="48"/>
        <v>2386</v>
      </c>
      <c r="CP72" s="2">
        <f t="shared" si="136"/>
        <v>3778.0929999999885</v>
      </c>
      <c r="CQ72" s="2">
        <f t="shared" si="137"/>
        <v>115592.96509999994</v>
      </c>
      <c r="CS72" s="5">
        <f t="shared" si="151"/>
        <v>1000</v>
      </c>
      <c r="CT72" s="2">
        <f t="shared" si="152"/>
        <v>100000</v>
      </c>
      <c r="CU72" s="2">
        <f t="shared" si="153"/>
        <v>100000</v>
      </c>
      <c r="CV72" s="2">
        <f t="shared" si="154"/>
        <v>121547.98571520002</v>
      </c>
      <c r="CW72" s="8">
        <f t="shared" si="138"/>
        <v>4.8000000000000001E-2</v>
      </c>
      <c r="CX72" s="2">
        <f t="shared" si="139"/>
        <v>124465.13737236483</v>
      </c>
      <c r="CY72" s="2" t="str">
        <f t="shared" si="140"/>
        <v>nie</v>
      </c>
      <c r="CZ72" s="2">
        <f t="shared" si="53"/>
        <v>0</v>
      </c>
      <c r="DA72" s="2">
        <f t="shared" si="54"/>
        <v>0</v>
      </c>
      <c r="DB72" s="2">
        <f t="shared" si="55"/>
        <v>124465.13737236483</v>
      </c>
      <c r="DC72" s="2">
        <f t="shared" si="141"/>
        <v>0</v>
      </c>
      <c r="DD72" s="2">
        <f t="shared" si="56"/>
        <v>521.20861360128004</v>
      </c>
      <c r="DE72" s="2">
        <f t="shared" si="57"/>
        <v>123943.92875876355</v>
      </c>
      <c r="DF72" s="2">
        <f t="shared" si="142"/>
        <v>3000</v>
      </c>
      <c r="DG72" s="2">
        <f t="shared" si="143"/>
        <v>4078.3761007493176</v>
      </c>
      <c r="DH72" s="2">
        <f t="shared" si="58"/>
        <v>116865.55265801423</v>
      </c>
    </row>
    <row r="73" spans="2:115">
      <c r="B73" s="227">
        <f>ROUNDUP(C74/12,0)</f>
        <v>4</v>
      </c>
      <c r="C73" s="3">
        <f t="shared" si="168"/>
        <v>36</v>
      </c>
      <c r="D73" s="10">
        <f t="shared" si="105"/>
        <v>113692.96026486125</v>
      </c>
      <c r="E73" s="10">
        <f t="shared" si="106"/>
        <v>111025.50369728624</v>
      </c>
      <c r="F73" s="10">
        <f t="shared" si="107"/>
        <v>113943.28499999997</v>
      </c>
      <c r="G73" s="10">
        <f t="shared" si="108"/>
        <v>109454.28499999997</v>
      </c>
      <c r="H73" s="10">
        <f t="shared" si="109"/>
        <v>115629.86096640001</v>
      </c>
      <c r="I73" s="10">
        <f t="shared" si="110"/>
        <v>110163.4895104</v>
      </c>
      <c r="J73" s="10">
        <f t="shared" si="169"/>
        <v>110863.23600833377</v>
      </c>
      <c r="K73" s="10">
        <f t="shared" si="170"/>
        <v>108637.3952</v>
      </c>
      <c r="W73" s="1">
        <f t="shared" si="144"/>
        <v>55</v>
      </c>
      <c r="X73" s="2">
        <f t="shared" si="121"/>
        <v>113503.33655593813</v>
      </c>
      <c r="Y73" s="8">
        <f t="shared" si="157"/>
        <v>4.1300000000000003E-2</v>
      </c>
      <c r="Z73" s="5">
        <f t="shared" si="145"/>
        <v>1141</v>
      </c>
      <c r="AA73" s="2">
        <f t="shared" si="146"/>
        <v>113985.90000000001</v>
      </c>
      <c r="AB73" s="2">
        <f t="shared" si="37"/>
        <v>114100</v>
      </c>
      <c r="AC73" s="2">
        <f t="shared" si="147"/>
        <v>119405.65</v>
      </c>
      <c r="AD73" s="8">
        <f t="shared" si="122"/>
        <v>4.65E-2</v>
      </c>
      <c r="AE73" s="2">
        <f t="shared" si="2"/>
        <v>122644.52825625001</v>
      </c>
      <c r="AF73" s="2" t="str">
        <f t="shared" si="123"/>
        <v>nie</v>
      </c>
      <c r="AG73" s="2">
        <f t="shared" si="124"/>
        <v>1141</v>
      </c>
      <c r="AH73" s="1">
        <f t="shared" si="79"/>
        <v>0</v>
      </c>
      <c r="AI73" s="1">
        <f t="shared" si="111"/>
        <v>0</v>
      </c>
      <c r="AJ73" s="1">
        <f t="shared" si="155"/>
        <v>0</v>
      </c>
      <c r="AK73" s="1">
        <f t="shared" si="166"/>
        <v>0</v>
      </c>
      <c r="AL73" s="2">
        <f t="shared" si="90"/>
        <v>0</v>
      </c>
      <c r="AM73" s="8">
        <f t="shared" si="160"/>
        <v>4.65E-2</v>
      </c>
      <c r="AN73" s="2">
        <f t="shared" si="91"/>
        <v>0</v>
      </c>
      <c r="AO73" s="2">
        <f t="shared" si="161"/>
        <v>0</v>
      </c>
      <c r="AP73" s="2">
        <f t="shared" si="119"/>
        <v>0</v>
      </c>
      <c r="AQ73" s="8">
        <f t="shared" si="112"/>
        <v>4.1300000000000003E-2</v>
      </c>
      <c r="AR73" s="2">
        <f t="shared" si="113"/>
        <v>0</v>
      </c>
      <c r="AS73" s="2">
        <f t="shared" si="114"/>
        <v>0</v>
      </c>
      <c r="AT73" s="2">
        <f t="shared" si="39"/>
        <v>0</v>
      </c>
      <c r="AU73" s="2">
        <f t="shared" si="92"/>
        <v>0</v>
      </c>
      <c r="AV73" s="2">
        <f t="shared" si="82"/>
        <v>53.345092499992461</v>
      </c>
      <c r="AW73" s="1">
        <f t="shared" si="158"/>
        <v>0</v>
      </c>
      <c r="AX73" s="2">
        <f t="shared" si="125"/>
        <v>53.345092499992461</v>
      </c>
      <c r="AY73" s="1">
        <f t="shared" si="83"/>
        <v>0</v>
      </c>
      <c r="AZ73" s="2">
        <f t="shared" si="40"/>
        <v>53.345092499992461</v>
      </c>
      <c r="BA73" s="2">
        <f t="shared" si="93"/>
        <v>122697.87334875</v>
      </c>
      <c r="BB73" s="2">
        <f t="shared" si="126"/>
        <v>0</v>
      </c>
      <c r="BC73" s="2">
        <f t="shared" si="41"/>
        <v>513.52742076824995</v>
      </c>
      <c r="BD73" s="2">
        <f t="shared" si="10"/>
        <v>122184.34592798175</v>
      </c>
      <c r="BE73" s="2">
        <f t="shared" si="42"/>
        <v>1141</v>
      </c>
      <c r="BF73" s="2">
        <f t="shared" si="11"/>
        <v>4095.8059362624999</v>
      </c>
      <c r="BG73" s="2">
        <f t="shared" si="12"/>
        <v>116947.53999171924</v>
      </c>
      <c r="BI73" s="8">
        <f t="shared" si="162"/>
        <v>2.8000000000000001E-2</v>
      </c>
      <c r="BJ73" s="5">
        <f t="shared" si="148"/>
        <v>1044</v>
      </c>
      <c r="BK73" s="2">
        <f t="shared" si="149"/>
        <v>104295.6</v>
      </c>
      <c r="BL73" s="2">
        <f t="shared" si="150"/>
        <v>104400</v>
      </c>
      <c r="BM73" s="2">
        <f t="shared" si="127"/>
        <v>104400</v>
      </c>
      <c r="BN73" s="8">
        <f t="shared" si="128"/>
        <v>0.05</v>
      </c>
      <c r="BO73" s="2">
        <f t="shared" si="129"/>
        <v>107444.99999999999</v>
      </c>
      <c r="BP73" s="2" t="str">
        <f t="shared" si="130"/>
        <v>nie</v>
      </c>
      <c r="BQ73" s="2">
        <f t="shared" si="131"/>
        <v>2088</v>
      </c>
      <c r="BR73" s="1">
        <f t="shared" si="163"/>
        <v>7</v>
      </c>
      <c r="BS73" s="1">
        <f t="shared" si="115"/>
        <v>47</v>
      </c>
      <c r="BT73" s="1">
        <f t="shared" si="156"/>
        <v>45</v>
      </c>
      <c r="BU73" s="1">
        <f t="shared" si="167"/>
        <v>50</v>
      </c>
      <c r="BV73" s="2">
        <f t="shared" si="94"/>
        <v>700</v>
      </c>
      <c r="BW73" s="8">
        <f t="shared" si="164"/>
        <v>0.05</v>
      </c>
      <c r="BX73" s="2">
        <f t="shared" si="95"/>
        <v>720.41666666666663</v>
      </c>
      <c r="BY73" s="2">
        <f t="shared" si="165"/>
        <v>14</v>
      </c>
      <c r="BZ73" s="2">
        <f t="shared" si="120"/>
        <v>14200</v>
      </c>
      <c r="CA73" s="8">
        <f t="shared" si="116"/>
        <v>4.2999999999999997E-2</v>
      </c>
      <c r="CB73" s="2">
        <f t="shared" si="117"/>
        <v>14556.183333333334</v>
      </c>
      <c r="CC73" s="2">
        <f t="shared" si="118"/>
        <v>284</v>
      </c>
      <c r="CD73" s="2">
        <f t="shared" si="132"/>
        <v>0</v>
      </c>
      <c r="CE73" s="2">
        <f t="shared" si="96"/>
        <v>0</v>
      </c>
      <c r="CF73" s="2">
        <f t="shared" si="97"/>
        <v>37.899999999950523</v>
      </c>
      <c r="CG73" s="1">
        <f t="shared" si="159"/>
        <v>0</v>
      </c>
      <c r="CH73" s="2">
        <f t="shared" si="133"/>
        <v>37.899999999950523</v>
      </c>
      <c r="CI73" s="1">
        <f t="shared" si="89"/>
        <v>0</v>
      </c>
      <c r="CJ73" s="2">
        <f t="shared" si="98"/>
        <v>37.899999999950523</v>
      </c>
      <c r="CK73" s="2">
        <f t="shared" si="99"/>
        <v>122759.49999999994</v>
      </c>
      <c r="CL73" s="2">
        <f t="shared" si="134"/>
        <v>0</v>
      </c>
      <c r="CM73" s="2">
        <f t="shared" si="47"/>
        <v>513.64189999999985</v>
      </c>
      <c r="CN73" s="2">
        <f t="shared" si="135"/>
        <v>122245.85809999994</v>
      </c>
      <c r="CO73" s="2">
        <f t="shared" si="48"/>
        <v>2386</v>
      </c>
      <c r="CP73" s="2">
        <f t="shared" si="136"/>
        <v>3870.9649999999888</v>
      </c>
      <c r="CQ73" s="2">
        <f t="shared" si="137"/>
        <v>115988.89309999996</v>
      </c>
      <c r="CS73" s="5">
        <f t="shared" si="151"/>
        <v>1000</v>
      </c>
      <c r="CT73" s="2">
        <f t="shared" si="152"/>
        <v>100000</v>
      </c>
      <c r="CU73" s="2">
        <f t="shared" si="153"/>
        <v>100000</v>
      </c>
      <c r="CV73" s="2">
        <f t="shared" si="154"/>
        <v>121547.98571520002</v>
      </c>
      <c r="CW73" s="8">
        <f t="shared" si="138"/>
        <v>4.8000000000000001E-2</v>
      </c>
      <c r="CX73" s="2">
        <f t="shared" si="139"/>
        <v>124951.32931522562</v>
      </c>
      <c r="CY73" s="2" t="str">
        <f t="shared" si="140"/>
        <v>nie</v>
      </c>
      <c r="CZ73" s="2">
        <f t="shared" si="53"/>
        <v>0</v>
      </c>
      <c r="DA73" s="2">
        <f t="shared" si="54"/>
        <v>0</v>
      </c>
      <c r="DB73" s="2">
        <f t="shared" si="55"/>
        <v>124951.32931522562</v>
      </c>
      <c r="DC73" s="2">
        <f t="shared" si="141"/>
        <v>0</v>
      </c>
      <c r="DD73" s="2">
        <f t="shared" si="56"/>
        <v>521.20861360128004</v>
      </c>
      <c r="DE73" s="2">
        <f t="shared" si="57"/>
        <v>124430.12070162434</v>
      </c>
      <c r="DF73" s="2">
        <f t="shared" si="142"/>
        <v>3000</v>
      </c>
      <c r="DG73" s="2">
        <f t="shared" si="143"/>
        <v>4170.7525698928685</v>
      </c>
      <c r="DH73" s="2">
        <f t="shared" si="58"/>
        <v>117259.36813173148</v>
      </c>
    </row>
    <row r="74" spans="2:115">
      <c r="B74" s="228"/>
      <c r="C74" s="1">
        <f t="shared" si="168"/>
        <v>37</v>
      </c>
      <c r="D74" s="2">
        <f t="shared" si="105"/>
        <v>114249.19776486125</v>
      </c>
      <c r="E74" s="2">
        <f t="shared" si="106"/>
        <v>111117.92469728625</v>
      </c>
      <c r="F74" s="2">
        <f t="shared" si="107"/>
        <v>114355.2433333333</v>
      </c>
      <c r="G74" s="2">
        <f t="shared" si="108"/>
        <v>109772.10874999998</v>
      </c>
      <c r="H74" s="2">
        <f t="shared" si="109"/>
        <v>116093.78457600001</v>
      </c>
      <c r="I74" s="2">
        <f t="shared" si="110"/>
        <v>110539.26763417601</v>
      </c>
      <c r="J74" s="2">
        <f t="shared" si="169"/>
        <v>111181.27491663267</v>
      </c>
      <c r="K74" s="2">
        <f t="shared" si="170"/>
        <v>108890.88245546666</v>
      </c>
      <c r="W74" s="1">
        <f t="shared" si="144"/>
        <v>56</v>
      </c>
      <c r="X74" s="2">
        <f t="shared" si="121"/>
        <v>113763.92145455786</v>
      </c>
      <c r="Y74" s="8">
        <f t="shared" si="157"/>
        <v>4.1300000000000003E-2</v>
      </c>
      <c r="Z74" s="5">
        <f t="shared" si="145"/>
        <v>1141</v>
      </c>
      <c r="AA74" s="2">
        <f t="shared" si="146"/>
        <v>113985.90000000001</v>
      </c>
      <c r="AB74" s="2">
        <f t="shared" si="37"/>
        <v>114100</v>
      </c>
      <c r="AC74" s="2">
        <f t="shared" si="147"/>
        <v>119405.65</v>
      </c>
      <c r="AD74" s="8">
        <f t="shared" si="122"/>
        <v>4.65E-2</v>
      </c>
      <c r="AE74" s="2">
        <f t="shared" si="2"/>
        <v>123107.22514999998</v>
      </c>
      <c r="AF74" s="2" t="str">
        <f t="shared" si="123"/>
        <v>nie</v>
      </c>
      <c r="AG74" s="2">
        <f t="shared" si="124"/>
        <v>1141</v>
      </c>
      <c r="AH74" s="1">
        <f t="shared" si="79"/>
        <v>0</v>
      </c>
      <c r="AI74" s="1">
        <f t="shared" si="111"/>
        <v>0</v>
      </c>
      <c r="AJ74" s="1">
        <f t="shared" si="155"/>
        <v>0</v>
      </c>
      <c r="AK74" s="1">
        <f t="shared" si="166"/>
        <v>0</v>
      </c>
      <c r="AL74" s="2">
        <f t="shared" si="90"/>
        <v>0</v>
      </c>
      <c r="AM74" s="8">
        <f t="shared" si="160"/>
        <v>4.65E-2</v>
      </c>
      <c r="AN74" s="2">
        <f t="shared" si="91"/>
        <v>0</v>
      </c>
      <c r="AO74" s="2">
        <f t="shared" si="161"/>
        <v>0</v>
      </c>
      <c r="AP74" s="2">
        <f t="shared" si="119"/>
        <v>0</v>
      </c>
      <c r="AQ74" s="8">
        <f t="shared" si="112"/>
        <v>4.1300000000000003E-2</v>
      </c>
      <c r="AR74" s="2">
        <f t="shared" si="113"/>
        <v>0</v>
      </c>
      <c r="AS74" s="2">
        <f t="shared" si="114"/>
        <v>0</v>
      </c>
      <c r="AT74" s="2">
        <f t="shared" si="39"/>
        <v>0</v>
      </c>
      <c r="AU74" s="2">
        <f t="shared" si="92"/>
        <v>0</v>
      </c>
      <c r="AV74" s="2">
        <f t="shared" si="82"/>
        <v>53.345092499992461</v>
      </c>
      <c r="AW74" s="1">
        <f t="shared" si="158"/>
        <v>0</v>
      </c>
      <c r="AX74" s="2">
        <f t="shared" si="125"/>
        <v>53.345092499992461</v>
      </c>
      <c r="AY74" s="1">
        <f t="shared" si="83"/>
        <v>0</v>
      </c>
      <c r="AZ74" s="2">
        <f t="shared" si="40"/>
        <v>53.345092499992461</v>
      </c>
      <c r="BA74" s="2">
        <f t="shared" si="93"/>
        <v>123160.57024249998</v>
      </c>
      <c r="BB74" s="2">
        <f t="shared" si="126"/>
        <v>0</v>
      </c>
      <c r="BC74" s="2">
        <f t="shared" si="41"/>
        <v>513.52742076824995</v>
      </c>
      <c r="BD74" s="2">
        <f t="shared" si="10"/>
        <v>122647.04282173172</v>
      </c>
      <c r="BE74" s="2">
        <f t="shared" si="42"/>
        <v>1141</v>
      </c>
      <c r="BF74" s="2">
        <f t="shared" si="11"/>
        <v>4183.7183460749957</v>
      </c>
      <c r="BG74" s="2">
        <f t="shared" si="12"/>
        <v>117322.32447565673</v>
      </c>
      <c r="BI74" s="8">
        <f t="shared" si="162"/>
        <v>2.8000000000000001E-2</v>
      </c>
      <c r="BJ74" s="5">
        <f t="shared" si="148"/>
        <v>1044</v>
      </c>
      <c r="BK74" s="2">
        <f t="shared" si="149"/>
        <v>104295.6</v>
      </c>
      <c r="BL74" s="2">
        <f t="shared" si="150"/>
        <v>104400</v>
      </c>
      <c r="BM74" s="2">
        <f t="shared" si="127"/>
        <v>104400</v>
      </c>
      <c r="BN74" s="8">
        <f t="shared" si="128"/>
        <v>0.05</v>
      </c>
      <c r="BO74" s="2">
        <f t="shared" si="129"/>
        <v>107880.00000000001</v>
      </c>
      <c r="BP74" s="2" t="str">
        <f t="shared" si="130"/>
        <v>nie</v>
      </c>
      <c r="BQ74" s="2">
        <f t="shared" si="131"/>
        <v>2088</v>
      </c>
      <c r="BR74" s="1">
        <f t="shared" si="163"/>
        <v>7</v>
      </c>
      <c r="BS74" s="1">
        <f t="shared" si="115"/>
        <v>47</v>
      </c>
      <c r="BT74" s="1">
        <f t="shared" si="156"/>
        <v>45</v>
      </c>
      <c r="BU74" s="1">
        <f t="shared" si="167"/>
        <v>50</v>
      </c>
      <c r="BV74" s="2">
        <f t="shared" si="94"/>
        <v>700</v>
      </c>
      <c r="BW74" s="8">
        <f t="shared" si="164"/>
        <v>0.05</v>
      </c>
      <c r="BX74" s="2">
        <f t="shared" si="95"/>
        <v>723.33333333333337</v>
      </c>
      <c r="BY74" s="2">
        <f t="shared" si="165"/>
        <v>14</v>
      </c>
      <c r="BZ74" s="2">
        <f t="shared" si="120"/>
        <v>14200</v>
      </c>
      <c r="CA74" s="8">
        <f t="shared" si="116"/>
        <v>4.2999999999999997E-2</v>
      </c>
      <c r="CB74" s="2">
        <f t="shared" si="117"/>
        <v>14607.066666666666</v>
      </c>
      <c r="CC74" s="2">
        <f t="shared" si="118"/>
        <v>284</v>
      </c>
      <c r="CD74" s="2">
        <f t="shared" si="132"/>
        <v>0</v>
      </c>
      <c r="CE74" s="2">
        <f t="shared" si="96"/>
        <v>0</v>
      </c>
      <c r="CF74" s="2">
        <f t="shared" si="97"/>
        <v>37.899999999950523</v>
      </c>
      <c r="CG74" s="1">
        <f t="shared" si="159"/>
        <v>0</v>
      </c>
      <c r="CH74" s="2">
        <f t="shared" si="133"/>
        <v>37.899999999950523</v>
      </c>
      <c r="CI74" s="1">
        <f t="shared" si="89"/>
        <v>0</v>
      </c>
      <c r="CJ74" s="2">
        <f t="shared" si="98"/>
        <v>37.899999999950523</v>
      </c>
      <c r="CK74" s="2">
        <f t="shared" si="99"/>
        <v>123248.29999999996</v>
      </c>
      <c r="CL74" s="2">
        <f t="shared" si="134"/>
        <v>0</v>
      </c>
      <c r="CM74" s="2">
        <f t="shared" si="47"/>
        <v>513.64189999999985</v>
      </c>
      <c r="CN74" s="2">
        <f t="shared" si="135"/>
        <v>122734.65809999996</v>
      </c>
      <c r="CO74" s="2">
        <f t="shared" si="48"/>
        <v>2386</v>
      </c>
      <c r="CP74" s="2">
        <f t="shared" si="136"/>
        <v>3963.8369999999923</v>
      </c>
      <c r="CQ74" s="2">
        <f t="shared" si="137"/>
        <v>116384.82109999997</v>
      </c>
      <c r="CS74" s="5">
        <f t="shared" si="151"/>
        <v>1000</v>
      </c>
      <c r="CT74" s="2">
        <f t="shared" si="152"/>
        <v>100000</v>
      </c>
      <c r="CU74" s="2">
        <f t="shared" si="153"/>
        <v>100000</v>
      </c>
      <c r="CV74" s="2">
        <f t="shared" si="154"/>
        <v>121547.98571520002</v>
      </c>
      <c r="CW74" s="8">
        <f t="shared" si="138"/>
        <v>4.8000000000000001E-2</v>
      </c>
      <c r="CX74" s="2">
        <f t="shared" si="139"/>
        <v>125437.52125808642</v>
      </c>
      <c r="CY74" s="2" t="str">
        <f t="shared" si="140"/>
        <v>nie</v>
      </c>
      <c r="CZ74" s="2">
        <f t="shared" si="53"/>
        <v>0</v>
      </c>
      <c r="DA74" s="2">
        <f t="shared" si="54"/>
        <v>0</v>
      </c>
      <c r="DB74" s="2">
        <f t="shared" si="55"/>
        <v>125437.52125808642</v>
      </c>
      <c r="DC74" s="2">
        <f t="shared" si="141"/>
        <v>0</v>
      </c>
      <c r="DD74" s="2">
        <f t="shared" si="56"/>
        <v>521.20861360128004</v>
      </c>
      <c r="DE74" s="2">
        <f t="shared" si="57"/>
        <v>124916.31264448514</v>
      </c>
      <c r="DF74" s="2">
        <f t="shared" si="142"/>
        <v>3000</v>
      </c>
      <c r="DG74" s="2">
        <f t="shared" si="143"/>
        <v>4263.1290390364193</v>
      </c>
      <c r="DH74" s="2">
        <f t="shared" si="58"/>
        <v>117653.18360544872</v>
      </c>
    </row>
    <row r="75" spans="2:115">
      <c r="B75" s="228"/>
      <c r="C75" s="1">
        <f t="shared" si="168"/>
        <v>38</v>
      </c>
      <c r="D75" s="2">
        <f t="shared" si="105"/>
        <v>114691.33526486123</v>
      </c>
      <c r="E75" s="2">
        <f t="shared" si="106"/>
        <v>111117.92469728625</v>
      </c>
      <c r="F75" s="2">
        <f t="shared" si="107"/>
        <v>114767.20166666665</v>
      </c>
      <c r="G75" s="2">
        <f t="shared" si="108"/>
        <v>110089.93249999998</v>
      </c>
      <c r="H75" s="2">
        <f t="shared" si="109"/>
        <v>116557.70818560001</v>
      </c>
      <c r="I75" s="2">
        <f t="shared" si="110"/>
        <v>110915.04575795202</v>
      </c>
      <c r="J75" s="2">
        <f t="shared" si="169"/>
        <v>111500.22619904975</v>
      </c>
      <c r="K75" s="2">
        <f t="shared" si="170"/>
        <v>109144.36971093333</v>
      </c>
      <c r="W75" s="1">
        <f t="shared" si="144"/>
        <v>57</v>
      </c>
      <c r="X75" s="2">
        <f t="shared" si="121"/>
        <v>114024.50635317758</v>
      </c>
      <c r="Y75" s="8">
        <f t="shared" si="157"/>
        <v>4.1300000000000003E-2</v>
      </c>
      <c r="Z75" s="5">
        <f t="shared" si="145"/>
        <v>1141</v>
      </c>
      <c r="AA75" s="2">
        <f t="shared" si="146"/>
        <v>113985.90000000001</v>
      </c>
      <c r="AB75" s="2">
        <f t="shared" si="37"/>
        <v>114100</v>
      </c>
      <c r="AC75" s="2">
        <f t="shared" si="147"/>
        <v>119405.65</v>
      </c>
      <c r="AD75" s="8">
        <f t="shared" si="122"/>
        <v>4.65E-2</v>
      </c>
      <c r="AE75" s="2">
        <f t="shared" si="2"/>
        <v>123569.92204374999</v>
      </c>
      <c r="AF75" s="2" t="str">
        <f t="shared" si="123"/>
        <v>nie</v>
      </c>
      <c r="AG75" s="2">
        <f t="shared" si="124"/>
        <v>1141</v>
      </c>
      <c r="AH75" s="1">
        <f t="shared" si="79"/>
        <v>0</v>
      </c>
      <c r="AI75" s="1">
        <f t="shared" ref="AI75:AI106" si="171">IF(zapadalnosc_TOS/12&gt;=AI$18,AH63,0)</f>
        <v>0</v>
      </c>
      <c r="AJ75" s="1">
        <f t="shared" si="155"/>
        <v>0</v>
      </c>
      <c r="AK75" s="1">
        <f t="shared" si="166"/>
        <v>0</v>
      </c>
      <c r="AL75" s="2">
        <f t="shared" si="90"/>
        <v>0</v>
      </c>
      <c r="AM75" s="8">
        <f t="shared" si="160"/>
        <v>4.65E-2</v>
      </c>
      <c r="AN75" s="2">
        <f t="shared" si="91"/>
        <v>0</v>
      </c>
      <c r="AO75" s="2">
        <f t="shared" si="161"/>
        <v>0</v>
      </c>
      <c r="AP75" s="2">
        <f t="shared" si="119"/>
        <v>0</v>
      </c>
      <c r="AQ75" s="8">
        <f t="shared" ref="AQ75:AQ106" si="172">marza_TOS+Y75</f>
        <v>4.1300000000000003E-2</v>
      </c>
      <c r="AR75" s="2">
        <f t="shared" si="113"/>
        <v>0</v>
      </c>
      <c r="AS75" s="2">
        <f t="shared" ref="AS75:AS106" si="173">SUM(AI75:AK75)*koszt_wczesniejszy_wykup_TOS</f>
        <v>0</v>
      </c>
      <c r="AT75" s="2">
        <f t="shared" si="39"/>
        <v>0</v>
      </c>
      <c r="AU75" s="2">
        <f t="shared" si="92"/>
        <v>0</v>
      </c>
      <c r="AV75" s="2">
        <f t="shared" si="82"/>
        <v>53.345092499992461</v>
      </c>
      <c r="AW75" s="1">
        <f t="shared" si="158"/>
        <v>0</v>
      </c>
      <c r="AX75" s="2">
        <f t="shared" si="125"/>
        <v>53.345092499992461</v>
      </c>
      <c r="AY75" s="1">
        <f t="shared" si="83"/>
        <v>0</v>
      </c>
      <c r="AZ75" s="2">
        <f t="shared" si="40"/>
        <v>53.345092499992461</v>
      </c>
      <c r="BA75" s="2">
        <f t="shared" si="93"/>
        <v>123623.26713624998</v>
      </c>
      <c r="BB75" s="2">
        <f t="shared" si="126"/>
        <v>0</v>
      </c>
      <c r="BC75" s="2">
        <f t="shared" si="41"/>
        <v>513.52742076824995</v>
      </c>
      <c r="BD75" s="2">
        <f t="shared" si="10"/>
        <v>123109.73971548173</v>
      </c>
      <c r="BE75" s="2">
        <f t="shared" si="42"/>
        <v>1141</v>
      </c>
      <c r="BF75" s="2">
        <f t="shared" si="11"/>
        <v>4271.6307558874969</v>
      </c>
      <c r="BG75" s="2">
        <f t="shared" si="12"/>
        <v>117697.10895959423</v>
      </c>
      <c r="BI75" s="8">
        <f t="shared" si="162"/>
        <v>2.8000000000000001E-2</v>
      </c>
      <c r="BJ75" s="5">
        <f t="shared" si="148"/>
        <v>1044</v>
      </c>
      <c r="BK75" s="2">
        <f t="shared" si="149"/>
        <v>104295.6</v>
      </c>
      <c r="BL75" s="2">
        <f t="shared" si="150"/>
        <v>104400</v>
      </c>
      <c r="BM75" s="2">
        <f t="shared" si="127"/>
        <v>104400</v>
      </c>
      <c r="BN75" s="8">
        <f t="shared" si="128"/>
        <v>0.05</v>
      </c>
      <c r="BO75" s="2">
        <f t="shared" si="129"/>
        <v>108315.00000000001</v>
      </c>
      <c r="BP75" s="2" t="str">
        <f t="shared" si="130"/>
        <v>nie</v>
      </c>
      <c r="BQ75" s="2">
        <f t="shared" si="131"/>
        <v>2088</v>
      </c>
      <c r="BR75" s="1">
        <f t="shared" si="163"/>
        <v>7</v>
      </c>
      <c r="BS75" s="1">
        <f t="shared" ref="BS75:BS106" si="174">IF(zapadalnosc_COI/12&gt;=BS$18,BR63,0)</f>
        <v>47</v>
      </c>
      <c r="BT75" s="1">
        <f t="shared" si="156"/>
        <v>45</v>
      </c>
      <c r="BU75" s="1">
        <f t="shared" si="167"/>
        <v>50</v>
      </c>
      <c r="BV75" s="2">
        <f t="shared" si="94"/>
        <v>700</v>
      </c>
      <c r="BW75" s="8">
        <f t="shared" si="164"/>
        <v>0.05</v>
      </c>
      <c r="BX75" s="2">
        <f t="shared" si="95"/>
        <v>726.25000000000011</v>
      </c>
      <c r="BY75" s="2">
        <f t="shared" si="165"/>
        <v>14</v>
      </c>
      <c r="BZ75" s="2">
        <f t="shared" si="120"/>
        <v>14200</v>
      </c>
      <c r="CA75" s="8">
        <f t="shared" ref="CA75:CA106" si="175">marza_COI+BI75</f>
        <v>4.2999999999999997E-2</v>
      </c>
      <c r="CB75" s="2">
        <f t="shared" si="117"/>
        <v>14657.949999999999</v>
      </c>
      <c r="CC75" s="2">
        <f t="shared" ref="CC75:CC106" si="176">SUM(BS75:BU75)*koszt_wczesniejszy_wykup_COI</f>
        <v>284</v>
      </c>
      <c r="CD75" s="2">
        <f t="shared" si="132"/>
        <v>0</v>
      </c>
      <c r="CE75" s="2">
        <f t="shared" si="96"/>
        <v>0</v>
      </c>
      <c r="CF75" s="2">
        <f t="shared" si="97"/>
        <v>37.899999999950523</v>
      </c>
      <c r="CG75" s="1">
        <f t="shared" si="159"/>
        <v>0</v>
      </c>
      <c r="CH75" s="2">
        <f t="shared" si="133"/>
        <v>37.899999999950523</v>
      </c>
      <c r="CI75" s="1">
        <f t="shared" si="89"/>
        <v>0</v>
      </c>
      <c r="CJ75" s="2">
        <f t="shared" si="98"/>
        <v>37.899999999950523</v>
      </c>
      <c r="CK75" s="2">
        <f t="shared" si="99"/>
        <v>123737.09999999996</v>
      </c>
      <c r="CL75" s="2">
        <f t="shared" si="134"/>
        <v>0</v>
      </c>
      <c r="CM75" s="2">
        <f t="shared" si="47"/>
        <v>513.64189999999985</v>
      </c>
      <c r="CN75" s="2">
        <f t="shared" si="135"/>
        <v>123223.45809999996</v>
      </c>
      <c r="CO75" s="2">
        <f t="shared" si="48"/>
        <v>2386</v>
      </c>
      <c r="CP75" s="2">
        <f t="shared" si="136"/>
        <v>4056.708999999993</v>
      </c>
      <c r="CQ75" s="2">
        <f t="shared" si="137"/>
        <v>116780.74909999997</v>
      </c>
      <c r="CS75" s="5">
        <f t="shared" si="151"/>
        <v>1000</v>
      </c>
      <c r="CT75" s="2">
        <f t="shared" si="152"/>
        <v>100000</v>
      </c>
      <c r="CU75" s="2">
        <f t="shared" si="153"/>
        <v>100000</v>
      </c>
      <c r="CV75" s="2">
        <f t="shared" si="154"/>
        <v>121547.98571520002</v>
      </c>
      <c r="CW75" s="8">
        <f t="shared" si="138"/>
        <v>4.8000000000000001E-2</v>
      </c>
      <c r="CX75" s="2">
        <f t="shared" si="139"/>
        <v>125923.71320094723</v>
      </c>
      <c r="CY75" s="2" t="str">
        <f t="shared" si="140"/>
        <v>nie</v>
      </c>
      <c r="CZ75" s="2">
        <f t="shared" si="53"/>
        <v>0</v>
      </c>
      <c r="DA75" s="2">
        <f t="shared" si="54"/>
        <v>0</v>
      </c>
      <c r="DB75" s="2">
        <f t="shared" si="55"/>
        <v>125923.71320094723</v>
      </c>
      <c r="DC75" s="2">
        <f t="shared" si="141"/>
        <v>0</v>
      </c>
      <c r="DD75" s="2">
        <f t="shared" si="56"/>
        <v>521.20861360128004</v>
      </c>
      <c r="DE75" s="2">
        <f t="shared" si="57"/>
        <v>125402.50458734595</v>
      </c>
      <c r="DF75" s="2">
        <f t="shared" si="142"/>
        <v>3000</v>
      </c>
      <c r="DG75" s="2">
        <f t="shared" si="143"/>
        <v>4355.5055081799728</v>
      </c>
      <c r="DH75" s="2">
        <f t="shared" si="58"/>
        <v>118046.99907916598</v>
      </c>
    </row>
    <row r="76" spans="2:115">
      <c r="B76" s="228"/>
      <c r="C76" s="1">
        <f t="shared" si="168"/>
        <v>39</v>
      </c>
      <c r="D76" s="2">
        <f t="shared" si="105"/>
        <v>115133.47276486125</v>
      </c>
      <c r="E76" s="2">
        <f t="shared" si="106"/>
        <v>111268.10882228625</v>
      </c>
      <c r="F76" s="2">
        <f t="shared" si="107"/>
        <v>115179.15999999997</v>
      </c>
      <c r="G76" s="2">
        <f t="shared" si="108"/>
        <v>110407.75624999998</v>
      </c>
      <c r="H76" s="2">
        <f t="shared" si="109"/>
        <v>117021.63179520001</v>
      </c>
      <c r="I76" s="2">
        <f t="shared" si="110"/>
        <v>111290.82388172801</v>
      </c>
      <c r="J76" s="2">
        <f t="shared" si="169"/>
        <v>111820.09247295828</v>
      </c>
      <c r="K76" s="2">
        <f t="shared" si="170"/>
        <v>109397.85696639998</v>
      </c>
      <c r="W76" s="1">
        <f t="shared" si="144"/>
        <v>58</v>
      </c>
      <c r="X76" s="2">
        <f t="shared" si="121"/>
        <v>114285.09125179735</v>
      </c>
      <c r="Y76" s="8">
        <f t="shared" si="157"/>
        <v>4.1300000000000003E-2</v>
      </c>
      <c r="Z76" s="5">
        <f t="shared" si="145"/>
        <v>1141</v>
      </c>
      <c r="AA76" s="2">
        <f t="shared" si="146"/>
        <v>113985.90000000001</v>
      </c>
      <c r="AB76" s="2">
        <f t="shared" si="37"/>
        <v>114100</v>
      </c>
      <c r="AC76" s="2">
        <f t="shared" si="147"/>
        <v>119405.65</v>
      </c>
      <c r="AD76" s="8">
        <f t="shared" si="122"/>
        <v>4.65E-2</v>
      </c>
      <c r="AE76" s="2">
        <f t="shared" si="2"/>
        <v>124032.6189375</v>
      </c>
      <c r="AF76" s="2" t="str">
        <f t="shared" si="123"/>
        <v>nie</v>
      </c>
      <c r="AG76" s="2">
        <f t="shared" si="124"/>
        <v>1141</v>
      </c>
      <c r="AH76" s="1">
        <f t="shared" si="79"/>
        <v>0</v>
      </c>
      <c r="AI76" s="1">
        <f t="shared" si="171"/>
        <v>0</v>
      </c>
      <c r="AJ76" s="1">
        <f t="shared" si="155"/>
        <v>0</v>
      </c>
      <c r="AK76" s="1">
        <f t="shared" si="166"/>
        <v>0</v>
      </c>
      <c r="AL76" s="2">
        <f t="shared" si="90"/>
        <v>0</v>
      </c>
      <c r="AM76" s="8">
        <f t="shared" si="160"/>
        <v>4.65E-2</v>
      </c>
      <c r="AN76" s="2">
        <f t="shared" si="91"/>
        <v>0</v>
      </c>
      <c r="AO76" s="2">
        <f t="shared" si="161"/>
        <v>0</v>
      </c>
      <c r="AP76" s="2">
        <f t="shared" si="119"/>
        <v>0</v>
      </c>
      <c r="AQ76" s="8">
        <f t="shared" si="172"/>
        <v>4.1300000000000003E-2</v>
      </c>
      <c r="AR76" s="2">
        <f t="shared" si="113"/>
        <v>0</v>
      </c>
      <c r="AS76" s="2">
        <f t="shared" si="173"/>
        <v>0</v>
      </c>
      <c r="AT76" s="2">
        <f t="shared" si="39"/>
        <v>0</v>
      </c>
      <c r="AU76" s="2">
        <f t="shared" si="92"/>
        <v>0</v>
      </c>
      <c r="AV76" s="2">
        <f t="shared" si="82"/>
        <v>53.345092499992461</v>
      </c>
      <c r="AW76" s="1">
        <f t="shared" si="158"/>
        <v>0</v>
      </c>
      <c r="AX76" s="2">
        <f t="shared" si="125"/>
        <v>53.345092499992461</v>
      </c>
      <c r="AY76" s="1">
        <f t="shared" si="83"/>
        <v>0</v>
      </c>
      <c r="AZ76" s="2">
        <f t="shared" si="40"/>
        <v>53.345092499992461</v>
      </c>
      <c r="BA76" s="2">
        <f t="shared" si="93"/>
        <v>124085.96402999999</v>
      </c>
      <c r="BB76" s="2">
        <f t="shared" si="126"/>
        <v>0</v>
      </c>
      <c r="BC76" s="2">
        <f t="shared" si="41"/>
        <v>513.52742076824995</v>
      </c>
      <c r="BD76" s="2">
        <f t="shared" si="10"/>
        <v>123572.43660923174</v>
      </c>
      <c r="BE76" s="2">
        <f t="shared" si="42"/>
        <v>1141</v>
      </c>
      <c r="BF76" s="2">
        <f t="shared" si="11"/>
        <v>4359.5431656999981</v>
      </c>
      <c r="BG76" s="2">
        <f t="shared" si="12"/>
        <v>118071.89344353174</v>
      </c>
      <c r="BI76" s="8">
        <f t="shared" si="162"/>
        <v>2.8000000000000001E-2</v>
      </c>
      <c r="BJ76" s="5">
        <f t="shared" si="148"/>
        <v>1044</v>
      </c>
      <c r="BK76" s="2">
        <f t="shared" si="149"/>
        <v>104295.6</v>
      </c>
      <c r="BL76" s="2">
        <f t="shared" si="150"/>
        <v>104400</v>
      </c>
      <c r="BM76" s="2">
        <f t="shared" si="127"/>
        <v>104400</v>
      </c>
      <c r="BN76" s="8">
        <f t="shared" si="128"/>
        <v>0.05</v>
      </c>
      <c r="BO76" s="2">
        <f t="shared" si="129"/>
        <v>108750.00000000001</v>
      </c>
      <c r="BP76" s="2" t="str">
        <f t="shared" si="130"/>
        <v>nie</v>
      </c>
      <c r="BQ76" s="2">
        <f t="shared" si="131"/>
        <v>2088</v>
      </c>
      <c r="BR76" s="1">
        <f t="shared" si="163"/>
        <v>7</v>
      </c>
      <c r="BS76" s="1">
        <f t="shared" si="174"/>
        <v>47</v>
      </c>
      <c r="BT76" s="1">
        <f t="shared" si="156"/>
        <v>45</v>
      </c>
      <c r="BU76" s="1">
        <f t="shared" si="167"/>
        <v>50</v>
      </c>
      <c r="BV76" s="2">
        <f t="shared" si="94"/>
        <v>700</v>
      </c>
      <c r="BW76" s="8">
        <f t="shared" si="164"/>
        <v>0.05</v>
      </c>
      <c r="BX76" s="2">
        <f t="shared" si="95"/>
        <v>729.16666666666674</v>
      </c>
      <c r="BY76" s="2">
        <f t="shared" si="165"/>
        <v>14</v>
      </c>
      <c r="BZ76" s="2">
        <f t="shared" si="120"/>
        <v>14200</v>
      </c>
      <c r="CA76" s="8">
        <f t="shared" si="175"/>
        <v>4.2999999999999997E-2</v>
      </c>
      <c r="CB76" s="2">
        <f t="shared" si="117"/>
        <v>14708.833333333334</v>
      </c>
      <c r="CC76" s="2">
        <f t="shared" si="176"/>
        <v>284</v>
      </c>
      <c r="CD76" s="2">
        <f t="shared" si="132"/>
        <v>0</v>
      </c>
      <c r="CE76" s="2">
        <f t="shared" si="96"/>
        <v>0</v>
      </c>
      <c r="CF76" s="2">
        <f t="shared" si="97"/>
        <v>37.899999999950523</v>
      </c>
      <c r="CG76" s="1">
        <f t="shared" si="159"/>
        <v>0</v>
      </c>
      <c r="CH76" s="2">
        <f t="shared" si="133"/>
        <v>37.899999999950523</v>
      </c>
      <c r="CI76" s="1">
        <f t="shared" si="89"/>
        <v>0</v>
      </c>
      <c r="CJ76" s="2">
        <f t="shared" si="98"/>
        <v>37.899999999950523</v>
      </c>
      <c r="CK76" s="2">
        <f t="shared" si="99"/>
        <v>124225.89999999997</v>
      </c>
      <c r="CL76" s="2">
        <f t="shared" si="134"/>
        <v>0</v>
      </c>
      <c r="CM76" s="2">
        <f t="shared" si="47"/>
        <v>513.64189999999985</v>
      </c>
      <c r="CN76" s="2">
        <f t="shared" si="135"/>
        <v>123712.25809999996</v>
      </c>
      <c r="CO76" s="2">
        <f t="shared" si="48"/>
        <v>2386</v>
      </c>
      <c r="CP76" s="2">
        <f t="shared" si="136"/>
        <v>4149.5809999999938</v>
      </c>
      <c r="CQ76" s="2">
        <f t="shared" si="137"/>
        <v>117176.67709999997</v>
      </c>
      <c r="CS76" s="5">
        <f t="shared" si="151"/>
        <v>1000</v>
      </c>
      <c r="CT76" s="2">
        <f t="shared" si="152"/>
        <v>100000</v>
      </c>
      <c r="CU76" s="2">
        <f t="shared" si="153"/>
        <v>100000</v>
      </c>
      <c r="CV76" s="2">
        <f t="shared" si="154"/>
        <v>121547.98571520002</v>
      </c>
      <c r="CW76" s="8">
        <f t="shared" si="138"/>
        <v>4.8000000000000001E-2</v>
      </c>
      <c r="CX76" s="2">
        <f t="shared" si="139"/>
        <v>126409.90514380802</v>
      </c>
      <c r="CY76" s="2" t="str">
        <f t="shared" si="140"/>
        <v>nie</v>
      </c>
      <c r="CZ76" s="2">
        <f t="shared" si="53"/>
        <v>0</v>
      </c>
      <c r="DA76" s="2">
        <f t="shared" si="54"/>
        <v>0</v>
      </c>
      <c r="DB76" s="2">
        <f t="shared" si="55"/>
        <v>126409.90514380802</v>
      </c>
      <c r="DC76" s="2">
        <f t="shared" si="141"/>
        <v>0</v>
      </c>
      <c r="DD76" s="2">
        <f t="shared" si="56"/>
        <v>521.20861360128004</v>
      </c>
      <c r="DE76" s="2">
        <f t="shared" si="57"/>
        <v>125888.69653020674</v>
      </c>
      <c r="DF76" s="2">
        <f t="shared" si="142"/>
        <v>3000</v>
      </c>
      <c r="DG76" s="2">
        <f t="shared" si="143"/>
        <v>4447.8819773235236</v>
      </c>
      <c r="DH76" s="2">
        <f t="shared" si="58"/>
        <v>118440.81455288321</v>
      </c>
    </row>
    <row r="77" spans="2:115">
      <c r="B77" s="228"/>
      <c r="C77" s="1">
        <f t="shared" si="168"/>
        <v>40</v>
      </c>
      <c r="D77" s="2">
        <f t="shared" si="105"/>
        <v>115575.61026486124</v>
      </c>
      <c r="E77" s="2">
        <f t="shared" si="106"/>
        <v>111626.24019728624</v>
      </c>
      <c r="F77" s="2">
        <f t="shared" si="107"/>
        <v>115591.1183333333</v>
      </c>
      <c r="G77" s="2">
        <f t="shared" si="108"/>
        <v>110725.57999999999</v>
      </c>
      <c r="H77" s="2">
        <f t="shared" si="109"/>
        <v>117485.55540480002</v>
      </c>
      <c r="I77" s="2">
        <f t="shared" si="110"/>
        <v>111666.60200550401</v>
      </c>
      <c r="J77" s="2">
        <f t="shared" si="169"/>
        <v>112140.87636324007</v>
      </c>
      <c r="K77" s="2">
        <f t="shared" si="170"/>
        <v>109651.34422186668</v>
      </c>
      <c r="W77" s="1">
        <f t="shared" si="144"/>
        <v>59</v>
      </c>
      <c r="X77" s="2">
        <f t="shared" si="121"/>
        <v>114545.67615041707</v>
      </c>
      <c r="Y77" s="8">
        <f t="shared" si="157"/>
        <v>4.1300000000000003E-2</v>
      </c>
      <c r="Z77" s="5">
        <f t="shared" si="145"/>
        <v>1141</v>
      </c>
      <c r="AA77" s="2">
        <f t="shared" si="146"/>
        <v>113985.90000000001</v>
      </c>
      <c r="AB77" s="2">
        <f t="shared" si="37"/>
        <v>114100</v>
      </c>
      <c r="AC77" s="2">
        <f t="shared" si="147"/>
        <v>119405.65</v>
      </c>
      <c r="AD77" s="8">
        <f t="shared" si="122"/>
        <v>4.65E-2</v>
      </c>
      <c r="AE77" s="2">
        <f t="shared" si="2"/>
        <v>124495.31583124999</v>
      </c>
      <c r="AF77" s="2" t="str">
        <f t="shared" si="123"/>
        <v>nie</v>
      </c>
      <c r="AG77" s="2">
        <f t="shared" si="124"/>
        <v>1141</v>
      </c>
      <c r="AH77" s="1">
        <f t="shared" si="79"/>
        <v>0</v>
      </c>
      <c r="AI77" s="1">
        <f t="shared" si="171"/>
        <v>0</v>
      </c>
      <c r="AJ77" s="1">
        <f t="shared" si="155"/>
        <v>0</v>
      </c>
      <c r="AK77" s="1">
        <f t="shared" si="166"/>
        <v>0</v>
      </c>
      <c r="AL77" s="2">
        <f t="shared" si="90"/>
        <v>0</v>
      </c>
      <c r="AM77" s="8">
        <f t="shared" si="160"/>
        <v>4.65E-2</v>
      </c>
      <c r="AN77" s="2">
        <f t="shared" si="91"/>
        <v>0</v>
      </c>
      <c r="AO77" s="2">
        <f t="shared" si="161"/>
        <v>0</v>
      </c>
      <c r="AP77" s="2">
        <f t="shared" si="119"/>
        <v>0</v>
      </c>
      <c r="AQ77" s="8">
        <f t="shared" si="172"/>
        <v>4.1300000000000003E-2</v>
      </c>
      <c r="AR77" s="2">
        <f t="shared" si="113"/>
        <v>0</v>
      </c>
      <c r="AS77" s="2">
        <f t="shared" si="173"/>
        <v>0</v>
      </c>
      <c r="AT77" s="2">
        <f t="shared" si="39"/>
        <v>0</v>
      </c>
      <c r="AU77" s="2">
        <f t="shared" si="92"/>
        <v>0</v>
      </c>
      <c r="AV77" s="2">
        <f t="shared" si="82"/>
        <v>53.345092499992461</v>
      </c>
      <c r="AW77" s="1">
        <f t="shared" si="158"/>
        <v>0</v>
      </c>
      <c r="AX77" s="2">
        <f t="shared" si="125"/>
        <v>53.345092499992461</v>
      </c>
      <c r="AY77" s="1">
        <f t="shared" si="83"/>
        <v>0</v>
      </c>
      <c r="AZ77" s="2">
        <f t="shared" si="40"/>
        <v>53.345092499992461</v>
      </c>
      <c r="BA77" s="2">
        <f t="shared" si="93"/>
        <v>124548.66092374998</v>
      </c>
      <c r="BB77" s="2">
        <f t="shared" si="126"/>
        <v>0</v>
      </c>
      <c r="BC77" s="2">
        <f t="shared" si="41"/>
        <v>513.52742076824995</v>
      </c>
      <c r="BD77" s="2">
        <f t="shared" si="10"/>
        <v>124035.13350298173</v>
      </c>
      <c r="BE77" s="2">
        <f t="shared" si="42"/>
        <v>1141</v>
      </c>
      <c r="BF77" s="2">
        <f t="shared" si="11"/>
        <v>4447.4555755124966</v>
      </c>
      <c r="BG77" s="2">
        <f t="shared" si="12"/>
        <v>118446.67792746922</v>
      </c>
      <c r="BI77" s="8">
        <f t="shared" si="162"/>
        <v>2.8000000000000001E-2</v>
      </c>
      <c r="BJ77" s="5">
        <f t="shared" si="148"/>
        <v>1044</v>
      </c>
      <c r="BK77" s="2">
        <f t="shared" si="149"/>
        <v>104295.6</v>
      </c>
      <c r="BL77" s="2">
        <f t="shared" si="150"/>
        <v>104400</v>
      </c>
      <c r="BM77" s="2">
        <f t="shared" si="127"/>
        <v>104400</v>
      </c>
      <c r="BN77" s="8">
        <f t="shared" si="128"/>
        <v>0.05</v>
      </c>
      <c r="BO77" s="2">
        <f t="shared" si="129"/>
        <v>109185</v>
      </c>
      <c r="BP77" s="2" t="str">
        <f t="shared" si="130"/>
        <v>nie</v>
      </c>
      <c r="BQ77" s="2">
        <f t="shared" si="131"/>
        <v>2088</v>
      </c>
      <c r="BR77" s="1">
        <f t="shared" si="163"/>
        <v>7</v>
      </c>
      <c r="BS77" s="1">
        <f t="shared" si="174"/>
        <v>47</v>
      </c>
      <c r="BT77" s="1">
        <f t="shared" si="156"/>
        <v>45</v>
      </c>
      <c r="BU77" s="1">
        <f t="shared" si="167"/>
        <v>50</v>
      </c>
      <c r="BV77" s="2">
        <f t="shared" si="94"/>
        <v>700</v>
      </c>
      <c r="BW77" s="8">
        <f t="shared" si="164"/>
        <v>0.05</v>
      </c>
      <c r="BX77" s="2">
        <f t="shared" si="95"/>
        <v>732.08333333333337</v>
      </c>
      <c r="BY77" s="2">
        <f t="shared" si="165"/>
        <v>14</v>
      </c>
      <c r="BZ77" s="2">
        <f t="shared" si="120"/>
        <v>14200</v>
      </c>
      <c r="CA77" s="8">
        <f t="shared" si="175"/>
        <v>4.2999999999999997E-2</v>
      </c>
      <c r="CB77" s="2">
        <f t="shared" si="117"/>
        <v>14759.716666666667</v>
      </c>
      <c r="CC77" s="2">
        <f t="shared" si="176"/>
        <v>284</v>
      </c>
      <c r="CD77" s="2">
        <f t="shared" si="132"/>
        <v>0</v>
      </c>
      <c r="CE77" s="2">
        <f t="shared" si="96"/>
        <v>0</v>
      </c>
      <c r="CF77" s="2">
        <f t="shared" si="97"/>
        <v>37.899999999950523</v>
      </c>
      <c r="CG77" s="1">
        <f t="shared" si="159"/>
        <v>0</v>
      </c>
      <c r="CH77" s="2">
        <f t="shared" si="133"/>
        <v>37.899999999950523</v>
      </c>
      <c r="CI77" s="1">
        <f t="shared" si="89"/>
        <v>0</v>
      </c>
      <c r="CJ77" s="2">
        <f t="shared" si="98"/>
        <v>37.899999999950523</v>
      </c>
      <c r="CK77" s="2">
        <f t="shared" si="99"/>
        <v>124714.69999999994</v>
      </c>
      <c r="CL77" s="2">
        <f t="shared" si="134"/>
        <v>0</v>
      </c>
      <c r="CM77" s="2">
        <f t="shared" si="47"/>
        <v>513.64189999999985</v>
      </c>
      <c r="CN77" s="2">
        <f t="shared" si="135"/>
        <v>124201.05809999994</v>
      </c>
      <c r="CO77" s="2">
        <f t="shared" si="48"/>
        <v>2386</v>
      </c>
      <c r="CP77" s="2">
        <f t="shared" si="136"/>
        <v>4242.4529999999886</v>
      </c>
      <c r="CQ77" s="2">
        <f t="shared" si="137"/>
        <v>117572.60509999994</v>
      </c>
      <c r="CS77" s="5">
        <f t="shared" si="151"/>
        <v>1000</v>
      </c>
      <c r="CT77" s="2">
        <f t="shared" si="152"/>
        <v>100000</v>
      </c>
      <c r="CU77" s="2">
        <f t="shared" si="153"/>
        <v>100000</v>
      </c>
      <c r="CV77" s="2">
        <f t="shared" si="154"/>
        <v>121547.98571520002</v>
      </c>
      <c r="CW77" s="8">
        <f t="shared" si="138"/>
        <v>4.8000000000000001E-2</v>
      </c>
      <c r="CX77" s="2">
        <f t="shared" si="139"/>
        <v>126896.09708666883</v>
      </c>
      <c r="CY77" s="2" t="str">
        <f t="shared" si="140"/>
        <v>nie</v>
      </c>
      <c r="CZ77" s="2">
        <f t="shared" si="53"/>
        <v>0</v>
      </c>
      <c r="DA77" s="2">
        <f t="shared" si="54"/>
        <v>0</v>
      </c>
      <c r="DB77" s="2">
        <f t="shared" si="55"/>
        <v>126896.09708666883</v>
      </c>
      <c r="DC77" s="2">
        <f t="shared" si="141"/>
        <v>0</v>
      </c>
      <c r="DD77" s="2">
        <f t="shared" si="56"/>
        <v>521.20861360128004</v>
      </c>
      <c r="DE77" s="2">
        <f t="shared" si="57"/>
        <v>126374.88847306755</v>
      </c>
      <c r="DF77" s="2">
        <f t="shared" si="142"/>
        <v>3000</v>
      </c>
      <c r="DG77" s="2">
        <f t="shared" si="143"/>
        <v>4540.2584464670772</v>
      </c>
      <c r="DH77" s="2">
        <f t="shared" si="58"/>
        <v>118834.63002660047</v>
      </c>
    </row>
    <row r="78" spans="2:115">
      <c r="B78" s="228"/>
      <c r="C78" s="1">
        <f t="shared" si="168"/>
        <v>41</v>
      </c>
      <c r="D78" s="2">
        <f t="shared" si="105"/>
        <v>116017.74776486123</v>
      </c>
      <c r="E78" s="2">
        <f t="shared" si="106"/>
        <v>111984.37157228623</v>
      </c>
      <c r="F78" s="2">
        <f t="shared" si="107"/>
        <v>116003.07666666663</v>
      </c>
      <c r="G78" s="2">
        <f t="shared" si="108"/>
        <v>111046.57624999997</v>
      </c>
      <c r="H78" s="2">
        <f t="shared" si="109"/>
        <v>117949.47901440001</v>
      </c>
      <c r="I78" s="2">
        <f t="shared" si="110"/>
        <v>112042.38012928001</v>
      </c>
      <c r="J78" s="2">
        <f t="shared" si="169"/>
        <v>112462.58050230712</v>
      </c>
      <c r="K78" s="2">
        <f t="shared" si="170"/>
        <v>109904.83147733334</v>
      </c>
      <c r="W78" s="1">
        <f t="shared" si="144"/>
        <v>60</v>
      </c>
      <c r="X78" s="2">
        <f t="shared" si="121"/>
        <v>114806.2610490368</v>
      </c>
      <c r="Y78" s="8">
        <f t="shared" si="157"/>
        <v>4.1300000000000003E-2</v>
      </c>
      <c r="Z78" s="5">
        <f t="shared" si="145"/>
        <v>1141</v>
      </c>
      <c r="AA78" s="2">
        <f t="shared" si="146"/>
        <v>113985.90000000001</v>
      </c>
      <c r="AB78" s="2">
        <f t="shared" si="37"/>
        <v>114100</v>
      </c>
      <c r="AC78" s="2">
        <f t="shared" si="147"/>
        <v>119405.65</v>
      </c>
      <c r="AD78" s="8">
        <f t="shared" si="122"/>
        <v>4.65E-2</v>
      </c>
      <c r="AE78" s="2">
        <f t="shared" si="2"/>
        <v>124958.01272499999</v>
      </c>
      <c r="AF78" s="2" t="str">
        <f t="shared" si="123"/>
        <v>nie</v>
      </c>
      <c r="AG78" s="2">
        <f t="shared" si="124"/>
        <v>1141</v>
      </c>
      <c r="AH78" s="1">
        <f t="shared" si="79"/>
        <v>0</v>
      </c>
      <c r="AI78" s="1">
        <f t="shared" si="171"/>
        <v>0</v>
      </c>
      <c r="AJ78" s="1">
        <f t="shared" si="155"/>
        <v>0</v>
      </c>
      <c r="AK78" s="1">
        <f t="shared" si="166"/>
        <v>0</v>
      </c>
      <c r="AL78" s="2">
        <f t="shared" si="90"/>
        <v>0</v>
      </c>
      <c r="AM78" s="8">
        <f t="shared" si="160"/>
        <v>4.65E-2</v>
      </c>
      <c r="AN78" s="2">
        <f t="shared" si="91"/>
        <v>0</v>
      </c>
      <c r="AO78" s="2">
        <f t="shared" si="161"/>
        <v>0</v>
      </c>
      <c r="AP78" s="2">
        <f t="shared" si="119"/>
        <v>0</v>
      </c>
      <c r="AQ78" s="8">
        <f t="shared" si="172"/>
        <v>4.1300000000000003E-2</v>
      </c>
      <c r="AR78" s="2">
        <f t="shared" si="113"/>
        <v>0</v>
      </c>
      <c r="AS78" s="2">
        <f t="shared" si="173"/>
        <v>0</v>
      </c>
      <c r="AT78" s="2">
        <f t="shared" si="39"/>
        <v>0</v>
      </c>
      <c r="AU78" s="2">
        <f t="shared" si="92"/>
        <v>0</v>
      </c>
      <c r="AV78" s="2">
        <f t="shared" si="82"/>
        <v>53.345092499992461</v>
      </c>
      <c r="AW78" s="1">
        <f t="shared" si="158"/>
        <v>0</v>
      </c>
      <c r="AX78" s="2">
        <f t="shared" si="125"/>
        <v>53.345092499992461</v>
      </c>
      <c r="AY78" s="1">
        <f t="shared" si="83"/>
        <v>0</v>
      </c>
      <c r="AZ78" s="2">
        <f t="shared" si="40"/>
        <v>53.345092499992461</v>
      </c>
      <c r="BA78" s="2">
        <f t="shared" si="93"/>
        <v>125011.35781749999</v>
      </c>
      <c r="BB78" s="2">
        <f t="shared" si="126"/>
        <v>162.51476516274997</v>
      </c>
      <c r="BC78" s="2">
        <f t="shared" si="41"/>
        <v>676.04218593099995</v>
      </c>
      <c r="BD78" s="2">
        <f t="shared" si="10"/>
        <v>124335.31563156898</v>
      </c>
      <c r="BE78" s="2">
        <f t="shared" si="42"/>
        <v>1141</v>
      </c>
      <c r="BF78" s="2">
        <f t="shared" si="11"/>
        <v>4535.3679853249969</v>
      </c>
      <c r="BG78" s="2">
        <f t="shared" si="12"/>
        <v>118658.94764624399</v>
      </c>
      <c r="BI78" s="8">
        <f t="shared" si="162"/>
        <v>2.8000000000000001E-2</v>
      </c>
      <c r="BJ78" s="5">
        <f t="shared" si="148"/>
        <v>1044</v>
      </c>
      <c r="BK78" s="2">
        <f t="shared" si="149"/>
        <v>104295.6</v>
      </c>
      <c r="BL78" s="2">
        <f t="shared" si="150"/>
        <v>104400</v>
      </c>
      <c r="BM78" s="2">
        <f t="shared" si="127"/>
        <v>104400</v>
      </c>
      <c r="BN78" s="8">
        <f t="shared" si="128"/>
        <v>0.05</v>
      </c>
      <c r="BO78" s="2">
        <f t="shared" si="129"/>
        <v>109620</v>
      </c>
      <c r="BP78" s="2" t="str">
        <f t="shared" si="130"/>
        <v>nie</v>
      </c>
      <c r="BQ78" s="2">
        <f t="shared" si="131"/>
        <v>2088</v>
      </c>
      <c r="BR78" s="1">
        <f t="shared" si="163"/>
        <v>7</v>
      </c>
      <c r="BS78" s="1">
        <f t="shared" si="174"/>
        <v>47</v>
      </c>
      <c r="BT78" s="1">
        <f t="shared" si="156"/>
        <v>45</v>
      </c>
      <c r="BU78" s="1">
        <f t="shared" si="167"/>
        <v>50</v>
      </c>
      <c r="BV78" s="2">
        <f t="shared" si="94"/>
        <v>700</v>
      </c>
      <c r="BW78" s="8">
        <f t="shared" si="164"/>
        <v>0.05</v>
      </c>
      <c r="BX78" s="2">
        <f t="shared" si="95"/>
        <v>735</v>
      </c>
      <c r="BY78" s="2">
        <f t="shared" si="165"/>
        <v>14</v>
      </c>
      <c r="BZ78" s="2">
        <f t="shared" si="120"/>
        <v>14200</v>
      </c>
      <c r="CA78" s="8">
        <f t="shared" si="175"/>
        <v>4.2999999999999997E-2</v>
      </c>
      <c r="CB78" s="2">
        <f t="shared" si="117"/>
        <v>14810.599999999999</v>
      </c>
      <c r="CC78" s="2">
        <f t="shared" si="176"/>
        <v>284</v>
      </c>
      <c r="CD78" s="2">
        <f t="shared" si="132"/>
        <v>5220</v>
      </c>
      <c r="CE78" s="2">
        <f t="shared" si="96"/>
        <v>5645.5999999999985</v>
      </c>
      <c r="CF78" s="2">
        <f t="shared" si="97"/>
        <v>10903.499999999949</v>
      </c>
      <c r="CG78" s="1">
        <f t="shared" si="159"/>
        <v>50</v>
      </c>
      <c r="CH78" s="2">
        <f t="shared" si="133"/>
        <v>5908.4999999999491</v>
      </c>
      <c r="CI78" s="1">
        <f t="shared" si="89"/>
        <v>59</v>
      </c>
      <c r="CJ78" s="2">
        <f t="shared" si="98"/>
        <v>8.4999999999490683</v>
      </c>
      <c r="CK78" s="2">
        <f t="shared" si="99"/>
        <v>125203.49999999996</v>
      </c>
      <c r="CL78" s="2">
        <f t="shared" si="134"/>
        <v>162.76454999999993</v>
      </c>
      <c r="CM78" s="2">
        <f t="shared" si="47"/>
        <v>676.40644999999972</v>
      </c>
      <c r="CN78" s="2">
        <f t="shared" si="135"/>
        <v>124527.09354999996</v>
      </c>
      <c r="CO78" s="2">
        <f t="shared" si="48"/>
        <v>2386</v>
      </c>
      <c r="CP78" s="2">
        <f t="shared" si="136"/>
        <v>4335.3249999999916</v>
      </c>
      <c r="CQ78" s="2">
        <f t="shared" si="137"/>
        <v>117805.76854999996</v>
      </c>
      <c r="CS78" s="5">
        <f t="shared" si="151"/>
        <v>1000</v>
      </c>
      <c r="CT78" s="2">
        <f t="shared" si="152"/>
        <v>100000</v>
      </c>
      <c r="CU78" s="2">
        <f t="shared" si="153"/>
        <v>100000</v>
      </c>
      <c r="CV78" s="2">
        <f t="shared" si="154"/>
        <v>121547.98571520002</v>
      </c>
      <c r="CW78" s="8">
        <f t="shared" si="138"/>
        <v>4.8000000000000001E-2</v>
      </c>
      <c r="CX78" s="2">
        <f t="shared" si="139"/>
        <v>127382.28902952962</v>
      </c>
      <c r="CY78" s="2" t="str">
        <f t="shared" si="140"/>
        <v>nie</v>
      </c>
      <c r="CZ78" s="2">
        <f t="shared" si="53"/>
        <v>0</v>
      </c>
      <c r="DA78" s="2">
        <f t="shared" si="54"/>
        <v>0</v>
      </c>
      <c r="DB78" s="2">
        <f t="shared" si="55"/>
        <v>127382.28902952962</v>
      </c>
      <c r="DC78" s="2">
        <f t="shared" si="141"/>
        <v>165.59697573838849</v>
      </c>
      <c r="DD78" s="2">
        <f t="shared" si="56"/>
        <v>686.80558933966859</v>
      </c>
      <c r="DE78" s="2">
        <f t="shared" si="57"/>
        <v>126695.48344018996</v>
      </c>
      <c r="DF78" s="2">
        <f t="shared" si="142"/>
        <v>3000</v>
      </c>
      <c r="DG78" s="2">
        <f t="shared" si="143"/>
        <v>4632.6349156106289</v>
      </c>
      <c r="DH78" s="2">
        <f t="shared" si="58"/>
        <v>119062.84852457933</v>
      </c>
    </row>
    <row r="79" spans="2:115">
      <c r="B79" s="228"/>
      <c r="C79" s="1">
        <f t="shared" si="168"/>
        <v>42</v>
      </c>
      <c r="D79" s="2">
        <f t="shared" si="105"/>
        <v>116459.88526486124</v>
      </c>
      <c r="E79" s="2">
        <f t="shared" si="106"/>
        <v>112342.50294728624</v>
      </c>
      <c r="F79" s="2">
        <f t="shared" si="107"/>
        <v>116415.03499999999</v>
      </c>
      <c r="G79" s="2">
        <f t="shared" si="108"/>
        <v>111380.2625</v>
      </c>
      <c r="H79" s="2">
        <f t="shared" si="109"/>
        <v>118413.40262400001</v>
      </c>
      <c r="I79" s="2">
        <f t="shared" si="110"/>
        <v>112418.15825305601</v>
      </c>
      <c r="J79" s="2">
        <f t="shared" si="169"/>
        <v>112785.20753012311</v>
      </c>
      <c r="K79" s="2">
        <f t="shared" si="170"/>
        <v>110158.31873280001</v>
      </c>
      <c r="W79" s="1">
        <f t="shared" si="144"/>
        <v>61</v>
      </c>
      <c r="X79" s="2">
        <f t="shared" si="121"/>
        <v>115074.14232481788</v>
      </c>
      <c r="Y79" s="8">
        <f t="shared" si="157"/>
        <v>4.1300000000000003E-2</v>
      </c>
      <c r="Z79" s="5">
        <f t="shared" si="145"/>
        <v>1141</v>
      </c>
      <c r="AA79" s="2">
        <f t="shared" si="146"/>
        <v>113985.90000000001</v>
      </c>
      <c r="AB79" s="2">
        <f t="shared" si="37"/>
        <v>114100</v>
      </c>
      <c r="AC79" s="2">
        <f t="shared" si="147"/>
        <v>124958.01272499999</v>
      </c>
      <c r="AD79" s="8">
        <f t="shared" si="122"/>
        <v>4.65E-2</v>
      </c>
      <c r="AE79" s="2">
        <f t="shared" si="2"/>
        <v>125442.22502430937</v>
      </c>
      <c r="AF79" s="2" t="str">
        <f t="shared" si="123"/>
        <v>nie</v>
      </c>
      <c r="AG79" s="2">
        <f t="shared" si="124"/>
        <v>1141</v>
      </c>
      <c r="AH79" s="1">
        <f t="shared" si="79"/>
        <v>0</v>
      </c>
      <c r="AI79" s="1">
        <f t="shared" si="171"/>
        <v>0</v>
      </c>
      <c r="AJ79" s="1">
        <f t="shared" si="155"/>
        <v>0</v>
      </c>
      <c r="AK79" s="1">
        <f t="shared" si="166"/>
        <v>0</v>
      </c>
      <c r="AL79" s="2">
        <f t="shared" si="90"/>
        <v>0</v>
      </c>
      <c r="AM79" s="8">
        <f t="shared" si="160"/>
        <v>4.65E-2</v>
      </c>
      <c r="AN79" s="2">
        <f t="shared" si="91"/>
        <v>0</v>
      </c>
      <c r="AO79" s="2">
        <f t="shared" si="161"/>
        <v>0</v>
      </c>
      <c r="AP79" s="2">
        <f t="shared" si="119"/>
        <v>0</v>
      </c>
      <c r="AQ79" s="8">
        <f t="shared" si="172"/>
        <v>4.1300000000000003E-2</v>
      </c>
      <c r="AR79" s="2">
        <f t="shared" si="113"/>
        <v>0</v>
      </c>
      <c r="AS79" s="2">
        <f t="shared" si="173"/>
        <v>0</v>
      </c>
      <c r="AT79" s="2">
        <f t="shared" si="39"/>
        <v>0</v>
      </c>
      <c r="AU79" s="2">
        <f t="shared" si="92"/>
        <v>0</v>
      </c>
      <c r="AV79" s="2">
        <f t="shared" si="82"/>
        <v>53.345092499992461</v>
      </c>
      <c r="AW79" s="1">
        <f t="shared" si="158"/>
        <v>0</v>
      </c>
      <c r="AX79" s="2">
        <f t="shared" si="125"/>
        <v>53.345092499992461</v>
      </c>
      <c r="AY79" s="1">
        <f t="shared" si="83"/>
        <v>0</v>
      </c>
      <c r="AZ79" s="2">
        <f t="shared" si="40"/>
        <v>53.345092499992461</v>
      </c>
      <c r="BA79" s="2">
        <f t="shared" si="93"/>
        <v>125495.57011680937</v>
      </c>
      <c r="BB79" s="2">
        <f t="shared" si="126"/>
        <v>0</v>
      </c>
      <c r="BC79" s="2">
        <f t="shared" si="41"/>
        <v>676.04218593099995</v>
      </c>
      <c r="BD79" s="2">
        <f t="shared" si="10"/>
        <v>124819.52793087836</v>
      </c>
      <c r="BE79" s="2">
        <f t="shared" si="42"/>
        <v>1141</v>
      </c>
      <c r="BF79" s="2">
        <f t="shared" si="11"/>
        <v>4627.3683221937799</v>
      </c>
      <c r="BG79" s="2">
        <f t="shared" si="12"/>
        <v>119051.15960868458</v>
      </c>
      <c r="BI79" s="8">
        <f t="shared" si="162"/>
        <v>2.8000000000000001E-2</v>
      </c>
      <c r="BJ79" s="5">
        <f t="shared" si="148"/>
        <v>1044</v>
      </c>
      <c r="BK79" s="2">
        <f t="shared" si="149"/>
        <v>104295.6</v>
      </c>
      <c r="BL79" s="2">
        <f t="shared" si="150"/>
        <v>104400</v>
      </c>
      <c r="BM79" s="2">
        <f t="shared" si="127"/>
        <v>104400</v>
      </c>
      <c r="BN79" s="8">
        <f t="shared" si="128"/>
        <v>4.2999999999999997E-2</v>
      </c>
      <c r="BO79" s="2">
        <f t="shared" si="129"/>
        <v>104774.09999999999</v>
      </c>
      <c r="BP79" s="2" t="str">
        <f t="shared" si="130"/>
        <v>nie</v>
      </c>
      <c r="BQ79" s="2">
        <f t="shared" si="131"/>
        <v>2088</v>
      </c>
      <c r="BR79" s="1">
        <f t="shared" si="163"/>
        <v>109</v>
      </c>
      <c r="BS79" s="1">
        <f t="shared" si="174"/>
        <v>7</v>
      </c>
      <c r="BT79" s="1">
        <f t="shared" si="156"/>
        <v>47</v>
      </c>
      <c r="BU79" s="1">
        <f t="shared" si="167"/>
        <v>45</v>
      </c>
      <c r="BV79" s="2">
        <f t="shared" si="94"/>
        <v>10900</v>
      </c>
      <c r="BW79" s="8">
        <f t="shared" si="164"/>
        <v>0.05</v>
      </c>
      <c r="BX79" s="2">
        <f t="shared" si="95"/>
        <v>10945.416666666666</v>
      </c>
      <c r="BY79" s="2">
        <f t="shared" si="165"/>
        <v>45.41666666666606</v>
      </c>
      <c r="BZ79" s="2">
        <f t="shared" si="120"/>
        <v>9900</v>
      </c>
      <c r="CA79" s="8">
        <f t="shared" si="175"/>
        <v>4.2999999999999997E-2</v>
      </c>
      <c r="CB79" s="2">
        <f t="shared" si="117"/>
        <v>9935.4749999999985</v>
      </c>
      <c r="CC79" s="2">
        <f t="shared" si="176"/>
        <v>198</v>
      </c>
      <c r="CD79" s="2">
        <f t="shared" si="132"/>
        <v>0</v>
      </c>
      <c r="CE79" s="2">
        <f t="shared" si="96"/>
        <v>0</v>
      </c>
      <c r="CF79" s="2">
        <f t="shared" si="97"/>
        <v>8.4999999999490683</v>
      </c>
      <c r="CG79" s="1">
        <f t="shared" si="159"/>
        <v>0</v>
      </c>
      <c r="CH79" s="2">
        <f t="shared" si="133"/>
        <v>8.4999999999490683</v>
      </c>
      <c r="CI79" s="1">
        <f t="shared" si="89"/>
        <v>0</v>
      </c>
      <c r="CJ79" s="2">
        <f t="shared" si="98"/>
        <v>8.4999999999490683</v>
      </c>
      <c r="CK79" s="2">
        <f t="shared" si="99"/>
        <v>125663.49166666661</v>
      </c>
      <c r="CL79" s="2">
        <f t="shared" si="134"/>
        <v>0</v>
      </c>
      <c r="CM79" s="2">
        <f t="shared" si="47"/>
        <v>676.40644999999972</v>
      </c>
      <c r="CN79" s="2">
        <f t="shared" si="135"/>
        <v>124987.08521666662</v>
      </c>
      <c r="CO79" s="2">
        <f t="shared" si="48"/>
        <v>2331.4166666666661</v>
      </c>
      <c r="CP79" s="2">
        <f t="shared" si="136"/>
        <v>4433.0942499999883</v>
      </c>
      <c r="CQ79" s="2">
        <f t="shared" si="137"/>
        <v>118222.57429999995</v>
      </c>
      <c r="CS79" s="5">
        <f t="shared" si="151"/>
        <v>1000</v>
      </c>
      <c r="CT79" s="2">
        <f t="shared" si="152"/>
        <v>100000</v>
      </c>
      <c r="CU79" s="2">
        <f t="shared" si="153"/>
        <v>100000</v>
      </c>
      <c r="CV79" s="2">
        <f t="shared" si="154"/>
        <v>127382.28902952962</v>
      </c>
      <c r="CW79" s="8">
        <f t="shared" si="138"/>
        <v>4.8000000000000001E-2</v>
      </c>
      <c r="CX79" s="2">
        <f t="shared" si="139"/>
        <v>127891.81818564775</v>
      </c>
      <c r="CY79" s="2" t="str">
        <f t="shared" si="140"/>
        <v>nie</v>
      </c>
      <c r="CZ79" s="2">
        <f t="shared" si="53"/>
        <v>0</v>
      </c>
      <c r="DA79" s="2">
        <f t="shared" si="54"/>
        <v>0</v>
      </c>
      <c r="DB79" s="2">
        <f t="shared" si="55"/>
        <v>127891.81818564775</v>
      </c>
      <c r="DC79" s="2">
        <f t="shared" si="141"/>
        <v>0</v>
      </c>
      <c r="DD79" s="2">
        <f t="shared" si="56"/>
        <v>686.80558933966859</v>
      </c>
      <c r="DE79" s="2">
        <f t="shared" si="57"/>
        <v>127205.01259630808</v>
      </c>
      <c r="DF79" s="2">
        <f t="shared" si="142"/>
        <v>3000</v>
      </c>
      <c r="DG79" s="2">
        <f t="shared" si="143"/>
        <v>4729.4454552730722</v>
      </c>
      <c r="DH79" s="2">
        <f t="shared" si="58"/>
        <v>119475.567141035</v>
      </c>
    </row>
    <row r="80" spans="2:115">
      <c r="B80" s="228"/>
      <c r="C80" s="1">
        <f t="shared" si="168"/>
        <v>43</v>
      </c>
      <c r="D80" s="2">
        <f t="shared" si="105"/>
        <v>116902.02276486125</v>
      </c>
      <c r="E80" s="2">
        <f t="shared" si="106"/>
        <v>112700.63432228625</v>
      </c>
      <c r="F80" s="2">
        <f t="shared" si="107"/>
        <v>116826.9933333333</v>
      </c>
      <c r="G80" s="2">
        <f t="shared" si="108"/>
        <v>111713.94874999998</v>
      </c>
      <c r="H80" s="2">
        <f t="shared" si="109"/>
        <v>118877.32623360002</v>
      </c>
      <c r="I80" s="2">
        <f t="shared" si="110"/>
        <v>112793.93637683202</v>
      </c>
      <c r="J80" s="2">
        <f t="shared" si="169"/>
        <v>113108.76009422514</v>
      </c>
      <c r="K80" s="2">
        <f t="shared" si="170"/>
        <v>110411.80598826666</v>
      </c>
      <c r="W80" s="1">
        <f t="shared" si="144"/>
        <v>62</v>
      </c>
      <c r="X80" s="2">
        <f t="shared" si="121"/>
        <v>115342.02360059896</v>
      </c>
      <c r="Y80" s="8">
        <f t="shared" si="157"/>
        <v>4.1300000000000003E-2</v>
      </c>
      <c r="Z80" s="5">
        <f t="shared" si="145"/>
        <v>1141</v>
      </c>
      <c r="AA80" s="2">
        <f t="shared" si="146"/>
        <v>113985.90000000001</v>
      </c>
      <c r="AB80" s="2">
        <f t="shared" si="37"/>
        <v>114100</v>
      </c>
      <c r="AC80" s="2">
        <f t="shared" si="147"/>
        <v>124958.01272499999</v>
      </c>
      <c r="AD80" s="8">
        <f t="shared" si="122"/>
        <v>4.65E-2</v>
      </c>
      <c r="AE80" s="2">
        <f t="shared" si="2"/>
        <v>125926.43732361874</v>
      </c>
      <c r="AF80" s="2" t="str">
        <f t="shared" si="123"/>
        <v>nie</v>
      </c>
      <c r="AG80" s="2">
        <f t="shared" si="124"/>
        <v>1141</v>
      </c>
      <c r="AH80" s="1">
        <f t="shared" si="79"/>
        <v>0</v>
      </c>
      <c r="AI80" s="1">
        <f t="shared" si="171"/>
        <v>0</v>
      </c>
      <c r="AJ80" s="1">
        <f t="shared" si="155"/>
        <v>0</v>
      </c>
      <c r="AK80" s="1">
        <f t="shared" si="166"/>
        <v>0</v>
      </c>
      <c r="AL80" s="2">
        <f t="shared" si="90"/>
        <v>0</v>
      </c>
      <c r="AM80" s="8">
        <f t="shared" si="160"/>
        <v>4.65E-2</v>
      </c>
      <c r="AN80" s="2">
        <f t="shared" si="91"/>
        <v>0</v>
      </c>
      <c r="AO80" s="2">
        <f t="shared" si="161"/>
        <v>0</v>
      </c>
      <c r="AP80" s="2">
        <f t="shared" si="119"/>
        <v>0</v>
      </c>
      <c r="AQ80" s="8">
        <f t="shared" si="172"/>
        <v>4.1300000000000003E-2</v>
      </c>
      <c r="AR80" s="2">
        <f t="shared" si="113"/>
        <v>0</v>
      </c>
      <c r="AS80" s="2">
        <f t="shared" si="173"/>
        <v>0</v>
      </c>
      <c r="AT80" s="2">
        <f t="shared" si="39"/>
        <v>0</v>
      </c>
      <c r="AU80" s="2">
        <f t="shared" si="92"/>
        <v>0</v>
      </c>
      <c r="AV80" s="2">
        <f t="shared" si="82"/>
        <v>53.345092499992461</v>
      </c>
      <c r="AW80" s="1">
        <f t="shared" si="158"/>
        <v>0</v>
      </c>
      <c r="AX80" s="2">
        <f t="shared" si="125"/>
        <v>53.345092499992461</v>
      </c>
      <c r="AY80" s="1">
        <f t="shared" si="83"/>
        <v>0</v>
      </c>
      <c r="AZ80" s="2">
        <f t="shared" si="40"/>
        <v>53.345092499992461</v>
      </c>
      <c r="BA80" s="2">
        <f t="shared" si="93"/>
        <v>125979.78241611873</v>
      </c>
      <c r="BB80" s="2">
        <f t="shared" si="126"/>
        <v>0</v>
      </c>
      <c r="BC80" s="2">
        <f t="shared" si="41"/>
        <v>676.04218593099995</v>
      </c>
      <c r="BD80" s="2">
        <f t="shared" si="10"/>
        <v>125303.74023018773</v>
      </c>
      <c r="BE80" s="2">
        <f t="shared" si="42"/>
        <v>1141</v>
      </c>
      <c r="BF80" s="2">
        <f t="shared" si="11"/>
        <v>4719.3686590625593</v>
      </c>
      <c r="BG80" s="2">
        <f t="shared" si="12"/>
        <v>119443.37157112517</v>
      </c>
      <c r="BI80" s="8">
        <f t="shared" si="162"/>
        <v>2.8000000000000001E-2</v>
      </c>
      <c r="BJ80" s="5">
        <f t="shared" si="148"/>
        <v>1044</v>
      </c>
      <c r="BK80" s="2">
        <f t="shared" si="149"/>
        <v>104295.6</v>
      </c>
      <c r="BL80" s="2">
        <f t="shared" si="150"/>
        <v>104400</v>
      </c>
      <c r="BM80" s="2">
        <f t="shared" si="127"/>
        <v>104400</v>
      </c>
      <c r="BN80" s="8">
        <f t="shared" si="128"/>
        <v>4.2999999999999997E-2</v>
      </c>
      <c r="BO80" s="2">
        <f t="shared" si="129"/>
        <v>105148.20000000001</v>
      </c>
      <c r="BP80" s="2" t="str">
        <f t="shared" si="130"/>
        <v>nie</v>
      </c>
      <c r="BQ80" s="2">
        <f t="shared" si="131"/>
        <v>2088</v>
      </c>
      <c r="BR80" s="1">
        <f t="shared" si="163"/>
        <v>109</v>
      </c>
      <c r="BS80" s="1">
        <f t="shared" si="174"/>
        <v>7</v>
      </c>
      <c r="BT80" s="1">
        <f t="shared" si="156"/>
        <v>47</v>
      </c>
      <c r="BU80" s="1">
        <f t="shared" si="167"/>
        <v>45</v>
      </c>
      <c r="BV80" s="2">
        <f t="shared" si="94"/>
        <v>10900</v>
      </c>
      <c r="BW80" s="8">
        <f t="shared" si="164"/>
        <v>0.05</v>
      </c>
      <c r="BX80" s="2">
        <f t="shared" si="95"/>
        <v>10990.833333333332</v>
      </c>
      <c r="BY80" s="2">
        <f t="shared" si="165"/>
        <v>90.833333333332121</v>
      </c>
      <c r="BZ80" s="2">
        <f t="shared" si="120"/>
        <v>9900</v>
      </c>
      <c r="CA80" s="8">
        <f t="shared" si="175"/>
        <v>4.2999999999999997E-2</v>
      </c>
      <c r="CB80" s="2">
        <f t="shared" si="117"/>
        <v>9970.9500000000007</v>
      </c>
      <c r="CC80" s="2">
        <f t="shared" si="176"/>
        <v>198</v>
      </c>
      <c r="CD80" s="2">
        <f t="shared" si="132"/>
        <v>0</v>
      </c>
      <c r="CE80" s="2">
        <f t="shared" si="96"/>
        <v>0</v>
      </c>
      <c r="CF80" s="2">
        <f t="shared" si="97"/>
        <v>8.4999999999490683</v>
      </c>
      <c r="CG80" s="1">
        <f t="shared" si="159"/>
        <v>0</v>
      </c>
      <c r="CH80" s="2">
        <f t="shared" si="133"/>
        <v>8.4999999999490683</v>
      </c>
      <c r="CI80" s="1">
        <f t="shared" si="89"/>
        <v>0</v>
      </c>
      <c r="CJ80" s="2">
        <f t="shared" si="98"/>
        <v>8.4999999999490683</v>
      </c>
      <c r="CK80" s="2">
        <f t="shared" si="99"/>
        <v>126118.48333333328</v>
      </c>
      <c r="CL80" s="2">
        <f t="shared" si="134"/>
        <v>0</v>
      </c>
      <c r="CM80" s="2">
        <f t="shared" si="47"/>
        <v>676.40644999999972</v>
      </c>
      <c r="CN80" s="2">
        <f t="shared" si="135"/>
        <v>125442.07688333328</v>
      </c>
      <c r="CO80" s="2">
        <f t="shared" si="48"/>
        <v>2376.8333333333321</v>
      </c>
      <c r="CP80" s="2">
        <f t="shared" si="136"/>
        <v>4510.9134999999906</v>
      </c>
      <c r="CQ80" s="2">
        <f t="shared" si="137"/>
        <v>118554.33004999996</v>
      </c>
      <c r="CS80" s="5">
        <f t="shared" si="151"/>
        <v>1000</v>
      </c>
      <c r="CT80" s="2">
        <f t="shared" si="152"/>
        <v>100000</v>
      </c>
      <c r="CU80" s="2">
        <f t="shared" si="153"/>
        <v>100000</v>
      </c>
      <c r="CV80" s="2">
        <f t="shared" si="154"/>
        <v>127382.28902952962</v>
      </c>
      <c r="CW80" s="8">
        <f t="shared" si="138"/>
        <v>4.8000000000000001E-2</v>
      </c>
      <c r="CX80" s="2">
        <f t="shared" si="139"/>
        <v>128401.34734176587</v>
      </c>
      <c r="CY80" s="2" t="str">
        <f t="shared" si="140"/>
        <v>nie</v>
      </c>
      <c r="CZ80" s="2">
        <f t="shared" si="53"/>
        <v>0</v>
      </c>
      <c r="DA80" s="2">
        <f t="shared" si="54"/>
        <v>0</v>
      </c>
      <c r="DB80" s="2">
        <f t="shared" si="55"/>
        <v>128401.34734176587</v>
      </c>
      <c r="DC80" s="2">
        <f t="shared" si="141"/>
        <v>0</v>
      </c>
      <c r="DD80" s="2">
        <f t="shared" si="56"/>
        <v>686.80558933966859</v>
      </c>
      <c r="DE80" s="2">
        <f t="shared" si="57"/>
        <v>127714.5417524262</v>
      </c>
      <c r="DF80" s="2">
        <f t="shared" si="142"/>
        <v>3000</v>
      </c>
      <c r="DG80" s="2">
        <f t="shared" si="143"/>
        <v>4826.2559949355145</v>
      </c>
      <c r="DH80" s="2">
        <f t="shared" si="58"/>
        <v>119888.28575749068</v>
      </c>
    </row>
    <row r="81" spans="2:112">
      <c r="B81" s="228"/>
      <c r="C81" s="1">
        <f t="shared" si="168"/>
        <v>44</v>
      </c>
      <c r="D81" s="2">
        <f t="shared" si="105"/>
        <v>117344.16026486123</v>
      </c>
      <c r="E81" s="2">
        <f t="shared" si="106"/>
        <v>113058.76569728623</v>
      </c>
      <c r="F81" s="2">
        <f t="shared" si="107"/>
        <v>117238.95166666663</v>
      </c>
      <c r="G81" s="2">
        <f t="shared" si="108"/>
        <v>112047.63499999997</v>
      </c>
      <c r="H81" s="2">
        <f t="shared" si="109"/>
        <v>119341.24984320001</v>
      </c>
      <c r="I81" s="2">
        <f t="shared" si="110"/>
        <v>113169.71450060801</v>
      </c>
      <c r="J81" s="2">
        <f t="shared" si="169"/>
        <v>113433.24084974545</v>
      </c>
      <c r="K81" s="2">
        <f t="shared" si="170"/>
        <v>110665.29324373332</v>
      </c>
      <c r="W81" s="1">
        <f t="shared" si="144"/>
        <v>63</v>
      </c>
      <c r="X81" s="2">
        <f t="shared" si="121"/>
        <v>115609.90487638004</v>
      </c>
      <c r="Y81" s="8">
        <f t="shared" si="157"/>
        <v>4.1300000000000003E-2</v>
      </c>
      <c r="Z81" s="5">
        <f t="shared" si="145"/>
        <v>1141</v>
      </c>
      <c r="AA81" s="2">
        <f t="shared" si="146"/>
        <v>113985.90000000001</v>
      </c>
      <c r="AB81" s="2">
        <f t="shared" si="37"/>
        <v>114100</v>
      </c>
      <c r="AC81" s="2">
        <f t="shared" si="147"/>
        <v>124958.01272499999</v>
      </c>
      <c r="AD81" s="8">
        <f t="shared" si="122"/>
        <v>4.65E-2</v>
      </c>
      <c r="AE81" s="2">
        <f t="shared" si="2"/>
        <v>126410.64962292812</v>
      </c>
      <c r="AF81" s="2" t="str">
        <f t="shared" si="123"/>
        <v>nie</v>
      </c>
      <c r="AG81" s="2">
        <f t="shared" si="124"/>
        <v>1141</v>
      </c>
      <c r="AH81" s="1">
        <f t="shared" si="79"/>
        <v>0</v>
      </c>
      <c r="AI81" s="1">
        <f t="shared" si="171"/>
        <v>0</v>
      </c>
      <c r="AJ81" s="1">
        <f t="shared" si="155"/>
        <v>0</v>
      </c>
      <c r="AK81" s="1">
        <f t="shared" si="166"/>
        <v>0</v>
      </c>
      <c r="AL81" s="2">
        <f t="shared" si="90"/>
        <v>0</v>
      </c>
      <c r="AM81" s="8">
        <f t="shared" si="160"/>
        <v>4.65E-2</v>
      </c>
      <c r="AN81" s="2">
        <f t="shared" si="91"/>
        <v>0</v>
      </c>
      <c r="AO81" s="2">
        <f t="shared" si="161"/>
        <v>0</v>
      </c>
      <c r="AP81" s="2">
        <f t="shared" si="119"/>
        <v>0</v>
      </c>
      <c r="AQ81" s="8">
        <f t="shared" si="172"/>
        <v>4.1300000000000003E-2</v>
      </c>
      <c r="AR81" s="2">
        <f t="shared" si="113"/>
        <v>0</v>
      </c>
      <c r="AS81" s="2">
        <f t="shared" si="173"/>
        <v>0</v>
      </c>
      <c r="AT81" s="2">
        <f t="shared" si="39"/>
        <v>0</v>
      </c>
      <c r="AU81" s="2">
        <f t="shared" si="92"/>
        <v>0</v>
      </c>
      <c r="AV81" s="2">
        <f t="shared" si="82"/>
        <v>53.345092499992461</v>
      </c>
      <c r="AW81" s="1">
        <f t="shared" si="158"/>
        <v>0</v>
      </c>
      <c r="AX81" s="2">
        <f t="shared" si="125"/>
        <v>53.345092499992461</v>
      </c>
      <c r="AY81" s="1">
        <f t="shared" si="83"/>
        <v>0</v>
      </c>
      <c r="AZ81" s="2">
        <f t="shared" si="40"/>
        <v>53.345092499992461</v>
      </c>
      <c r="BA81" s="2">
        <f t="shared" si="93"/>
        <v>126463.99471542811</v>
      </c>
      <c r="BB81" s="2">
        <f t="shared" si="126"/>
        <v>0</v>
      </c>
      <c r="BC81" s="2">
        <f t="shared" si="41"/>
        <v>676.04218593099995</v>
      </c>
      <c r="BD81" s="2">
        <f t="shared" si="10"/>
        <v>125787.95252949711</v>
      </c>
      <c r="BE81" s="2">
        <f t="shared" si="42"/>
        <v>1141</v>
      </c>
      <c r="BF81" s="2">
        <f t="shared" si="11"/>
        <v>4811.3689959313415</v>
      </c>
      <c r="BG81" s="2">
        <f t="shared" si="12"/>
        <v>119835.58353356578</v>
      </c>
      <c r="BI81" s="8">
        <f t="shared" si="162"/>
        <v>2.8000000000000001E-2</v>
      </c>
      <c r="BJ81" s="5">
        <f t="shared" si="148"/>
        <v>1044</v>
      </c>
      <c r="BK81" s="2">
        <f t="shared" si="149"/>
        <v>104295.6</v>
      </c>
      <c r="BL81" s="2">
        <f t="shared" si="150"/>
        <v>104400</v>
      </c>
      <c r="BM81" s="2">
        <f t="shared" si="127"/>
        <v>104400</v>
      </c>
      <c r="BN81" s="8">
        <f t="shared" si="128"/>
        <v>4.2999999999999997E-2</v>
      </c>
      <c r="BO81" s="2">
        <f t="shared" si="129"/>
        <v>105522.3</v>
      </c>
      <c r="BP81" s="2" t="str">
        <f t="shared" si="130"/>
        <v>nie</v>
      </c>
      <c r="BQ81" s="2">
        <f t="shared" si="131"/>
        <v>2088</v>
      </c>
      <c r="BR81" s="1">
        <f t="shared" si="163"/>
        <v>109</v>
      </c>
      <c r="BS81" s="1">
        <f t="shared" si="174"/>
        <v>7</v>
      </c>
      <c r="BT81" s="1">
        <f t="shared" si="156"/>
        <v>47</v>
      </c>
      <c r="BU81" s="1">
        <f t="shared" si="167"/>
        <v>45</v>
      </c>
      <c r="BV81" s="2">
        <f t="shared" si="94"/>
        <v>10900</v>
      </c>
      <c r="BW81" s="8">
        <f t="shared" si="164"/>
        <v>0.05</v>
      </c>
      <c r="BX81" s="2">
        <f t="shared" si="95"/>
        <v>11036.25</v>
      </c>
      <c r="BY81" s="2">
        <f t="shared" si="165"/>
        <v>136.25</v>
      </c>
      <c r="BZ81" s="2">
        <f t="shared" si="120"/>
        <v>9900</v>
      </c>
      <c r="CA81" s="8">
        <f t="shared" si="175"/>
        <v>4.2999999999999997E-2</v>
      </c>
      <c r="CB81" s="2">
        <f t="shared" si="117"/>
        <v>10006.425000000001</v>
      </c>
      <c r="CC81" s="2">
        <f t="shared" si="176"/>
        <v>198</v>
      </c>
      <c r="CD81" s="2">
        <f t="shared" si="132"/>
        <v>0</v>
      </c>
      <c r="CE81" s="2">
        <f t="shared" si="96"/>
        <v>0</v>
      </c>
      <c r="CF81" s="2">
        <f t="shared" si="97"/>
        <v>8.4999999999490683</v>
      </c>
      <c r="CG81" s="1">
        <f t="shared" si="159"/>
        <v>0</v>
      </c>
      <c r="CH81" s="2">
        <f t="shared" si="133"/>
        <v>8.4999999999490683</v>
      </c>
      <c r="CI81" s="1">
        <f t="shared" si="89"/>
        <v>0</v>
      </c>
      <c r="CJ81" s="2">
        <f t="shared" si="98"/>
        <v>8.4999999999490683</v>
      </c>
      <c r="CK81" s="2">
        <f t="shared" si="99"/>
        <v>126573.47499999995</v>
      </c>
      <c r="CL81" s="2">
        <f t="shared" si="134"/>
        <v>0</v>
      </c>
      <c r="CM81" s="2">
        <f t="shared" si="47"/>
        <v>676.40644999999972</v>
      </c>
      <c r="CN81" s="2">
        <f t="shared" si="135"/>
        <v>125897.06854999995</v>
      </c>
      <c r="CO81" s="2">
        <f t="shared" si="48"/>
        <v>2422.25</v>
      </c>
      <c r="CP81" s="2">
        <f t="shared" si="136"/>
        <v>4588.7327499999901</v>
      </c>
      <c r="CQ81" s="2">
        <f t="shared" si="137"/>
        <v>118886.08579999996</v>
      </c>
      <c r="CS81" s="5">
        <f t="shared" si="151"/>
        <v>1000</v>
      </c>
      <c r="CT81" s="2">
        <f t="shared" si="152"/>
        <v>100000</v>
      </c>
      <c r="CU81" s="2">
        <f t="shared" si="153"/>
        <v>100000</v>
      </c>
      <c r="CV81" s="2">
        <f t="shared" si="154"/>
        <v>127382.28902952962</v>
      </c>
      <c r="CW81" s="8">
        <f t="shared" si="138"/>
        <v>4.8000000000000001E-2</v>
      </c>
      <c r="CX81" s="2">
        <f t="shared" si="139"/>
        <v>128910.87649788398</v>
      </c>
      <c r="CY81" s="2" t="str">
        <f t="shared" si="140"/>
        <v>nie</v>
      </c>
      <c r="CZ81" s="2">
        <f t="shared" si="53"/>
        <v>0</v>
      </c>
      <c r="DA81" s="2">
        <f t="shared" si="54"/>
        <v>0</v>
      </c>
      <c r="DB81" s="2">
        <f t="shared" si="55"/>
        <v>128910.87649788398</v>
      </c>
      <c r="DC81" s="2">
        <f t="shared" si="141"/>
        <v>0</v>
      </c>
      <c r="DD81" s="2">
        <f t="shared" si="56"/>
        <v>686.80558933966859</v>
      </c>
      <c r="DE81" s="2">
        <f t="shared" si="57"/>
        <v>128224.07090854431</v>
      </c>
      <c r="DF81" s="2">
        <f t="shared" si="142"/>
        <v>3000</v>
      </c>
      <c r="DG81" s="2">
        <f t="shared" si="143"/>
        <v>4923.0665345979551</v>
      </c>
      <c r="DH81" s="2">
        <f t="shared" si="58"/>
        <v>120301.00437394636</v>
      </c>
    </row>
    <row r="82" spans="2:112">
      <c r="B82" s="228"/>
      <c r="C82" s="1">
        <f t="shared" si="168"/>
        <v>45</v>
      </c>
      <c r="D82" s="2">
        <f t="shared" si="105"/>
        <v>117786.29776486124</v>
      </c>
      <c r="E82" s="2">
        <f t="shared" si="106"/>
        <v>113416.89707228624</v>
      </c>
      <c r="F82" s="2">
        <f t="shared" si="107"/>
        <v>117650.90999999996</v>
      </c>
      <c r="G82" s="2">
        <f t="shared" si="108"/>
        <v>112381.32124999996</v>
      </c>
      <c r="H82" s="2">
        <f t="shared" si="109"/>
        <v>119805.17345280001</v>
      </c>
      <c r="I82" s="2">
        <f t="shared" si="110"/>
        <v>113545.492624384</v>
      </c>
      <c r="J82" s="2">
        <f t="shared" si="169"/>
        <v>113758.65245943316</v>
      </c>
      <c r="K82" s="2">
        <f t="shared" si="170"/>
        <v>110918.78049919999</v>
      </c>
      <c r="W82" s="1">
        <f t="shared" si="144"/>
        <v>64</v>
      </c>
      <c r="X82" s="2">
        <f t="shared" si="121"/>
        <v>115877.78615216115</v>
      </c>
      <c r="Y82" s="8">
        <f t="shared" si="157"/>
        <v>4.1300000000000003E-2</v>
      </c>
      <c r="Z82" s="5">
        <f t="shared" si="145"/>
        <v>1141</v>
      </c>
      <c r="AA82" s="2">
        <f t="shared" si="146"/>
        <v>113985.90000000001</v>
      </c>
      <c r="AB82" s="2">
        <f t="shared" si="37"/>
        <v>114100</v>
      </c>
      <c r="AC82" s="2">
        <f t="shared" si="147"/>
        <v>124958.01272499999</v>
      </c>
      <c r="AD82" s="8">
        <f t="shared" si="122"/>
        <v>4.65E-2</v>
      </c>
      <c r="AE82" s="2">
        <f t="shared" si="2"/>
        <v>126894.8619222375</v>
      </c>
      <c r="AF82" s="2" t="str">
        <f t="shared" si="123"/>
        <v>nie</v>
      </c>
      <c r="AG82" s="2">
        <f t="shared" si="124"/>
        <v>1141</v>
      </c>
      <c r="AH82" s="1">
        <f t="shared" si="79"/>
        <v>0</v>
      </c>
      <c r="AI82" s="1">
        <f t="shared" si="171"/>
        <v>0</v>
      </c>
      <c r="AJ82" s="1">
        <f t="shared" si="155"/>
        <v>0</v>
      </c>
      <c r="AK82" s="1">
        <f t="shared" si="166"/>
        <v>0</v>
      </c>
      <c r="AL82" s="2">
        <f t="shared" si="90"/>
        <v>0</v>
      </c>
      <c r="AM82" s="8">
        <f t="shared" si="160"/>
        <v>4.65E-2</v>
      </c>
      <c r="AN82" s="2">
        <f t="shared" si="91"/>
        <v>0</v>
      </c>
      <c r="AO82" s="2">
        <f t="shared" si="161"/>
        <v>0</v>
      </c>
      <c r="AP82" s="2">
        <f t="shared" si="119"/>
        <v>0</v>
      </c>
      <c r="AQ82" s="8">
        <f t="shared" si="172"/>
        <v>4.1300000000000003E-2</v>
      </c>
      <c r="AR82" s="2">
        <f t="shared" si="113"/>
        <v>0</v>
      </c>
      <c r="AS82" s="2">
        <f t="shared" si="173"/>
        <v>0</v>
      </c>
      <c r="AT82" s="2">
        <f t="shared" si="39"/>
        <v>0</v>
      </c>
      <c r="AU82" s="2">
        <f t="shared" si="92"/>
        <v>0</v>
      </c>
      <c r="AV82" s="2">
        <f t="shared" si="82"/>
        <v>53.345092499992461</v>
      </c>
      <c r="AW82" s="1">
        <f t="shared" si="158"/>
        <v>0</v>
      </c>
      <c r="AX82" s="2">
        <f t="shared" si="125"/>
        <v>53.345092499992461</v>
      </c>
      <c r="AY82" s="1">
        <f t="shared" si="83"/>
        <v>0</v>
      </c>
      <c r="AZ82" s="2">
        <f t="shared" si="40"/>
        <v>53.345092499992461</v>
      </c>
      <c r="BA82" s="2">
        <f t="shared" si="93"/>
        <v>126948.20701473749</v>
      </c>
      <c r="BB82" s="2">
        <f t="shared" si="126"/>
        <v>0</v>
      </c>
      <c r="BC82" s="2">
        <f t="shared" si="41"/>
        <v>676.04218593099995</v>
      </c>
      <c r="BD82" s="2">
        <f t="shared" si="10"/>
        <v>126272.16482880649</v>
      </c>
      <c r="BE82" s="2">
        <f t="shared" si="42"/>
        <v>1141</v>
      </c>
      <c r="BF82" s="2">
        <f t="shared" si="11"/>
        <v>4903.3693328001236</v>
      </c>
      <c r="BG82" s="2">
        <f t="shared" si="12"/>
        <v>120227.79549600637</v>
      </c>
      <c r="BI82" s="8">
        <f t="shared" si="162"/>
        <v>2.8000000000000001E-2</v>
      </c>
      <c r="BJ82" s="5">
        <f t="shared" si="148"/>
        <v>1044</v>
      </c>
      <c r="BK82" s="2">
        <f t="shared" si="149"/>
        <v>104295.6</v>
      </c>
      <c r="BL82" s="2">
        <f t="shared" si="150"/>
        <v>104400</v>
      </c>
      <c r="BM82" s="2">
        <f t="shared" si="127"/>
        <v>104400</v>
      </c>
      <c r="BN82" s="8">
        <f t="shared" si="128"/>
        <v>4.2999999999999997E-2</v>
      </c>
      <c r="BO82" s="2">
        <f t="shared" si="129"/>
        <v>105896.4</v>
      </c>
      <c r="BP82" s="2" t="str">
        <f t="shared" si="130"/>
        <v>nie</v>
      </c>
      <c r="BQ82" s="2">
        <f t="shared" si="131"/>
        <v>2088</v>
      </c>
      <c r="BR82" s="1">
        <f t="shared" si="163"/>
        <v>109</v>
      </c>
      <c r="BS82" s="1">
        <f t="shared" si="174"/>
        <v>7</v>
      </c>
      <c r="BT82" s="1">
        <f t="shared" si="156"/>
        <v>47</v>
      </c>
      <c r="BU82" s="1">
        <f t="shared" si="167"/>
        <v>45</v>
      </c>
      <c r="BV82" s="2">
        <f t="shared" si="94"/>
        <v>10900</v>
      </c>
      <c r="BW82" s="8">
        <f t="shared" si="164"/>
        <v>0.05</v>
      </c>
      <c r="BX82" s="2">
        <f t="shared" si="95"/>
        <v>11081.666666666666</v>
      </c>
      <c r="BY82" s="2">
        <f t="shared" si="165"/>
        <v>181.66666666666606</v>
      </c>
      <c r="BZ82" s="2">
        <f t="shared" si="120"/>
        <v>9900</v>
      </c>
      <c r="CA82" s="8">
        <f t="shared" si="175"/>
        <v>4.2999999999999997E-2</v>
      </c>
      <c r="CB82" s="2">
        <f t="shared" si="117"/>
        <v>10041.9</v>
      </c>
      <c r="CC82" s="2">
        <f t="shared" si="176"/>
        <v>198</v>
      </c>
      <c r="CD82" s="2">
        <f t="shared" si="132"/>
        <v>0</v>
      </c>
      <c r="CE82" s="2">
        <f t="shared" si="96"/>
        <v>0</v>
      </c>
      <c r="CF82" s="2">
        <f t="shared" si="97"/>
        <v>8.4999999999490683</v>
      </c>
      <c r="CG82" s="1">
        <f t="shared" si="159"/>
        <v>0</v>
      </c>
      <c r="CH82" s="2">
        <f t="shared" si="133"/>
        <v>8.4999999999490683</v>
      </c>
      <c r="CI82" s="1">
        <f t="shared" si="89"/>
        <v>0</v>
      </c>
      <c r="CJ82" s="2">
        <f t="shared" si="98"/>
        <v>8.4999999999490683</v>
      </c>
      <c r="CK82" s="2">
        <f t="shared" si="99"/>
        <v>127028.46666666662</v>
      </c>
      <c r="CL82" s="2">
        <f t="shared" si="134"/>
        <v>0</v>
      </c>
      <c r="CM82" s="2">
        <f t="shared" si="47"/>
        <v>676.40644999999972</v>
      </c>
      <c r="CN82" s="2">
        <f t="shared" si="135"/>
        <v>126352.06021666662</v>
      </c>
      <c r="CO82" s="2">
        <f t="shared" si="48"/>
        <v>2467.6666666666661</v>
      </c>
      <c r="CP82" s="2">
        <f t="shared" si="136"/>
        <v>4666.5519999999897</v>
      </c>
      <c r="CQ82" s="2">
        <f t="shared" si="137"/>
        <v>119217.84154999995</v>
      </c>
      <c r="CS82" s="5">
        <f t="shared" si="151"/>
        <v>1000</v>
      </c>
      <c r="CT82" s="2">
        <f t="shared" si="152"/>
        <v>100000</v>
      </c>
      <c r="CU82" s="2">
        <f t="shared" si="153"/>
        <v>100000</v>
      </c>
      <c r="CV82" s="2">
        <f t="shared" si="154"/>
        <v>127382.28902952962</v>
      </c>
      <c r="CW82" s="8">
        <f t="shared" si="138"/>
        <v>4.8000000000000001E-2</v>
      </c>
      <c r="CX82" s="2">
        <f t="shared" si="139"/>
        <v>129420.4056540021</v>
      </c>
      <c r="CY82" s="2" t="str">
        <f t="shared" si="140"/>
        <v>nie</v>
      </c>
      <c r="CZ82" s="2">
        <f t="shared" si="53"/>
        <v>0</v>
      </c>
      <c r="DA82" s="2">
        <f t="shared" si="54"/>
        <v>0</v>
      </c>
      <c r="DB82" s="2">
        <f t="shared" si="55"/>
        <v>129420.4056540021</v>
      </c>
      <c r="DC82" s="2">
        <f t="shared" si="141"/>
        <v>0</v>
      </c>
      <c r="DD82" s="2">
        <f t="shared" si="56"/>
        <v>686.80558933966859</v>
      </c>
      <c r="DE82" s="2">
        <f t="shared" si="57"/>
        <v>128733.60006466243</v>
      </c>
      <c r="DF82" s="2">
        <f t="shared" si="142"/>
        <v>3000</v>
      </c>
      <c r="DG82" s="2">
        <f t="shared" si="143"/>
        <v>5019.8770742603983</v>
      </c>
      <c r="DH82" s="2">
        <f t="shared" si="58"/>
        <v>120713.72299040204</v>
      </c>
    </row>
    <row r="83" spans="2:112">
      <c r="B83" s="228"/>
      <c r="C83" s="1">
        <f t="shared" si="168"/>
        <v>46</v>
      </c>
      <c r="D83" s="2">
        <f t="shared" si="105"/>
        <v>118228.43526486124</v>
      </c>
      <c r="E83" s="2">
        <f t="shared" si="106"/>
        <v>113775.02844728624</v>
      </c>
      <c r="F83" s="2">
        <f t="shared" si="107"/>
        <v>118062.86833333332</v>
      </c>
      <c r="G83" s="2">
        <f t="shared" si="108"/>
        <v>112715.00749999999</v>
      </c>
      <c r="H83" s="2">
        <f t="shared" si="109"/>
        <v>120269.09706240002</v>
      </c>
      <c r="I83" s="2">
        <f t="shared" si="110"/>
        <v>113921.27074816002</v>
      </c>
      <c r="J83" s="2">
        <f t="shared" si="169"/>
        <v>114084.99759367615</v>
      </c>
      <c r="K83" s="2">
        <f t="shared" si="170"/>
        <v>111172.26775466668</v>
      </c>
      <c r="W83" s="1">
        <f t="shared" si="144"/>
        <v>65</v>
      </c>
      <c r="X83" s="2">
        <f t="shared" ref="X83:X114" si="177">zakup_domyslny_wartosc*IFERROR((INDEX(scenariusz_I_inflacja_skumulowana,MATCH(ROUNDDOWN(W83/12,0),scenariusz_I_rok,0))+1),1)
*(1+MOD(W83,12)*INDEX(scenariusz_I_inflacja,MATCH(ROUNDUP(W83/12,0),scenariusz_I_rok,0))/12)</f>
        <v>116145.66742794223</v>
      </c>
      <c r="Y83" s="8">
        <f t="shared" si="157"/>
        <v>4.1300000000000003E-2</v>
      </c>
      <c r="Z83" s="5">
        <f t="shared" si="145"/>
        <v>1141</v>
      </c>
      <c r="AA83" s="2">
        <f t="shared" si="146"/>
        <v>113985.90000000001</v>
      </c>
      <c r="AB83" s="2">
        <f t="shared" si="37"/>
        <v>114100</v>
      </c>
      <c r="AC83" s="2">
        <f t="shared" si="147"/>
        <v>124958.01272499999</v>
      </c>
      <c r="AD83" s="8">
        <f t="shared" ref="AD83:AD114" si="178">IF(AND(MOD($W83,zapadalnosc_TOS)&lt;=zmiana_oprocentowania_co_ile_mc_TOS,MOD($W83,zapadalnosc_TOS)&lt;&gt;0),proc_I_okres_TOS,(marza_TOS+$Y83))</f>
        <v>4.65E-2</v>
      </c>
      <c r="AE83" s="2">
        <f t="shared" ref="AE83:AE146" si="179">AC83*(1+AD83*IF(MOD($W83,12)&lt;&gt;0,MOD($W83,12),12)/12)</f>
        <v>127379.07422154686</v>
      </c>
      <c r="AF83" s="2" t="str">
        <f t="shared" ref="AF83:AF114" si="180">IF(MOD($W83,zapadalnosc_TOS)=0,"tak","nie")</f>
        <v>nie</v>
      </c>
      <c r="AG83" s="2">
        <f t="shared" ref="AG83:AG114" si="181">IF(MOD($W83,zapadalnosc_TOS)=0,0,
IF(AND(MOD($W83,zapadalnosc_TOS)&lt;zapadalnosc_TOS,MOD($W83,zapadalnosc_TOS)&lt;=koszt_wczesniejszy_wykup_ochrona_TOS),
MIN(AE83-AB83,Z83*koszt_wczesniejszy_wykup_TOS),Z83*koszt_wczesniejszy_wykup_TOS))</f>
        <v>1141</v>
      </c>
      <c r="AH83" s="1">
        <f t="shared" si="79"/>
        <v>0</v>
      </c>
      <c r="AI83" s="1">
        <f t="shared" si="171"/>
        <v>0</v>
      </c>
      <c r="AJ83" s="1">
        <f t="shared" si="155"/>
        <v>0</v>
      </c>
      <c r="AK83" s="1">
        <f t="shared" si="166"/>
        <v>0</v>
      </c>
      <c r="AL83" s="2">
        <f t="shared" si="90"/>
        <v>0</v>
      </c>
      <c r="AM83" s="8">
        <f t="shared" si="160"/>
        <v>4.65E-2</v>
      </c>
      <c r="AN83" s="2">
        <f t="shared" si="91"/>
        <v>0</v>
      </c>
      <c r="AO83" s="2">
        <f t="shared" si="161"/>
        <v>0</v>
      </c>
      <c r="AP83" s="2">
        <f t="shared" si="119"/>
        <v>0</v>
      </c>
      <c r="AQ83" s="8">
        <f t="shared" si="172"/>
        <v>4.1300000000000003E-2</v>
      </c>
      <c r="AR83" s="2">
        <f t="shared" si="113"/>
        <v>0</v>
      </c>
      <c r="AS83" s="2">
        <f t="shared" si="173"/>
        <v>0</v>
      </c>
      <c r="AT83" s="2">
        <f t="shared" si="39"/>
        <v>0</v>
      </c>
      <c r="AU83" s="2">
        <f t="shared" si="92"/>
        <v>0</v>
      </c>
      <c r="AV83" s="2">
        <f t="shared" si="82"/>
        <v>53.345092499992461</v>
      </c>
      <c r="AW83" s="1">
        <f t="shared" si="158"/>
        <v>0</v>
      </c>
      <c r="AX83" s="2">
        <f t="shared" ref="AX83:AX114" si="182">AV83-AW83*zamiana_TOS</f>
        <v>53.345092499992461</v>
      </c>
      <c r="AY83" s="1">
        <f t="shared" si="83"/>
        <v>0</v>
      </c>
      <c r="AZ83" s="2">
        <f t="shared" si="40"/>
        <v>53.345092499992461</v>
      </c>
      <c r="BA83" s="2">
        <f t="shared" si="93"/>
        <v>127432.41931404686</v>
      </c>
      <c r="BB83" s="2">
        <f t="shared" ref="BB83:BB114" si="183">MIN(IF(MOD($W83,12)=0,INDEX(IKE_oplata_wskaznik,MATCH(ROUNDUP($W83/12,0),IKE_oplata_rok,0)),0)*BA83,200)</f>
        <v>0</v>
      </c>
      <c r="BC83" s="2">
        <f t="shared" si="41"/>
        <v>676.04218593099995</v>
      </c>
      <c r="BD83" s="2">
        <f t="shared" ref="BD83:BD146" si="184">BA83-BC83</f>
        <v>126756.37712811586</v>
      </c>
      <c r="BE83" s="2">
        <f t="shared" si="42"/>
        <v>1141</v>
      </c>
      <c r="BF83" s="2">
        <f t="shared" ref="BF83:BF146" si="185">(BA83-BE83-zakup_domyslny_wartosc)*podatek_Belki</f>
        <v>4995.369669668903</v>
      </c>
      <c r="BG83" s="2">
        <f t="shared" ref="BG83:BG146" si="186">BA83-BC83-BE83-BF83</f>
        <v>120620.00745844695</v>
      </c>
      <c r="BI83" s="8">
        <f t="shared" si="162"/>
        <v>2.8000000000000001E-2</v>
      </c>
      <c r="BJ83" s="5">
        <f t="shared" si="148"/>
        <v>1044</v>
      </c>
      <c r="BK83" s="2">
        <f t="shared" si="149"/>
        <v>104295.6</v>
      </c>
      <c r="BL83" s="2">
        <f t="shared" si="150"/>
        <v>104400</v>
      </c>
      <c r="BM83" s="2">
        <f t="shared" ref="BM83:BM114" si="187">BL83</f>
        <v>104400</v>
      </c>
      <c r="BN83" s="8">
        <f t="shared" ref="BN83:BN114" si="188">IF(AND(MOD($W83,zapadalnosc_COI)&lt;=zmiana_oprocentowania_co_ile_mc_COI,MOD($W83,zapadalnosc_COI)&lt;&gt;0),proc_I_okres_COI,(marza_COI+$BI83))</f>
        <v>4.2999999999999997E-2</v>
      </c>
      <c r="BO83" s="2">
        <f t="shared" ref="BO83:BO114" si="189">BM83*(1+BN83*IF(MOD($W83,12)&lt;&gt;0,MOD($W83,12),12)/12)</f>
        <v>106270.49999999999</v>
      </c>
      <c r="BP83" s="2" t="str">
        <f t="shared" ref="BP83:BP114" si="190">IF(MOD($W83,zapadalnosc_COI)=0,"tak","nie")</f>
        <v>nie</v>
      </c>
      <c r="BQ83" s="2">
        <f t="shared" ref="BQ83:BQ114" si="191">IF(MOD($W83,zapadalnosc_COI)=0,0,
IF(AND(MOD($W83,zapadalnosc_COI)&lt;zapadalnosc_COI,MOD($W83,zapadalnosc_COI)&lt;=koszt_wczesniejszy_wykup_ochrona_COI),
MIN(BO83-BL83,BJ83*koszt_wczesniejszy_wykup_COI),BJ83*koszt_wczesniejszy_wykup_COI))</f>
        <v>2088</v>
      </c>
      <c r="BR83" s="1">
        <f t="shared" si="163"/>
        <v>109</v>
      </c>
      <c r="BS83" s="1">
        <f t="shared" si="174"/>
        <v>7</v>
      </c>
      <c r="BT83" s="1">
        <f t="shared" si="156"/>
        <v>47</v>
      </c>
      <c r="BU83" s="1">
        <f t="shared" si="167"/>
        <v>45</v>
      </c>
      <c r="BV83" s="2">
        <f t="shared" si="94"/>
        <v>10900</v>
      </c>
      <c r="BW83" s="8">
        <f t="shared" si="164"/>
        <v>0.05</v>
      </c>
      <c r="BX83" s="2">
        <f t="shared" si="95"/>
        <v>11127.083333333332</v>
      </c>
      <c r="BY83" s="2">
        <f t="shared" si="165"/>
        <v>218</v>
      </c>
      <c r="BZ83" s="2">
        <f t="shared" si="120"/>
        <v>9900</v>
      </c>
      <c r="CA83" s="8">
        <f t="shared" si="175"/>
        <v>4.2999999999999997E-2</v>
      </c>
      <c r="CB83" s="2">
        <f t="shared" si="117"/>
        <v>10077.375</v>
      </c>
      <c r="CC83" s="2">
        <f t="shared" si="176"/>
        <v>198</v>
      </c>
      <c r="CD83" s="2">
        <f t="shared" ref="CD83:CD114" si="192">IF(MOD($W83,wyplata_odsetek_COI)=0, (BO83-BL83),0)
-IF(AND(BP83="tak",BK84&lt;&gt;""),BK84-BL83,0)</f>
        <v>0</v>
      </c>
      <c r="CE83" s="2">
        <f t="shared" si="96"/>
        <v>0</v>
      </c>
      <c r="CF83" s="2">
        <f t="shared" si="97"/>
        <v>8.4999999999490683</v>
      </c>
      <c r="CG83" s="1">
        <f t="shared" si="159"/>
        <v>0</v>
      </c>
      <c r="CH83" s="2">
        <f t="shared" ref="CH83:CH114" si="193">CF83-CG83*zamiana_COI</f>
        <v>8.4999999999490683</v>
      </c>
      <c r="CI83" s="1">
        <f t="shared" si="89"/>
        <v>0</v>
      </c>
      <c r="CJ83" s="2">
        <f t="shared" si="98"/>
        <v>8.4999999999490683</v>
      </c>
      <c r="CK83" s="2">
        <f t="shared" si="99"/>
        <v>127483.45833333326</v>
      </c>
      <c r="CL83" s="2">
        <f t="shared" ref="CL83:CL114" si="194">MIN(IF(MOD($W83,12)=0,INDEX(IKE_oplata_wskaznik,MATCH(ROUNDUP($W83/12,0),IKE_oplata_rok,0)),0)*CK83,200)</f>
        <v>0</v>
      </c>
      <c r="CM83" s="2">
        <f t="shared" si="47"/>
        <v>676.40644999999972</v>
      </c>
      <c r="CN83" s="2">
        <f t="shared" ref="CN83:CN114" si="195">CK83-CM83</f>
        <v>126807.05188333326</v>
      </c>
      <c r="CO83" s="2">
        <f t="shared" si="48"/>
        <v>2504</v>
      </c>
      <c r="CP83" s="2">
        <f t="shared" ref="CP83:CP114" si="196">(CK83-CO83-zakup_domyslny_wartosc)*podatek_Belki</f>
        <v>4746.0970833333186</v>
      </c>
      <c r="CQ83" s="2">
        <f t="shared" ref="CQ83:CQ114" si="197">CK83-CM83-CO83-CP83</f>
        <v>119556.95479999995</v>
      </c>
      <c r="CS83" s="5">
        <f t="shared" si="151"/>
        <v>1000</v>
      </c>
      <c r="CT83" s="2">
        <f t="shared" si="152"/>
        <v>100000</v>
      </c>
      <c r="CU83" s="2">
        <f t="shared" si="153"/>
        <v>100000</v>
      </c>
      <c r="CV83" s="2">
        <f t="shared" si="154"/>
        <v>127382.28902952962</v>
      </c>
      <c r="CW83" s="8">
        <f t="shared" ref="CW83:CW114" si="198">IF(AND(MOD($W83,zapadalnosc_EDO)&lt;=12,MOD($W83,zapadalnosc_EDO)&lt;&gt;0),proc_I_okres_EDO,(marza_EDO+$BI83))</f>
        <v>4.8000000000000001E-2</v>
      </c>
      <c r="CX83" s="2">
        <f t="shared" ref="CX83:CX114" si="199">CV83*(1+CW83*IF(MOD($W83,12)&lt;&gt;0,MOD($W83,12),12)/12)</f>
        <v>129929.93481012022</v>
      </c>
      <c r="CY83" s="2" t="str">
        <f t="shared" ref="CY83:CY114" si="200">IF(MOD($W83,zapadalnosc_EDO)=0,"tak","nie")</f>
        <v>nie</v>
      </c>
      <c r="CZ83" s="2">
        <f t="shared" si="53"/>
        <v>0</v>
      </c>
      <c r="DA83" s="2">
        <f t="shared" si="54"/>
        <v>0</v>
      </c>
      <c r="DB83" s="2">
        <f t="shared" si="55"/>
        <v>129929.93481012022</v>
      </c>
      <c r="DC83" s="2">
        <f t="shared" ref="DC83:DC114" si="201">MIN(IF(MOD(W83,12)=0,INDEX(IKE_oplata_wskaznik,MATCH(ROUNDUP(W83/12,0),IKE_oplata_rok,0)),0)*DB83,200)</f>
        <v>0</v>
      </c>
      <c r="DD83" s="2">
        <f t="shared" si="56"/>
        <v>686.80558933966859</v>
      </c>
      <c r="DE83" s="2">
        <f t="shared" si="57"/>
        <v>129243.12922078055</v>
      </c>
      <c r="DF83" s="2">
        <f t="shared" ref="DF83:DF114" si="202">IF(AND(MOD($W83,zapadalnosc_EDO)&lt;zapadalnosc_EDO,MOD($W83,zapadalnosc_EDO)&lt;&gt;0),MIN(CX83-CU83,CS83*koszt_wczesniejszy_wykup_EDO),0)</f>
        <v>3000</v>
      </c>
      <c r="DG83" s="2">
        <f t="shared" ref="DG83:DG114" si="203">(CX83-DF83-zakup_domyslny_wartosc)*podatek_Belki</f>
        <v>5116.6876139228416</v>
      </c>
      <c r="DH83" s="2">
        <f t="shared" si="58"/>
        <v>121126.44160685771</v>
      </c>
    </row>
    <row r="84" spans="2:112">
      <c r="B84" s="229"/>
      <c r="C84" s="1">
        <f t="shared" si="168"/>
        <v>47</v>
      </c>
      <c r="D84" s="2">
        <f t="shared" si="105"/>
        <v>118670.57276486124</v>
      </c>
      <c r="E84" s="2">
        <f t="shared" si="106"/>
        <v>114133.15982228624</v>
      </c>
      <c r="F84" s="2">
        <f t="shared" si="107"/>
        <v>118474.82666666665</v>
      </c>
      <c r="G84" s="2">
        <f t="shared" si="108"/>
        <v>113048.69374999998</v>
      </c>
      <c r="H84" s="2">
        <f t="shared" si="109"/>
        <v>120733.02067200001</v>
      </c>
      <c r="I84" s="2">
        <f t="shared" si="110"/>
        <v>114297.04887193601</v>
      </c>
      <c r="J84" s="2">
        <f t="shared" si="169"/>
        <v>114412.278930523</v>
      </c>
      <c r="K84" s="2">
        <f t="shared" si="170"/>
        <v>111425.75501013333</v>
      </c>
      <c r="W84" s="1">
        <f t="shared" ref="W84:W115" si="204">W83+1</f>
        <v>66</v>
      </c>
      <c r="X84" s="2">
        <f t="shared" si="177"/>
        <v>116413.54870372331</v>
      </c>
      <c r="Y84" s="8">
        <f t="shared" si="157"/>
        <v>4.1300000000000003E-2</v>
      </c>
      <c r="Z84" s="5">
        <f t="shared" ref="Z84:Z115" si="205">IF(AF83="tak",
ROUNDDOWN(AE83/zamiana_TOS,0),
Z83)</f>
        <v>1141</v>
      </c>
      <c r="AA84" s="2">
        <f t="shared" ref="AA84:AA115" si="206">IF(AF83="tak",
Z84*zamiana_TOS,
AA83)</f>
        <v>113985.90000000001</v>
      </c>
      <c r="AB84" s="2">
        <f t="shared" ref="AB84:AB147" si="207">IF(AF83="tak",
Z84*100,
AB83)</f>
        <v>114100</v>
      </c>
      <c r="AC84" s="2">
        <f t="shared" ref="AC84:AC115" si="208">IF(AF83="tak",
 AB84,
IF(MOD($W84,kapitalizacja_odsetek_mc_TOS)&lt;&gt;1,AC83,AE83))</f>
        <v>124958.01272499999</v>
      </c>
      <c r="AD84" s="8">
        <f t="shared" si="178"/>
        <v>4.65E-2</v>
      </c>
      <c r="AE84" s="2">
        <f t="shared" si="179"/>
        <v>127863.28652085624</v>
      </c>
      <c r="AF84" s="2" t="str">
        <f t="shared" si="180"/>
        <v>nie</v>
      </c>
      <c r="AG84" s="2">
        <f t="shared" si="181"/>
        <v>1141</v>
      </c>
      <c r="AH84" s="1">
        <f t="shared" si="79"/>
        <v>0</v>
      </c>
      <c r="AI84" s="1">
        <f t="shared" si="171"/>
        <v>0</v>
      </c>
      <c r="AJ84" s="1">
        <f t="shared" si="155"/>
        <v>0</v>
      </c>
      <c r="AK84" s="1">
        <f t="shared" si="166"/>
        <v>0</v>
      </c>
      <c r="AL84" s="2">
        <f t="shared" si="90"/>
        <v>0</v>
      </c>
      <c r="AM84" s="8">
        <f t="shared" si="160"/>
        <v>4.65E-2</v>
      </c>
      <c r="AN84" s="2">
        <f t="shared" si="91"/>
        <v>0</v>
      </c>
      <c r="AO84" s="2">
        <f t="shared" si="161"/>
        <v>0</v>
      </c>
      <c r="AP84" s="2">
        <f t="shared" si="119"/>
        <v>0</v>
      </c>
      <c r="AQ84" s="8">
        <f t="shared" si="172"/>
        <v>4.1300000000000003E-2</v>
      </c>
      <c r="AR84" s="2">
        <f t="shared" si="113"/>
        <v>0</v>
      </c>
      <c r="AS84" s="2">
        <f t="shared" si="173"/>
        <v>0</v>
      </c>
      <c r="AT84" s="2">
        <f t="shared" ref="AT84:AT147" si="209">IF(AND(AF84="tak",AA85&lt;&gt;""),
 AE84-AA85,
0)</f>
        <v>0</v>
      </c>
      <c r="AU84" s="2">
        <f t="shared" si="92"/>
        <v>0</v>
      </c>
      <c r="AV84" s="2">
        <f t="shared" si="82"/>
        <v>53.345092499992461</v>
      </c>
      <c r="AW84" s="1">
        <f t="shared" si="158"/>
        <v>0</v>
      </c>
      <c r="AX84" s="2">
        <f t="shared" si="182"/>
        <v>53.345092499992461</v>
      </c>
      <c r="AY84" s="1">
        <f t="shared" si="83"/>
        <v>0</v>
      </c>
      <c r="AZ84" s="2">
        <f t="shared" ref="AZ84:AZ147" si="210">AX84-AY84*100</f>
        <v>53.345092499992461</v>
      </c>
      <c r="BA84" s="2">
        <f t="shared" si="93"/>
        <v>127916.63161335624</v>
      </c>
      <c r="BB84" s="2">
        <f t="shared" si="183"/>
        <v>0</v>
      </c>
      <c r="BC84" s="2">
        <f t="shared" ref="BC84:BC147" si="211">BB84+BC83</f>
        <v>676.04218593099995</v>
      </c>
      <c r="BD84" s="2">
        <f t="shared" si="184"/>
        <v>127240.58942742524</v>
      </c>
      <c r="BE84" s="2">
        <f t="shared" ref="BE84:BE147" si="212">AG84+AO84+AS84</f>
        <v>1141</v>
      </c>
      <c r="BF84" s="2">
        <f t="shared" si="185"/>
        <v>5087.3700065376852</v>
      </c>
      <c r="BG84" s="2">
        <f t="shared" si="186"/>
        <v>121012.21942088754</v>
      </c>
      <c r="BI84" s="8">
        <f t="shared" si="162"/>
        <v>2.8000000000000001E-2</v>
      </c>
      <c r="BJ84" s="5">
        <f t="shared" ref="BJ84:BJ115" si="213">IF(BP83="tak",
ROUNDDOWN(BO83/zamiana_COI,0),
BJ83)</f>
        <v>1044</v>
      </c>
      <c r="BK84" s="2">
        <f t="shared" ref="BK84:BK115" si="214">IF(BP83="tak",
BJ84*zamiana_COI,
BK83)</f>
        <v>104295.6</v>
      </c>
      <c r="BL84" s="2">
        <f t="shared" ref="BL84:BL115" si="215">IF(BP83="tak",
BJ84*100,
BL83)</f>
        <v>104400</v>
      </c>
      <c r="BM84" s="2">
        <f t="shared" si="187"/>
        <v>104400</v>
      </c>
      <c r="BN84" s="8">
        <f t="shared" si="188"/>
        <v>4.2999999999999997E-2</v>
      </c>
      <c r="BO84" s="2">
        <f t="shared" si="189"/>
        <v>106644.6</v>
      </c>
      <c r="BP84" s="2" t="str">
        <f t="shared" si="190"/>
        <v>nie</v>
      </c>
      <c r="BQ84" s="2">
        <f t="shared" si="191"/>
        <v>2088</v>
      </c>
      <c r="BR84" s="1">
        <f t="shared" si="163"/>
        <v>109</v>
      </c>
      <c r="BS84" s="1">
        <f t="shared" si="174"/>
        <v>7</v>
      </c>
      <c r="BT84" s="1">
        <f t="shared" si="156"/>
        <v>47</v>
      </c>
      <c r="BU84" s="1">
        <f t="shared" si="167"/>
        <v>45</v>
      </c>
      <c r="BV84" s="2">
        <f t="shared" si="94"/>
        <v>10900</v>
      </c>
      <c r="BW84" s="8">
        <f t="shared" si="164"/>
        <v>0.05</v>
      </c>
      <c r="BX84" s="2">
        <f t="shared" si="95"/>
        <v>11172.499999999998</v>
      </c>
      <c r="BY84" s="2">
        <f t="shared" si="165"/>
        <v>218</v>
      </c>
      <c r="BZ84" s="2">
        <f t="shared" si="120"/>
        <v>9900</v>
      </c>
      <c r="CA84" s="8">
        <f t="shared" si="175"/>
        <v>4.2999999999999997E-2</v>
      </c>
      <c r="CB84" s="2">
        <f t="shared" si="117"/>
        <v>10112.85</v>
      </c>
      <c r="CC84" s="2">
        <f t="shared" si="176"/>
        <v>198</v>
      </c>
      <c r="CD84" s="2">
        <f t="shared" si="192"/>
        <v>0</v>
      </c>
      <c r="CE84" s="2">
        <f t="shared" si="96"/>
        <v>0</v>
      </c>
      <c r="CF84" s="2">
        <f t="shared" si="97"/>
        <v>8.4999999999490683</v>
      </c>
      <c r="CG84" s="1">
        <f t="shared" si="159"/>
        <v>0</v>
      </c>
      <c r="CH84" s="2">
        <f t="shared" si="193"/>
        <v>8.4999999999490683</v>
      </c>
      <c r="CI84" s="1">
        <f t="shared" si="89"/>
        <v>0</v>
      </c>
      <c r="CJ84" s="2">
        <f t="shared" si="98"/>
        <v>8.4999999999490683</v>
      </c>
      <c r="CK84" s="2">
        <f t="shared" si="99"/>
        <v>127938.44999999995</v>
      </c>
      <c r="CL84" s="2">
        <f t="shared" si="194"/>
        <v>0</v>
      </c>
      <c r="CM84" s="2">
        <f t="shared" ref="CM84:CM147" si="216">CL84+CM83</f>
        <v>676.40644999999972</v>
      </c>
      <c r="CN84" s="2">
        <f t="shared" si="195"/>
        <v>127262.04354999996</v>
      </c>
      <c r="CO84" s="2">
        <f t="shared" ref="CO84:CO147" si="217">BQ84+BY84+CC84</f>
        <v>2504</v>
      </c>
      <c r="CP84" s="2">
        <f t="shared" si="196"/>
        <v>4832.5454999999911</v>
      </c>
      <c r="CQ84" s="2">
        <f t="shared" si="197"/>
        <v>119925.49804999997</v>
      </c>
      <c r="CS84" s="5">
        <f t="shared" ref="CS84:CS115" si="218">IF(CY83="tak",
ROUNDDOWN(CX83/zamiana_EDO,0),
CS83)</f>
        <v>1000</v>
      </c>
      <c r="CT84" s="2">
        <f t="shared" ref="CT84:CT115" si="219">IF(CY83="tak",
CS84*zamiana_EDO,
CT83)</f>
        <v>100000</v>
      </c>
      <c r="CU84" s="2">
        <f t="shared" ref="CU84:CU115" si="220">IF(CY83="tak",
CS84*100,
CU83)</f>
        <v>100000</v>
      </c>
      <c r="CV84" s="2">
        <f t="shared" ref="CV84:CV115" si="221">IF(CY83="tak",
 CU84,
IF(MOD($W84,kapitalizacja_odsetek_mc_EDO)&lt;&gt;1,CV83,CX83))</f>
        <v>127382.28902952962</v>
      </c>
      <c r="CW84" s="8">
        <f t="shared" si="198"/>
        <v>4.8000000000000001E-2</v>
      </c>
      <c r="CX84" s="2">
        <f t="shared" si="199"/>
        <v>130439.46396623834</v>
      </c>
      <c r="CY84" s="2" t="str">
        <f t="shared" si="200"/>
        <v>nie</v>
      </c>
      <c r="CZ84" s="2">
        <f t="shared" ref="CZ84:CZ147" si="222">IF(AND(CY84="tak",CT85&lt;&gt;""),
 CX84-CT85,
0)</f>
        <v>0</v>
      </c>
      <c r="DA84" s="2">
        <f t="shared" ref="DA84:DA147" si="223">DA83+CZ84</f>
        <v>0</v>
      </c>
      <c r="DB84" s="2">
        <f t="shared" ref="DB84:DB147" si="224">DA83+CX84</f>
        <v>130439.46396623834</v>
      </c>
      <c r="DC84" s="2">
        <f t="shared" si="201"/>
        <v>0</v>
      </c>
      <c r="DD84" s="2">
        <f t="shared" ref="DD84:DD147" si="225">DC84+DD83</f>
        <v>686.80558933966859</v>
      </c>
      <c r="DE84" s="2">
        <f t="shared" ref="DE84:DE147" si="226">DB84-DD84</f>
        <v>129752.65837689867</v>
      </c>
      <c r="DF84" s="2">
        <f t="shared" si="202"/>
        <v>3000</v>
      </c>
      <c r="DG84" s="2">
        <f t="shared" si="203"/>
        <v>5213.4981535852849</v>
      </c>
      <c r="DH84" s="2">
        <f t="shared" ref="DH84:DH147" si="227">DB84-DD84-DF84-DG84</f>
        <v>121539.16022331339</v>
      </c>
    </row>
    <row r="85" spans="2:112">
      <c r="B85" s="227">
        <f>ROUNDUP(C86/12,0)</f>
        <v>5</v>
      </c>
      <c r="C85" s="3">
        <f t="shared" si="168"/>
        <v>48</v>
      </c>
      <c r="D85" s="10">
        <f t="shared" si="105"/>
        <v>118945.46767173173</v>
      </c>
      <c r="E85" s="10">
        <f t="shared" si="106"/>
        <v>114324.04860415673</v>
      </c>
      <c r="F85" s="10">
        <f t="shared" si="107"/>
        <v>118719.85809999995</v>
      </c>
      <c r="G85" s="10">
        <f t="shared" si="108"/>
        <v>114835.45309999996</v>
      </c>
      <c r="H85" s="10">
        <f t="shared" si="109"/>
        <v>121026.77710159874</v>
      </c>
      <c r="I85" s="10">
        <f t="shared" si="110"/>
        <v>114502.65981571074</v>
      </c>
      <c r="J85" s="10">
        <f t="shared" si="169"/>
        <v>114740.49915570494</v>
      </c>
      <c r="K85" s="10">
        <f t="shared" si="170"/>
        <v>111679.2422656</v>
      </c>
      <c r="W85" s="1">
        <f t="shared" si="204"/>
        <v>67</v>
      </c>
      <c r="X85" s="2">
        <f t="shared" si="177"/>
        <v>116681.42997950439</v>
      </c>
      <c r="Y85" s="8">
        <f t="shared" si="157"/>
        <v>4.1300000000000003E-2</v>
      </c>
      <c r="Z85" s="5">
        <f t="shared" si="205"/>
        <v>1141</v>
      </c>
      <c r="AA85" s="2">
        <f t="shared" si="206"/>
        <v>113985.90000000001</v>
      </c>
      <c r="AB85" s="2">
        <f t="shared" si="207"/>
        <v>114100</v>
      </c>
      <c r="AC85" s="2">
        <f t="shared" si="208"/>
        <v>124958.01272499999</v>
      </c>
      <c r="AD85" s="8">
        <f t="shared" si="178"/>
        <v>4.65E-2</v>
      </c>
      <c r="AE85" s="2">
        <f t="shared" si="179"/>
        <v>128347.49882016562</v>
      </c>
      <c r="AF85" s="2" t="str">
        <f t="shared" si="180"/>
        <v>nie</v>
      </c>
      <c r="AG85" s="2">
        <f t="shared" si="181"/>
        <v>1141</v>
      </c>
      <c r="AH85" s="1">
        <f t="shared" si="79"/>
        <v>0</v>
      </c>
      <c r="AI85" s="1">
        <f t="shared" si="171"/>
        <v>0</v>
      </c>
      <c r="AJ85" s="1">
        <f t="shared" si="155"/>
        <v>0</v>
      </c>
      <c r="AK85" s="1">
        <f t="shared" si="166"/>
        <v>0</v>
      </c>
      <c r="AL85" s="2">
        <f t="shared" si="90"/>
        <v>0</v>
      </c>
      <c r="AM85" s="8">
        <f t="shared" si="160"/>
        <v>4.65E-2</v>
      </c>
      <c r="AN85" s="2">
        <f t="shared" si="91"/>
        <v>0</v>
      </c>
      <c r="AO85" s="2">
        <f t="shared" si="161"/>
        <v>0</v>
      </c>
      <c r="AP85" s="2">
        <f t="shared" si="119"/>
        <v>0</v>
      </c>
      <c r="AQ85" s="8">
        <f t="shared" si="172"/>
        <v>4.1300000000000003E-2</v>
      </c>
      <c r="AR85" s="2">
        <f t="shared" si="113"/>
        <v>0</v>
      </c>
      <c r="AS85" s="2">
        <f t="shared" si="173"/>
        <v>0</v>
      </c>
      <c r="AT85" s="2">
        <f t="shared" si="209"/>
        <v>0</v>
      </c>
      <c r="AU85" s="2">
        <f t="shared" si="92"/>
        <v>0</v>
      </c>
      <c r="AV85" s="2">
        <f t="shared" si="82"/>
        <v>53.345092499992461</v>
      </c>
      <c r="AW85" s="1">
        <f t="shared" si="158"/>
        <v>0</v>
      </c>
      <c r="AX85" s="2">
        <f t="shared" si="182"/>
        <v>53.345092499992461</v>
      </c>
      <c r="AY85" s="1">
        <f t="shared" si="83"/>
        <v>0</v>
      </c>
      <c r="AZ85" s="2">
        <f t="shared" si="210"/>
        <v>53.345092499992461</v>
      </c>
      <c r="BA85" s="2">
        <f t="shared" si="93"/>
        <v>128400.84391266562</v>
      </c>
      <c r="BB85" s="2">
        <f t="shared" si="183"/>
        <v>0</v>
      </c>
      <c r="BC85" s="2">
        <f t="shared" si="211"/>
        <v>676.04218593099995</v>
      </c>
      <c r="BD85" s="2">
        <f t="shared" si="184"/>
        <v>127724.80172673461</v>
      </c>
      <c r="BE85" s="2">
        <f t="shared" si="212"/>
        <v>1141</v>
      </c>
      <c r="BF85" s="2">
        <f t="shared" si="185"/>
        <v>5179.3703434064673</v>
      </c>
      <c r="BG85" s="2">
        <f t="shared" si="186"/>
        <v>121404.43138332815</v>
      </c>
      <c r="BI85" s="8">
        <f t="shared" si="162"/>
        <v>2.8000000000000001E-2</v>
      </c>
      <c r="BJ85" s="5">
        <f t="shared" si="213"/>
        <v>1044</v>
      </c>
      <c r="BK85" s="2">
        <f t="shared" si="214"/>
        <v>104295.6</v>
      </c>
      <c r="BL85" s="2">
        <f t="shared" si="215"/>
        <v>104400</v>
      </c>
      <c r="BM85" s="2">
        <f t="shared" si="187"/>
        <v>104400</v>
      </c>
      <c r="BN85" s="8">
        <f t="shared" si="188"/>
        <v>4.2999999999999997E-2</v>
      </c>
      <c r="BO85" s="2">
        <f t="shared" si="189"/>
        <v>107018.7</v>
      </c>
      <c r="BP85" s="2" t="str">
        <f t="shared" si="190"/>
        <v>nie</v>
      </c>
      <c r="BQ85" s="2">
        <f t="shared" si="191"/>
        <v>2088</v>
      </c>
      <c r="BR85" s="1">
        <f t="shared" si="163"/>
        <v>109</v>
      </c>
      <c r="BS85" s="1">
        <f t="shared" si="174"/>
        <v>7</v>
      </c>
      <c r="BT85" s="1">
        <f t="shared" si="156"/>
        <v>47</v>
      </c>
      <c r="BU85" s="1">
        <f t="shared" si="167"/>
        <v>45</v>
      </c>
      <c r="BV85" s="2">
        <f t="shared" si="94"/>
        <v>10900</v>
      </c>
      <c r="BW85" s="8">
        <f t="shared" si="164"/>
        <v>0.05</v>
      </c>
      <c r="BX85" s="2">
        <f t="shared" si="95"/>
        <v>11217.916666666666</v>
      </c>
      <c r="BY85" s="2">
        <f t="shared" si="165"/>
        <v>218</v>
      </c>
      <c r="BZ85" s="2">
        <f t="shared" si="120"/>
        <v>9900</v>
      </c>
      <c r="CA85" s="8">
        <f t="shared" si="175"/>
        <v>4.2999999999999997E-2</v>
      </c>
      <c r="CB85" s="2">
        <f t="shared" si="117"/>
        <v>10148.325000000001</v>
      </c>
      <c r="CC85" s="2">
        <f t="shared" si="176"/>
        <v>198</v>
      </c>
      <c r="CD85" s="2">
        <f t="shared" si="192"/>
        <v>0</v>
      </c>
      <c r="CE85" s="2">
        <f t="shared" si="96"/>
        <v>0</v>
      </c>
      <c r="CF85" s="2">
        <f t="shared" si="97"/>
        <v>8.4999999999490683</v>
      </c>
      <c r="CG85" s="1">
        <f t="shared" si="159"/>
        <v>0</v>
      </c>
      <c r="CH85" s="2">
        <f t="shared" si="193"/>
        <v>8.4999999999490683</v>
      </c>
      <c r="CI85" s="1">
        <f t="shared" si="89"/>
        <v>0</v>
      </c>
      <c r="CJ85" s="2">
        <f t="shared" si="98"/>
        <v>8.4999999999490683</v>
      </c>
      <c r="CK85" s="2">
        <f t="shared" si="99"/>
        <v>128393.44166666662</v>
      </c>
      <c r="CL85" s="2">
        <f t="shared" si="194"/>
        <v>0</v>
      </c>
      <c r="CM85" s="2">
        <f t="shared" si="216"/>
        <v>676.40644999999972</v>
      </c>
      <c r="CN85" s="2">
        <f t="shared" si="195"/>
        <v>127717.03521666663</v>
      </c>
      <c r="CO85" s="2">
        <f t="shared" si="217"/>
        <v>2504</v>
      </c>
      <c r="CP85" s="2">
        <f t="shared" si="196"/>
        <v>4918.9939166666582</v>
      </c>
      <c r="CQ85" s="2">
        <f t="shared" si="197"/>
        <v>120294.04129999997</v>
      </c>
      <c r="CS85" s="5">
        <f t="shared" si="218"/>
        <v>1000</v>
      </c>
      <c r="CT85" s="2">
        <f t="shared" si="219"/>
        <v>100000</v>
      </c>
      <c r="CU85" s="2">
        <f t="shared" si="220"/>
        <v>100000</v>
      </c>
      <c r="CV85" s="2">
        <f t="shared" si="221"/>
        <v>127382.28902952962</v>
      </c>
      <c r="CW85" s="8">
        <f t="shared" si="198"/>
        <v>4.8000000000000001E-2</v>
      </c>
      <c r="CX85" s="2">
        <f t="shared" si="199"/>
        <v>130948.99312235646</v>
      </c>
      <c r="CY85" s="2" t="str">
        <f t="shared" si="200"/>
        <v>nie</v>
      </c>
      <c r="CZ85" s="2">
        <f t="shared" si="222"/>
        <v>0</v>
      </c>
      <c r="DA85" s="2">
        <f t="shared" si="223"/>
        <v>0</v>
      </c>
      <c r="DB85" s="2">
        <f t="shared" si="224"/>
        <v>130948.99312235646</v>
      </c>
      <c r="DC85" s="2">
        <f t="shared" si="201"/>
        <v>0</v>
      </c>
      <c r="DD85" s="2">
        <f t="shared" si="225"/>
        <v>686.80558933966859</v>
      </c>
      <c r="DE85" s="2">
        <f t="shared" si="226"/>
        <v>130262.1875330168</v>
      </c>
      <c r="DF85" s="2">
        <f t="shared" si="202"/>
        <v>3000</v>
      </c>
      <c r="DG85" s="2">
        <f t="shared" si="203"/>
        <v>5310.3086932477281</v>
      </c>
      <c r="DH85" s="2">
        <f t="shared" si="227"/>
        <v>121951.87883976907</v>
      </c>
    </row>
    <row r="86" spans="2:112">
      <c r="B86" s="228"/>
      <c r="C86" s="1">
        <f t="shared" si="168"/>
        <v>49</v>
      </c>
      <c r="D86" s="2">
        <f t="shared" si="105"/>
        <v>119408.16456548174</v>
      </c>
      <c r="E86" s="2">
        <f t="shared" si="106"/>
        <v>114698.83308809424</v>
      </c>
      <c r="F86" s="2">
        <f t="shared" si="107"/>
        <v>119313.05809999995</v>
      </c>
      <c r="G86" s="2">
        <f t="shared" si="108"/>
        <v>114961.23259999996</v>
      </c>
      <c r="H86" s="2">
        <f t="shared" si="109"/>
        <v>121512.96904445953</v>
      </c>
      <c r="I86" s="2">
        <f t="shared" si="110"/>
        <v>114896.47528942798</v>
      </c>
      <c r="J86" s="2">
        <f t="shared" si="169"/>
        <v>115069.66096265786</v>
      </c>
      <c r="K86" s="2">
        <f t="shared" si="170"/>
        <v>111939.82716421972</v>
      </c>
      <c r="W86" s="1">
        <f t="shared" si="204"/>
        <v>68</v>
      </c>
      <c r="X86" s="2">
        <f t="shared" si="177"/>
        <v>116949.31125528547</v>
      </c>
      <c r="Y86" s="8">
        <f t="shared" si="157"/>
        <v>4.1300000000000003E-2</v>
      </c>
      <c r="Z86" s="5">
        <f t="shared" si="205"/>
        <v>1141</v>
      </c>
      <c r="AA86" s="2">
        <f t="shared" si="206"/>
        <v>113985.90000000001</v>
      </c>
      <c r="AB86" s="2">
        <f t="shared" si="207"/>
        <v>114100</v>
      </c>
      <c r="AC86" s="2">
        <f t="shared" si="208"/>
        <v>124958.01272499999</v>
      </c>
      <c r="AD86" s="8">
        <f t="shared" si="178"/>
        <v>4.65E-2</v>
      </c>
      <c r="AE86" s="2">
        <f t="shared" si="179"/>
        <v>128831.71111947499</v>
      </c>
      <c r="AF86" s="2" t="str">
        <f t="shared" si="180"/>
        <v>nie</v>
      </c>
      <c r="AG86" s="2">
        <f t="shared" si="181"/>
        <v>1141</v>
      </c>
      <c r="AH86" s="1">
        <f t="shared" si="79"/>
        <v>0</v>
      </c>
      <c r="AI86" s="1">
        <f t="shared" si="171"/>
        <v>0</v>
      </c>
      <c r="AJ86" s="1">
        <f t="shared" si="155"/>
        <v>0</v>
      </c>
      <c r="AK86" s="1">
        <f t="shared" si="166"/>
        <v>0</v>
      </c>
      <c r="AL86" s="2">
        <f t="shared" si="90"/>
        <v>0</v>
      </c>
      <c r="AM86" s="8">
        <f t="shared" si="160"/>
        <v>4.65E-2</v>
      </c>
      <c r="AN86" s="2">
        <f t="shared" si="91"/>
        <v>0</v>
      </c>
      <c r="AO86" s="2">
        <f t="shared" si="161"/>
        <v>0</v>
      </c>
      <c r="AP86" s="2">
        <f t="shared" si="119"/>
        <v>0</v>
      </c>
      <c r="AQ86" s="8">
        <f t="shared" si="172"/>
        <v>4.1300000000000003E-2</v>
      </c>
      <c r="AR86" s="2">
        <f t="shared" si="113"/>
        <v>0</v>
      </c>
      <c r="AS86" s="2">
        <f t="shared" si="173"/>
        <v>0</v>
      </c>
      <c r="AT86" s="2">
        <f t="shared" si="209"/>
        <v>0</v>
      </c>
      <c r="AU86" s="2">
        <f t="shared" si="92"/>
        <v>0</v>
      </c>
      <c r="AV86" s="2">
        <f t="shared" si="82"/>
        <v>53.345092499992461</v>
      </c>
      <c r="AW86" s="1">
        <f t="shared" si="158"/>
        <v>0</v>
      </c>
      <c r="AX86" s="2">
        <f t="shared" si="182"/>
        <v>53.345092499992461</v>
      </c>
      <c r="AY86" s="1">
        <f t="shared" si="83"/>
        <v>0</v>
      </c>
      <c r="AZ86" s="2">
        <f t="shared" si="210"/>
        <v>53.345092499992461</v>
      </c>
      <c r="BA86" s="2">
        <f t="shared" si="93"/>
        <v>128885.05621197498</v>
      </c>
      <c r="BB86" s="2">
        <f t="shared" si="183"/>
        <v>0</v>
      </c>
      <c r="BC86" s="2">
        <f t="shared" si="211"/>
        <v>676.04218593099995</v>
      </c>
      <c r="BD86" s="2">
        <f t="shared" si="184"/>
        <v>128209.01402604398</v>
      </c>
      <c r="BE86" s="2">
        <f t="shared" si="212"/>
        <v>1141</v>
      </c>
      <c r="BF86" s="2">
        <f t="shared" si="185"/>
        <v>5271.3706802752467</v>
      </c>
      <c r="BG86" s="2">
        <f t="shared" si="186"/>
        <v>121796.64334576874</v>
      </c>
      <c r="BI86" s="8">
        <f t="shared" si="162"/>
        <v>2.8000000000000001E-2</v>
      </c>
      <c r="BJ86" s="5">
        <f t="shared" si="213"/>
        <v>1044</v>
      </c>
      <c r="BK86" s="2">
        <f t="shared" si="214"/>
        <v>104295.6</v>
      </c>
      <c r="BL86" s="2">
        <f t="shared" si="215"/>
        <v>104400</v>
      </c>
      <c r="BM86" s="2">
        <f t="shared" si="187"/>
        <v>104400</v>
      </c>
      <c r="BN86" s="8">
        <f t="shared" si="188"/>
        <v>4.2999999999999997E-2</v>
      </c>
      <c r="BO86" s="2">
        <f t="shared" si="189"/>
        <v>107392.79999999999</v>
      </c>
      <c r="BP86" s="2" t="str">
        <f t="shared" si="190"/>
        <v>nie</v>
      </c>
      <c r="BQ86" s="2">
        <f t="shared" si="191"/>
        <v>2088</v>
      </c>
      <c r="BR86" s="1">
        <f t="shared" si="163"/>
        <v>109</v>
      </c>
      <c r="BS86" s="1">
        <f t="shared" si="174"/>
        <v>7</v>
      </c>
      <c r="BT86" s="1">
        <f t="shared" si="156"/>
        <v>47</v>
      </c>
      <c r="BU86" s="1">
        <f t="shared" si="167"/>
        <v>45</v>
      </c>
      <c r="BV86" s="2">
        <f t="shared" si="94"/>
        <v>10900</v>
      </c>
      <c r="BW86" s="8">
        <f t="shared" si="164"/>
        <v>0.05</v>
      </c>
      <c r="BX86" s="2">
        <f t="shared" si="95"/>
        <v>11263.333333333334</v>
      </c>
      <c r="BY86" s="2">
        <f t="shared" si="165"/>
        <v>218</v>
      </c>
      <c r="BZ86" s="2">
        <f t="shared" si="120"/>
        <v>9900</v>
      </c>
      <c r="CA86" s="8">
        <f t="shared" si="175"/>
        <v>4.2999999999999997E-2</v>
      </c>
      <c r="CB86" s="2">
        <f t="shared" si="117"/>
        <v>10183.799999999999</v>
      </c>
      <c r="CC86" s="2">
        <f t="shared" si="176"/>
        <v>198</v>
      </c>
      <c r="CD86" s="2">
        <f t="shared" si="192"/>
        <v>0</v>
      </c>
      <c r="CE86" s="2">
        <f t="shared" si="96"/>
        <v>0</v>
      </c>
      <c r="CF86" s="2">
        <f t="shared" si="97"/>
        <v>8.4999999999490683</v>
      </c>
      <c r="CG86" s="1">
        <f t="shared" si="159"/>
        <v>0</v>
      </c>
      <c r="CH86" s="2">
        <f t="shared" si="193"/>
        <v>8.4999999999490683</v>
      </c>
      <c r="CI86" s="1">
        <f t="shared" si="89"/>
        <v>0</v>
      </c>
      <c r="CJ86" s="2">
        <f t="shared" si="98"/>
        <v>8.4999999999490683</v>
      </c>
      <c r="CK86" s="2">
        <f t="shared" si="99"/>
        <v>128848.43333333326</v>
      </c>
      <c r="CL86" s="2">
        <f t="shared" si="194"/>
        <v>0</v>
      </c>
      <c r="CM86" s="2">
        <f t="shared" si="216"/>
        <v>676.40644999999972</v>
      </c>
      <c r="CN86" s="2">
        <f t="shared" si="195"/>
        <v>128172.02688333327</v>
      </c>
      <c r="CO86" s="2">
        <f t="shared" si="217"/>
        <v>2504</v>
      </c>
      <c r="CP86" s="2">
        <f t="shared" si="196"/>
        <v>5005.4423333333198</v>
      </c>
      <c r="CQ86" s="2">
        <f t="shared" si="197"/>
        <v>120662.58454999994</v>
      </c>
      <c r="CS86" s="5">
        <f t="shared" si="218"/>
        <v>1000</v>
      </c>
      <c r="CT86" s="2">
        <f t="shared" si="219"/>
        <v>100000</v>
      </c>
      <c r="CU86" s="2">
        <f t="shared" si="220"/>
        <v>100000</v>
      </c>
      <c r="CV86" s="2">
        <f t="shared" si="221"/>
        <v>127382.28902952962</v>
      </c>
      <c r="CW86" s="8">
        <f t="shared" si="198"/>
        <v>4.8000000000000001E-2</v>
      </c>
      <c r="CX86" s="2">
        <f t="shared" si="199"/>
        <v>131458.52227847459</v>
      </c>
      <c r="CY86" s="2" t="str">
        <f t="shared" si="200"/>
        <v>nie</v>
      </c>
      <c r="CZ86" s="2">
        <f t="shared" si="222"/>
        <v>0</v>
      </c>
      <c r="DA86" s="2">
        <f t="shared" si="223"/>
        <v>0</v>
      </c>
      <c r="DB86" s="2">
        <f t="shared" si="224"/>
        <v>131458.52227847459</v>
      </c>
      <c r="DC86" s="2">
        <f t="shared" si="201"/>
        <v>0</v>
      </c>
      <c r="DD86" s="2">
        <f t="shared" si="225"/>
        <v>686.80558933966859</v>
      </c>
      <c r="DE86" s="2">
        <f t="shared" si="226"/>
        <v>130771.71668913492</v>
      </c>
      <c r="DF86" s="2">
        <f t="shared" si="202"/>
        <v>3000</v>
      </c>
      <c r="DG86" s="2">
        <f t="shared" si="203"/>
        <v>5407.1192329101714</v>
      </c>
      <c r="DH86" s="2">
        <f t="shared" si="227"/>
        <v>122364.59745622474</v>
      </c>
    </row>
    <row r="87" spans="2:112">
      <c r="B87" s="228"/>
      <c r="C87" s="1">
        <f t="shared" si="168"/>
        <v>50</v>
      </c>
      <c r="D87" s="2">
        <f t="shared" si="105"/>
        <v>119870.86145923173</v>
      </c>
      <c r="E87" s="2">
        <f t="shared" si="106"/>
        <v>115073.61757203174</v>
      </c>
      <c r="F87" s="2">
        <f t="shared" si="107"/>
        <v>119801.85809999994</v>
      </c>
      <c r="G87" s="2">
        <f t="shared" si="108"/>
        <v>115002.44809999995</v>
      </c>
      <c r="H87" s="2">
        <f t="shared" si="109"/>
        <v>121999.16098732034</v>
      </c>
      <c r="I87" s="2">
        <f t="shared" si="110"/>
        <v>115290.29076314524</v>
      </c>
      <c r="J87" s="2">
        <f t="shared" si="169"/>
        <v>115399.76705254448</v>
      </c>
      <c r="K87" s="2">
        <f t="shared" si="170"/>
        <v>112200.41206283946</v>
      </c>
      <c r="W87" s="1">
        <f t="shared" si="204"/>
        <v>69</v>
      </c>
      <c r="X87" s="2">
        <f t="shared" si="177"/>
        <v>117217.19253106655</v>
      </c>
      <c r="Y87" s="8">
        <f t="shared" si="157"/>
        <v>4.1300000000000003E-2</v>
      </c>
      <c r="Z87" s="5">
        <f t="shared" si="205"/>
        <v>1141</v>
      </c>
      <c r="AA87" s="2">
        <f t="shared" si="206"/>
        <v>113985.90000000001</v>
      </c>
      <c r="AB87" s="2">
        <f t="shared" si="207"/>
        <v>114100</v>
      </c>
      <c r="AC87" s="2">
        <f t="shared" si="208"/>
        <v>124958.01272499999</v>
      </c>
      <c r="AD87" s="8">
        <f t="shared" si="178"/>
        <v>4.65E-2</v>
      </c>
      <c r="AE87" s="2">
        <f t="shared" si="179"/>
        <v>129315.92341878437</v>
      </c>
      <c r="AF87" s="2" t="str">
        <f t="shared" si="180"/>
        <v>nie</v>
      </c>
      <c r="AG87" s="2">
        <f t="shared" si="181"/>
        <v>1141</v>
      </c>
      <c r="AH87" s="1">
        <f t="shared" si="79"/>
        <v>0</v>
      </c>
      <c r="AI87" s="1">
        <f t="shared" si="171"/>
        <v>0</v>
      </c>
      <c r="AJ87" s="1">
        <f t="shared" ref="AJ87:AJ118" si="228">IF(zapadalnosc_TOS/12&gt;=AJ$18,AI75,0)</f>
        <v>0</v>
      </c>
      <c r="AK87" s="1">
        <f t="shared" si="166"/>
        <v>0</v>
      </c>
      <c r="AL87" s="2">
        <f t="shared" si="90"/>
        <v>0</v>
      </c>
      <c r="AM87" s="8">
        <f t="shared" si="160"/>
        <v>4.65E-2</v>
      </c>
      <c r="AN87" s="2">
        <f t="shared" si="91"/>
        <v>0</v>
      </c>
      <c r="AO87" s="2">
        <f t="shared" si="161"/>
        <v>0</v>
      </c>
      <c r="AP87" s="2">
        <f t="shared" si="119"/>
        <v>0</v>
      </c>
      <c r="AQ87" s="8">
        <f t="shared" si="172"/>
        <v>4.1300000000000003E-2</v>
      </c>
      <c r="AR87" s="2">
        <f t="shared" si="113"/>
        <v>0</v>
      </c>
      <c r="AS87" s="2">
        <f t="shared" si="173"/>
        <v>0</v>
      </c>
      <c r="AT87" s="2">
        <f t="shared" si="209"/>
        <v>0</v>
      </c>
      <c r="AU87" s="2">
        <f t="shared" si="92"/>
        <v>0</v>
      </c>
      <c r="AV87" s="2">
        <f t="shared" si="82"/>
        <v>53.345092499992461</v>
      </c>
      <c r="AW87" s="1">
        <f t="shared" si="158"/>
        <v>0</v>
      </c>
      <c r="AX87" s="2">
        <f t="shared" si="182"/>
        <v>53.345092499992461</v>
      </c>
      <c r="AY87" s="1">
        <f t="shared" si="83"/>
        <v>0</v>
      </c>
      <c r="AZ87" s="2">
        <f t="shared" si="210"/>
        <v>53.345092499992461</v>
      </c>
      <c r="BA87" s="2">
        <f t="shared" si="93"/>
        <v>129369.26851128436</v>
      </c>
      <c r="BB87" s="2">
        <f t="shared" si="183"/>
        <v>0</v>
      </c>
      <c r="BC87" s="2">
        <f t="shared" si="211"/>
        <v>676.04218593099995</v>
      </c>
      <c r="BD87" s="2">
        <f t="shared" si="184"/>
        <v>128693.22632535336</v>
      </c>
      <c r="BE87" s="2">
        <f t="shared" si="212"/>
        <v>1141</v>
      </c>
      <c r="BF87" s="2">
        <f t="shared" si="185"/>
        <v>5363.3710171440289</v>
      </c>
      <c r="BG87" s="2">
        <f t="shared" si="186"/>
        <v>122188.85530820933</v>
      </c>
      <c r="BI87" s="8">
        <f t="shared" si="162"/>
        <v>2.8000000000000001E-2</v>
      </c>
      <c r="BJ87" s="5">
        <f t="shared" si="213"/>
        <v>1044</v>
      </c>
      <c r="BK87" s="2">
        <f t="shared" si="214"/>
        <v>104295.6</v>
      </c>
      <c r="BL87" s="2">
        <f t="shared" si="215"/>
        <v>104400</v>
      </c>
      <c r="BM87" s="2">
        <f t="shared" si="187"/>
        <v>104400</v>
      </c>
      <c r="BN87" s="8">
        <f t="shared" si="188"/>
        <v>4.2999999999999997E-2</v>
      </c>
      <c r="BO87" s="2">
        <f t="shared" si="189"/>
        <v>107766.9</v>
      </c>
      <c r="BP87" s="2" t="str">
        <f t="shared" si="190"/>
        <v>nie</v>
      </c>
      <c r="BQ87" s="2">
        <f t="shared" si="191"/>
        <v>2088</v>
      </c>
      <c r="BR87" s="1">
        <f t="shared" si="163"/>
        <v>109</v>
      </c>
      <c r="BS87" s="1">
        <f t="shared" si="174"/>
        <v>7</v>
      </c>
      <c r="BT87" s="1">
        <f t="shared" ref="BT87:BT118" si="229">IF(zapadalnosc_COI/12&gt;=BT$18,BS75,0)</f>
        <v>47</v>
      </c>
      <c r="BU87" s="1">
        <f t="shared" si="167"/>
        <v>45</v>
      </c>
      <c r="BV87" s="2">
        <f t="shared" si="94"/>
        <v>10900</v>
      </c>
      <c r="BW87" s="8">
        <f t="shared" si="164"/>
        <v>0.05</v>
      </c>
      <c r="BX87" s="2">
        <f t="shared" si="95"/>
        <v>11308.750000000002</v>
      </c>
      <c r="BY87" s="2">
        <f t="shared" si="165"/>
        <v>218</v>
      </c>
      <c r="BZ87" s="2">
        <f t="shared" si="120"/>
        <v>9900</v>
      </c>
      <c r="CA87" s="8">
        <f t="shared" si="175"/>
        <v>4.2999999999999997E-2</v>
      </c>
      <c r="CB87" s="2">
        <f t="shared" si="117"/>
        <v>10219.275</v>
      </c>
      <c r="CC87" s="2">
        <f t="shared" si="176"/>
        <v>198</v>
      </c>
      <c r="CD87" s="2">
        <f t="shared" si="192"/>
        <v>0</v>
      </c>
      <c r="CE87" s="2">
        <f t="shared" si="96"/>
        <v>0</v>
      </c>
      <c r="CF87" s="2">
        <f t="shared" si="97"/>
        <v>8.4999999999490683</v>
      </c>
      <c r="CG87" s="1">
        <f t="shared" si="159"/>
        <v>0</v>
      </c>
      <c r="CH87" s="2">
        <f t="shared" si="193"/>
        <v>8.4999999999490683</v>
      </c>
      <c r="CI87" s="1">
        <f t="shared" si="89"/>
        <v>0</v>
      </c>
      <c r="CJ87" s="2">
        <f t="shared" si="98"/>
        <v>8.4999999999490683</v>
      </c>
      <c r="CK87" s="2">
        <f t="shared" si="99"/>
        <v>129303.42499999993</v>
      </c>
      <c r="CL87" s="2">
        <f t="shared" si="194"/>
        <v>0</v>
      </c>
      <c r="CM87" s="2">
        <f t="shared" si="216"/>
        <v>676.40644999999972</v>
      </c>
      <c r="CN87" s="2">
        <f t="shared" si="195"/>
        <v>128627.01854999994</v>
      </c>
      <c r="CO87" s="2">
        <f t="shared" si="217"/>
        <v>2504</v>
      </c>
      <c r="CP87" s="2">
        <f t="shared" si="196"/>
        <v>5091.8907499999868</v>
      </c>
      <c r="CQ87" s="2">
        <f t="shared" si="197"/>
        <v>121031.12779999994</v>
      </c>
      <c r="CS87" s="5">
        <f t="shared" si="218"/>
        <v>1000</v>
      </c>
      <c r="CT87" s="2">
        <f t="shared" si="219"/>
        <v>100000</v>
      </c>
      <c r="CU87" s="2">
        <f t="shared" si="220"/>
        <v>100000</v>
      </c>
      <c r="CV87" s="2">
        <f t="shared" si="221"/>
        <v>127382.28902952962</v>
      </c>
      <c r="CW87" s="8">
        <f t="shared" si="198"/>
        <v>4.8000000000000001E-2</v>
      </c>
      <c r="CX87" s="2">
        <f t="shared" si="199"/>
        <v>131968.05143459269</v>
      </c>
      <c r="CY87" s="2" t="str">
        <f t="shared" si="200"/>
        <v>nie</v>
      </c>
      <c r="CZ87" s="2">
        <f t="shared" si="222"/>
        <v>0</v>
      </c>
      <c r="DA87" s="2">
        <f t="shared" si="223"/>
        <v>0</v>
      </c>
      <c r="DB87" s="2">
        <f t="shared" si="224"/>
        <v>131968.05143459269</v>
      </c>
      <c r="DC87" s="2">
        <f t="shared" si="201"/>
        <v>0</v>
      </c>
      <c r="DD87" s="2">
        <f t="shared" si="225"/>
        <v>686.80558933966859</v>
      </c>
      <c r="DE87" s="2">
        <f t="shared" si="226"/>
        <v>131281.24584525303</v>
      </c>
      <c r="DF87" s="2">
        <f t="shared" si="202"/>
        <v>3000</v>
      </c>
      <c r="DG87" s="2">
        <f t="shared" si="203"/>
        <v>5503.9297725726119</v>
      </c>
      <c r="DH87" s="2">
        <f t="shared" si="227"/>
        <v>122777.31607268042</v>
      </c>
    </row>
    <row r="88" spans="2:112">
      <c r="B88" s="228"/>
      <c r="C88" s="1">
        <f t="shared" si="168"/>
        <v>51</v>
      </c>
      <c r="D88" s="2">
        <f t="shared" si="105"/>
        <v>120333.55835298174</v>
      </c>
      <c r="E88" s="2">
        <f t="shared" si="106"/>
        <v>115448.40205596924</v>
      </c>
      <c r="F88" s="2">
        <f t="shared" si="107"/>
        <v>120290.65809999994</v>
      </c>
      <c r="G88" s="2">
        <f t="shared" si="108"/>
        <v>115043.66359999996</v>
      </c>
      <c r="H88" s="2">
        <f t="shared" si="109"/>
        <v>122485.35293018114</v>
      </c>
      <c r="I88" s="2">
        <f t="shared" si="110"/>
        <v>115684.10623686247</v>
      </c>
      <c r="J88" s="2">
        <f t="shared" si="169"/>
        <v>115730.82013427647</v>
      </c>
      <c r="K88" s="2">
        <f t="shared" si="170"/>
        <v>112460.99696145918</v>
      </c>
      <c r="W88" s="1">
        <f t="shared" si="204"/>
        <v>70</v>
      </c>
      <c r="X88" s="2">
        <f t="shared" si="177"/>
        <v>117485.07380684766</v>
      </c>
      <c r="Y88" s="8">
        <f t="shared" si="157"/>
        <v>4.1300000000000003E-2</v>
      </c>
      <c r="Z88" s="5">
        <f t="shared" si="205"/>
        <v>1141</v>
      </c>
      <c r="AA88" s="2">
        <f t="shared" si="206"/>
        <v>113985.90000000001</v>
      </c>
      <c r="AB88" s="2">
        <f t="shared" si="207"/>
        <v>114100</v>
      </c>
      <c r="AC88" s="2">
        <f t="shared" si="208"/>
        <v>124958.01272499999</v>
      </c>
      <c r="AD88" s="8">
        <f t="shared" si="178"/>
        <v>4.65E-2</v>
      </c>
      <c r="AE88" s="2">
        <f t="shared" si="179"/>
        <v>129800.13571809375</v>
      </c>
      <c r="AF88" s="2" t="str">
        <f t="shared" si="180"/>
        <v>nie</v>
      </c>
      <c r="AG88" s="2">
        <f t="shared" si="181"/>
        <v>1141</v>
      </c>
      <c r="AH88" s="1">
        <f t="shared" si="79"/>
        <v>0</v>
      </c>
      <c r="AI88" s="1">
        <f t="shared" si="171"/>
        <v>0</v>
      </c>
      <c r="AJ88" s="1">
        <f t="shared" si="228"/>
        <v>0</v>
      </c>
      <c r="AK88" s="1">
        <f t="shared" si="166"/>
        <v>0</v>
      </c>
      <c r="AL88" s="2">
        <f t="shared" si="90"/>
        <v>0</v>
      </c>
      <c r="AM88" s="8">
        <f t="shared" si="160"/>
        <v>4.65E-2</v>
      </c>
      <c r="AN88" s="2">
        <f t="shared" si="91"/>
        <v>0</v>
      </c>
      <c r="AO88" s="2">
        <f t="shared" si="161"/>
        <v>0</v>
      </c>
      <c r="AP88" s="2">
        <f t="shared" si="119"/>
        <v>0</v>
      </c>
      <c r="AQ88" s="8">
        <f t="shared" si="172"/>
        <v>4.1300000000000003E-2</v>
      </c>
      <c r="AR88" s="2">
        <f t="shared" si="113"/>
        <v>0</v>
      </c>
      <c r="AS88" s="2">
        <f t="shared" si="173"/>
        <v>0</v>
      </c>
      <c r="AT88" s="2">
        <f t="shared" si="209"/>
        <v>0</v>
      </c>
      <c r="AU88" s="2">
        <f t="shared" si="92"/>
        <v>0</v>
      </c>
      <c r="AV88" s="2">
        <f t="shared" si="82"/>
        <v>53.345092499992461</v>
      </c>
      <c r="AW88" s="1">
        <f t="shared" si="158"/>
        <v>0</v>
      </c>
      <c r="AX88" s="2">
        <f t="shared" si="182"/>
        <v>53.345092499992461</v>
      </c>
      <c r="AY88" s="1">
        <f t="shared" si="83"/>
        <v>0</v>
      </c>
      <c r="AZ88" s="2">
        <f t="shared" si="210"/>
        <v>53.345092499992461</v>
      </c>
      <c r="BA88" s="2">
        <f t="shared" si="93"/>
        <v>129853.48081059374</v>
      </c>
      <c r="BB88" s="2">
        <f t="shared" si="183"/>
        <v>0</v>
      </c>
      <c r="BC88" s="2">
        <f t="shared" si="211"/>
        <v>676.04218593099995</v>
      </c>
      <c r="BD88" s="2">
        <f t="shared" si="184"/>
        <v>129177.43862466274</v>
      </c>
      <c r="BE88" s="2">
        <f t="shared" si="212"/>
        <v>1141</v>
      </c>
      <c r="BF88" s="2">
        <f t="shared" si="185"/>
        <v>5455.371354012811</v>
      </c>
      <c r="BG88" s="2">
        <f t="shared" si="186"/>
        <v>122581.06727064993</v>
      </c>
      <c r="BI88" s="8">
        <f t="shared" si="162"/>
        <v>2.8000000000000001E-2</v>
      </c>
      <c r="BJ88" s="5">
        <f t="shared" si="213"/>
        <v>1044</v>
      </c>
      <c r="BK88" s="2">
        <f t="shared" si="214"/>
        <v>104295.6</v>
      </c>
      <c r="BL88" s="2">
        <f t="shared" si="215"/>
        <v>104400</v>
      </c>
      <c r="BM88" s="2">
        <f t="shared" si="187"/>
        <v>104400</v>
      </c>
      <c r="BN88" s="8">
        <f t="shared" si="188"/>
        <v>4.2999999999999997E-2</v>
      </c>
      <c r="BO88" s="2">
        <f t="shared" si="189"/>
        <v>108141</v>
      </c>
      <c r="BP88" s="2" t="str">
        <f t="shared" si="190"/>
        <v>nie</v>
      </c>
      <c r="BQ88" s="2">
        <f t="shared" si="191"/>
        <v>2088</v>
      </c>
      <c r="BR88" s="1">
        <f t="shared" si="163"/>
        <v>109</v>
      </c>
      <c r="BS88" s="1">
        <f t="shared" si="174"/>
        <v>7</v>
      </c>
      <c r="BT88" s="1">
        <f t="shared" si="229"/>
        <v>47</v>
      </c>
      <c r="BU88" s="1">
        <f t="shared" si="167"/>
        <v>45</v>
      </c>
      <c r="BV88" s="2">
        <f t="shared" si="94"/>
        <v>10900</v>
      </c>
      <c r="BW88" s="8">
        <f t="shared" si="164"/>
        <v>0.05</v>
      </c>
      <c r="BX88" s="2">
        <f t="shared" si="95"/>
        <v>11354.166666666668</v>
      </c>
      <c r="BY88" s="2">
        <f t="shared" si="165"/>
        <v>218</v>
      </c>
      <c r="BZ88" s="2">
        <f t="shared" si="120"/>
        <v>9900</v>
      </c>
      <c r="CA88" s="8">
        <f t="shared" si="175"/>
        <v>4.2999999999999997E-2</v>
      </c>
      <c r="CB88" s="2">
        <f t="shared" si="117"/>
        <v>10254.75</v>
      </c>
      <c r="CC88" s="2">
        <f t="shared" si="176"/>
        <v>198</v>
      </c>
      <c r="CD88" s="2">
        <f t="shared" si="192"/>
        <v>0</v>
      </c>
      <c r="CE88" s="2">
        <f t="shared" si="96"/>
        <v>0</v>
      </c>
      <c r="CF88" s="2">
        <f t="shared" si="97"/>
        <v>8.4999999999490683</v>
      </c>
      <c r="CG88" s="1">
        <f t="shared" si="159"/>
        <v>0</v>
      </c>
      <c r="CH88" s="2">
        <f t="shared" si="193"/>
        <v>8.4999999999490683</v>
      </c>
      <c r="CI88" s="1">
        <f t="shared" si="89"/>
        <v>0</v>
      </c>
      <c r="CJ88" s="2">
        <f t="shared" si="98"/>
        <v>8.4999999999490683</v>
      </c>
      <c r="CK88" s="2">
        <f t="shared" si="99"/>
        <v>129758.41666666663</v>
      </c>
      <c r="CL88" s="2">
        <f t="shared" si="194"/>
        <v>0</v>
      </c>
      <c r="CM88" s="2">
        <f t="shared" si="216"/>
        <v>676.40644999999972</v>
      </c>
      <c r="CN88" s="2">
        <f t="shared" si="195"/>
        <v>129082.01021666663</v>
      </c>
      <c r="CO88" s="2">
        <f t="shared" si="217"/>
        <v>2504</v>
      </c>
      <c r="CP88" s="2">
        <f t="shared" si="196"/>
        <v>5178.3391666666594</v>
      </c>
      <c r="CQ88" s="2">
        <f t="shared" si="197"/>
        <v>121399.67104999998</v>
      </c>
      <c r="CS88" s="5">
        <f t="shared" si="218"/>
        <v>1000</v>
      </c>
      <c r="CT88" s="2">
        <f t="shared" si="219"/>
        <v>100000</v>
      </c>
      <c r="CU88" s="2">
        <f t="shared" si="220"/>
        <v>100000</v>
      </c>
      <c r="CV88" s="2">
        <f t="shared" si="221"/>
        <v>127382.28902952962</v>
      </c>
      <c r="CW88" s="8">
        <f t="shared" si="198"/>
        <v>4.8000000000000001E-2</v>
      </c>
      <c r="CX88" s="2">
        <f t="shared" si="199"/>
        <v>132477.5805907108</v>
      </c>
      <c r="CY88" s="2" t="str">
        <f t="shared" si="200"/>
        <v>nie</v>
      </c>
      <c r="CZ88" s="2">
        <f t="shared" si="222"/>
        <v>0</v>
      </c>
      <c r="DA88" s="2">
        <f t="shared" si="223"/>
        <v>0</v>
      </c>
      <c r="DB88" s="2">
        <f t="shared" si="224"/>
        <v>132477.5805907108</v>
      </c>
      <c r="DC88" s="2">
        <f t="shared" si="201"/>
        <v>0</v>
      </c>
      <c r="DD88" s="2">
        <f t="shared" si="225"/>
        <v>686.80558933966859</v>
      </c>
      <c r="DE88" s="2">
        <f t="shared" si="226"/>
        <v>131790.77500137113</v>
      </c>
      <c r="DF88" s="2">
        <f t="shared" si="202"/>
        <v>3000</v>
      </c>
      <c r="DG88" s="2">
        <f t="shared" si="203"/>
        <v>5600.7403122350524</v>
      </c>
      <c r="DH88" s="2">
        <f t="shared" si="227"/>
        <v>123190.03468913608</v>
      </c>
    </row>
    <row r="89" spans="2:112">
      <c r="B89" s="228"/>
      <c r="C89" s="1">
        <f t="shared" si="168"/>
        <v>52</v>
      </c>
      <c r="D89" s="2">
        <f t="shared" si="105"/>
        <v>120796.25524673174</v>
      </c>
      <c r="E89" s="2">
        <f t="shared" si="106"/>
        <v>115823.18653990675</v>
      </c>
      <c r="F89" s="2">
        <f t="shared" si="107"/>
        <v>120779.45809999996</v>
      </c>
      <c r="G89" s="2">
        <f t="shared" si="108"/>
        <v>115084.87909999996</v>
      </c>
      <c r="H89" s="2">
        <f t="shared" si="109"/>
        <v>122971.54487304194</v>
      </c>
      <c r="I89" s="2">
        <f t="shared" si="110"/>
        <v>116077.92171057973</v>
      </c>
      <c r="J89" s="2">
        <f t="shared" si="169"/>
        <v>116062.82292453667</v>
      </c>
      <c r="K89" s="2">
        <f t="shared" si="170"/>
        <v>112721.58186007894</v>
      </c>
      <c r="W89" s="1">
        <f t="shared" si="204"/>
        <v>71</v>
      </c>
      <c r="X89" s="2">
        <f t="shared" si="177"/>
        <v>117752.95508262875</v>
      </c>
      <c r="Y89" s="8">
        <f t="shared" ref="Y89:Y120" si="230">MAX(INDEX(scenariusz_I_WIBOR6M,MATCH(ROUNDUP(W89/12,0),scenariusz_I_rok,0)),0)</f>
        <v>4.1300000000000003E-2</v>
      </c>
      <c r="Z89" s="5">
        <f t="shared" si="205"/>
        <v>1141</v>
      </c>
      <c r="AA89" s="2">
        <f t="shared" si="206"/>
        <v>113985.90000000001</v>
      </c>
      <c r="AB89" s="2">
        <f t="shared" si="207"/>
        <v>114100</v>
      </c>
      <c r="AC89" s="2">
        <f t="shared" si="208"/>
        <v>124958.01272499999</v>
      </c>
      <c r="AD89" s="8">
        <f t="shared" si="178"/>
        <v>4.65E-2</v>
      </c>
      <c r="AE89" s="2">
        <f t="shared" si="179"/>
        <v>130284.34801740311</v>
      </c>
      <c r="AF89" s="2" t="str">
        <f t="shared" si="180"/>
        <v>nie</v>
      </c>
      <c r="AG89" s="2">
        <f t="shared" si="181"/>
        <v>1141</v>
      </c>
      <c r="AH89" s="1">
        <f t="shared" si="79"/>
        <v>0</v>
      </c>
      <c r="AI89" s="1">
        <f t="shared" si="171"/>
        <v>0</v>
      </c>
      <c r="AJ89" s="1">
        <f t="shared" si="228"/>
        <v>0</v>
      </c>
      <c r="AK89" s="1">
        <f t="shared" si="166"/>
        <v>0</v>
      </c>
      <c r="AL89" s="2">
        <f t="shared" si="90"/>
        <v>0</v>
      </c>
      <c r="AM89" s="8">
        <f t="shared" si="160"/>
        <v>4.65E-2</v>
      </c>
      <c r="AN89" s="2">
        <f t="shared" si="91"/>
        <v>0</v>
      </c>
      <c r="AO89" s="2">
        <f t="shared" si="161"/>
        <v>0</v>
      </c>
      <c r="AP89" s="2">
        <f t="shared" si="119"/>
        <v>0</v>
      </c>
      <c r="AQ89" s="8">
        <f t="shared" si="172"/>
        <v>4.1300000000000003E-2</v>
      </c>
      <c r="AR89" s="2">
        <f t="shared" si="113"/>
        <v>0</v>
      </c>
      <c r="AS89" s="2">
        <f t="shared" si="173"/>
        <v>0</v>
      </c>
      <c r="AT89" s="2">
        <f t="shared" si="209"/>
        <v>0</v>
      </c>
      <c r="AU89" s="2">
        <f t="shared" si="92"/>
        <v>0</v>
      </c>
      <c r="AV89" s="2">
        <f t="shared" si="82"/>
        <v>53.345092499992461</v>
      </c>
      <c r="AW89" s="1">
        <f t="shared" si="158"/>
        <v>0</v>
      </c>
      <c r="AX89" s="2">
        <f t="shared" si="182"/>
        <v>53.345092499992461</v>
      </c>
      <c r="AY89" s="1">
        <f t="shared" si="83"/>
        <v>0</v>
      </c>
      <c r="AZ89" s="2">
        <f t="shared" si="210"/>
        <v>53.345092499992461</v>
      </c>
      <c r="BA89" s="2">
        <f t="shared" si="93"/>
        <v>130337.69310990311</v>
      </c>
      <c r="BB89" s="2">
        <f t="shared" si="183"/>
        <v>0</v>
      </c>
      <c r="BC89" s="2">
        <f t="shared" si="211"/>
        <v>676.04218593099995</v>
      </c>
      <c r="BD89" s="2">
        <f t="shared" si="184"/>
        <v>129661.65092397211</v>
      </c>
      <c r="BE89" s="2">
        <f t="shared" si="212"/>
        <v>1141</v>
      </c>
      <c r="BF89" s="2">
        <f t="shared" si="185"/>
        <v>5547.3716908815904</v>
      </c>
      <c r="BG89" s="2">
        <f t="shared" si="186"/>
        <v>122973.27923309052</v>
      </c>
      <c r="BI89" s="8">
        <f t="shared" si="162"/>
        <v>2.8000000000000001E-2</v>
      </c>
      <c r="BJ89" s="5">
        <f t="shared" si="213"/>
        <v>1044</v>
      </c>
      <c r="BK89" s="2">
        <f t="shared" si="214"/>
        <v>104295.6</v>
      </c>
      <c r="BL89" s="2">
        <f t="shared" si="215"/>
        <v>104400</v>
      </c>
      <c r="BM89" s="2">
        <f t="shared" si="187"/>
        <v>104400</v>
      </c>
      <c r="BN89" s="8">
        <f t="shared" si="188"/>
        <v>4.2999999999999997E-2</v>
      </c>
      <c r="BO89" s="2">
        <f t="shared" si="189"/>
        <v>108515.1</v>
      </c>
      <c r="BP89" s="2" t="str">
        <f t="shared" si="190"/>
        <v>nie</v>
      </c>
      <c r="BQ89" s="2">
        <f t="shared" si="191"/>
        <v>2088</v>
      </c>
      <c r="BR89" s="1">
        <f t="shared" si="163"/>
        <v>109</v>
      </c>
      <c r="BS89" s="1">
        <f t="shared" si="174"/>
        <v>7</v>
      </c>
      <c r="BT89" s="1">
        <f t="shared" si="229"/>
        <v>47</v>
      </c>
      <c r="BU89" s="1">
        <f t="shared" si="167"/>
        <v>45</v>
      </c>
      <c r="BV89" s="2">
        <f t="shared" si="94"/>
        <v>10900</v>
      </c>
      <c r="BW89" s="8">
        <f t="shared" si="164"/>
        <v>0.05</v>
      </c>
      <c r="BX89" s="2">
        <f t="shared" si="95"/>
        <v>11399.583333333334</v>
      </c>
      <c r="BY89" s="2">
        <f t="shared" si="165"/>
        <v>218</v>
      </c>
      <c r="BZ89" s="2">
        <f t="shared" si="120"/>
        <v>9900</v>
      </c>
      <c r="CA89" s="8">
        <f t="shared" si="175"/>
        <v>4.2999999999999997E-2</v>
      </c>
      <c r="CB89" s="2">
        <f t="shared" si="117"/>
        <v>10290.225</v>
      </c>
      <c r="CC89" s="2">
        <f t="shared" si="176"/>
        <v>198</v>
      </c>
      <c r="CD89" s="2">
        <f t="shared" si="192"/>
        <v>0</v>
      </c>
      <c r="CE89" s="2">
        <f t="shared" si="96"/>
        <v>0</v>
      </c>
      <c r="CF89" s="2">
        <f t="shared" si="97"/>
        <v>8.4999999999490683</v>
      </c>
      <c r="CG89" s="1">
        <f t="shared" si="159"/>
        <v>0</v>
      </c>
      <c r="CH89" s="2">
        <f t="shared" si="193"/>
        <v>8.4999999999490683</v>
      </c>
      <c r="CI89" s="1">
        <f t="shared" si="89"/>
        <v>0</v>
      </c>
      <c r="CJ89" s="2">
        <f t="shared" si="98"/>
        <v>8.4999999999490683</v>
      </c>
      <c r="CK89" s="2">
        <f t="shared" si="99"/>
        <v>130213.4083333333</v>
      </c>
      <c r="CL89" s="2">
        <f t="shared" si="194"/>
        <v>0</v>
      </c>
      <c r="CM89" s="2">
        <f t="shared" si="216"/>
        <v>676.40644999999972</v>
      </c>
      <c r="CN89" s="2">
        <f t="shared" si="195"/>
        <v>129537.0018833333</v>
      </c>
      <c r="CO89" s="2">
        <f t="shared" si="217"/>
        <v>2504</v>
      </c>
      <c r="CP89" s="2">
        <f t="shared" si="196"/>
        <v>5264.7875833333264</v>
      </c>
      <c r="CQ89" s="2">
        <f t="shared" si="197"/>
        <v>121768.21429999998</v>
      </c>
      <c r="CS89" s="5">
        <f t="shared" si="218"/>
        <v>1000</v>
      </c>
      <c r="CT89" s="2">
        <f t="shared" si="219"/>
        <v>100000</v>
      </c>
      <c r="CU89" s="2">
        <f t="shared" si="220"/>
        <v>100000</v>
      </c>
      <c r="CV89" s="2">
        <f t="shared" si="221"/>
        <v>127382.28902952962</v>
      </c>
      <c r="CW89" s="8">
        <f t="shared" si="198"/>
        <v>4.8000000000000001E-2</v>
      </c>
      <c r="CX89" s="2">
        <f t="shared" si="199"/>
        <v>132987.10974682894</v>
      </c>
      <c r="CY89" s="2" t="str">
        <f t="shared" si="200"/>
        <v>nie</v>
      </c>
      <c r="CZ89" s="2">
        <f t="shared" si="222"/>
        <v>0</v>
      </c>
      <c r="DA89" s="2">
        <f t="shared" si="223"/>
        <v>0</v>
      </c>
      <c r="DB89" s="2">
        <f t="shared" si="224"/>
        <v>132987.10974682894</v>
      </c>
      <c r="DC89" s="2">
        <f t="shared" si="201"/>
        <v>0</v>
      </c>
      <c r="DD89" s="2">
        <f t="shared" si="225"/>
        <v>686.80558933966859</v>
      </c>
      <c r="DE89" s="2">
        <f t="shared" si="226"/>
        <v>132300.30415748927</v>
      </c>
      <c r="DF89" s="2">
        <f t="shared" si="202"/>
        <v>3000</v>
      </c>
      <c r="DG89" s="2">
        <f t="shared" si="203"/>
        <v>5697.5508518974984</v>
      </c>
      <c r="DH89" s="2">
        <f t="shared" si="227"/>
        <v>123602.75330559177</v>
      </c>
    </row>
    <row r="90" spans="2:112">
      <c r="B90" s="228"/>
      <c r="C90" s="1">
        <f t="shared" si="168"/>
        <v>53</v>
      </c>
      <c r="D90" s="2">
        <f t="shared" si="105"/>
        <v>121258.95214048172</v>
      </c>
      <c r="E90" s="2">
        <f t="shared" si="106"/>
        <v>116197.97102384422</v>
      </c>
      <c r="F90" s="2">
        <f t="shared" si="107"/>
        <v>121268.25809999993</v>
      </c>
      <c r="G90" s="2">
        <f t="shared" si="108"/>
        <v>115197.03709999994</v>
      </c>
      <c r="H90" s="2">
        <f t="shared" si="109"/>
        <v>123457.73681590274</v>
      </c>
      <c r="I90" s="2">
        <f t="shared" si="110"/>
        <v>116471.73718429697</v>
      </c>
      <c r="J90" s="2">
        <f t="shared" si="169"/>
        <v>116395.77814780142</v>
      </c>
      <c r="K90" s="2">
        <f t="shared" si="170"/>
        <v>112982.16675869867</v>
      </c>
      <c r="W90" s="1">
        <f t="shared" si="204"/>
        <v>72</v>
      </c>
      <c r="X90" s="2">
        <f t="shared" si="177"/>
        <v>118020.83635840983</v>
      </c>
      <c r="Y90" s="8">
        <f t="shared" si="230"/>
        <v>4.1300000000000003E-2</v>
      </c>
      <c r="Z90" s="5">
        <f t="shared" si="205"/>
        <v>1141</v>
      </c>
      <c r="AA90" s="2">
        <f t="shared" si="206"/>
        <v>113985.90000000001</v>
      </c>
      <c r="AB90" s="2">
        <f t="shared" si="207"/>
        <v>114100</v>
      </c>
      <c r="AC90" s="2">
        <f t="shared" si="208"/>
        <v>124958.01272499999</v>
      </c>
      <c r="AD90" s="8">
        <f t="shared" si="178"/>
        <v>4.1300000000000003E-2</v>
      </c>
      <c r="AE90" s="2">
        <f t="shared" si="179"/>
        <v>130118.7786505425</v>
      </c>
      <c r="AF90" s="2" t="str">
        <f t="shared" si="180"/>
        <v>tak</v>
      </c>
      <c r="AG90" s="2">
        <f t="shared" si="181"/>
        <v>0</v>
      </c>
      <c r="AH90" s="1">
        <f t="shared" si="79"/>
        <v>0</v>
      </c>
      <c r="AI90" s="1">
        <f t="shared" si="171"/>
        <v>0</v>
      </c>
      <c r="AJ90" s="1">
        <f t="shared" si="228"/>
        <v>0</v>
      </c>
      <c r="AK90" s="1">
        <f t="shared" si="166"/>
        <v>0</v>
      </c>
      <c r="AL90" s="2">
        <f t="shared" si="90"/>
        <v>0</v>
      </c>
      <c r="AM90" s="8">
        <f t="shared" si="160"/>
        <v>4.65E-2</v>
      </c>
      <c r="AN90" s="2">
        <f t="shared" si="91"/>
        <v>0</v>
      </c>
      <c r="AO90" s="2">
        <f t="shared" si="161"/>
        <v>0</v>
      </c>
      <c r="AP90" s="2">
        <f t="shared" si="119"/>
        <v>0</v>
      </c>
      <c r="AQ90" s="8">
        <f t="shared" si="172"/>
        <v>4.1300000000000003E-2</v>
      </c>
      <c r="AR90" s="2">
        <f t="shared" si="113"/>
        <v>0</v>
      </c>
      <c r="AS90" s="2">
        <f t="shared" si="173"/>
        <v>0</v>
      </c>
      <c r="AT90" s="2">
        <f t="shared" si="209"/>
        <v>48.978650542499963</v>
      </c>
      <c r="AU90" s="2">
        <f t="shared" si="92"/>
        <v>0</v>
      </c>
      <c r="AV90" s="2">
        <f t="shared" si="82"/>
        <v>102.32374304249242</v>
      </c>
      <c r="AW90" s="1">
        <f t="shared" si="158"/>
        <v>0</v>
      </c>
      <c r="AX90" s="2">
        <f t="shared" si="182"/>
        <v>102.32374304249242</v>
      </c>
      <c r="AY90" s="1">
        <f t="shared" si="83"/>
        <v>1</v>
      </c>
      <c r="AZ90" s="2">
        <f t="shared" si="210"/>
        <v>2.3237430424924241</v>
      </c>
      <c r="BA90" s="2">
        <f t="shared" si="93"/>
        <v>130172.1237430425</v>
      </c>
      <c r="BB90" s="2">
        <f t="shared" si="183"/>
        <v>156.20654849165098</v>
      </c>
      <c r="BC90" s="2">
        <f t="shared" si="211"/>
        <v>832.24873442265095</v>
      </c>
      <c r="BD90" s="2">
        <f t="shared" si="184"/>
        <v>129339.87500861984</v>
      </c>
      <c r="BE90" s="2">
        <f t="shared" si="212"/>
        <v>0</v>
      </c>
      <c r="BF90" s="2">
        <f t="shared" si="185"/>
        <v>5732.7035111780742</v>
      </c>
      <c r="BG90" s="2">
        <f t="shared" si="186"/>
        <v>123607.17149744177</v>
      </c>
      <c r="BI90" s="8">
        <f t="shared" si="162"/>
        <v>2.8000000000000001E-2</v>
      </c>
      <c r="BJ90" s="5">
        <f t="shared" si="213"/>
        <v>1044</v>
      </c>
      <c r="BK90" s="2">
        <f t="shared" si="214"/>
        <v>104295.6</v>
      </c>
      <c r="BL90" s="2">
        <f t="shared" si="215"/>
        <v>104400</v>
      </c>
      <c r="BM90" s="2">
        <f t="shared" si="187"/>
        <v>104400</v>
      </c>
      <c r="BN90" s="8">
        <f t="shared" si="188"/>
        <v>4.2999999999999997E-2</v>
      </c>
      <c r="BO90" s="2">
        <f t="shared" si="189"/>
        <v>108889.2</v>
      </c>
      <c r="BP90" s="2" t="str">
        <f t="shared" si="190"/>
        <v>nie</v>
      </c>
      <c r="BQ90" s="2">
        <f t="shared" si="191"/>
        <v>2088</v>
      </c>
      <c r="BR90" s="1">
        <f t="shared" si="163"/>
        <v>109</v>
      </c>
      <c r="BS90" s="1">
        <f t="shared" si="174"/>
        <v>7</v>
      </c>
      <c r="BT90" s="1">
        <f t="shared" si="229"/>
        <v>47</v>
      </c>
      <c r="BU90" s="1">
        <f t="shared" si="167"/>
        <v>45</v>
      </c>
      <c r="BV90" s="2">
        <f t="shared" si="94"/>
        <v>10900</v>
      </c>
      <c r="BW90" s="8">
        <f t="shared" si="164"/>
        <v>0.05</v>
      </c>
      <c r="BX90" s="2">
        <f t="shared" si="95"/>
        <v>11445</v>
      </c>
      <c r="BY90" s="2">
        <f t="shared" si="165"/>
        <v>218</v>
      </c>
      <c r="BZ90" s="2">
        <f t="shared" si="120"/>
        <v>9900</v>
      </c>
      <c r="CA90" s="8">
        <f t="shared" si="175"/>
        <v>4.2999999999999997E-2</v>
      </c>
      <c r="CB90" s="2">
        <f t="shared" si="117"/>
        <v>10325.699999999999</v>
      </c>
      <c r="CC90" s="2">
        <f t="shared" si="176"/>
        <v>198</v>
      </c>
      <c r="CD90" s="2">
        <f t="shared" si="192"/>
        <v>4489.1999999999971</v>
      </c>
      <c r="CE90" s="2">
        <f t="shared" si="96"/>
        <v>5470.6999999999989</v>
      </c>
      <c r="CF90" s="2">
        <f t="shared" si="97"/>
        <v>9968.3999999999451</v>
      </c>
      <c r="CG90" s="1">
        <f t="shared" si="159"/>
        <v>45</v>
      </c>
      <c r="CH90" s="2">
        <f t="shared" si="193"/>
        <v>5472.8999999999451</v>
      </c>
      <c r="CI90" s="1">
        <f t="shared" si="89"/>
        <v>54</v>
      </c>
      <c r="CJ90" s="2">
        <f t="shared" si="98"/>
        <v>72.899999999945067</v>
      </c>
      <c r="CK90" s="2">
        <f t="shared" si="99"/>
        <v>130668.39999999994</v>
      </c>
      <c r="CL90" s="2">
        <f t="shared" si="194"/>
        <v>156.8020799999999</v>
      </c>
      <c r="CM90" s="2">
        <f t="shared" si="216"/>
        <v>833.20852999999966</v>
      </c>
      <c r="CN90" s="2">
        <f t="shared" si="195"/>
        <v>129835.19146999993</v>
      </c>
      <c r="CO90" s="2">
        <f t="shared" si="217"/>
        <v>2504</v>
      </c>
      <c r="CP90" s="2">
        <f t="shared" si="196"/>
        <v>5351.2359999999881</v>
      </c>
      <c r="CQ90" s="2">
        <f t="shared" si="197"/>
        <v>121979.95546999994</v>
      </c>
      <c r="CS90" s="5">
        <f t="shared" si="218"/>
        <v>1000</v>
      </c>
      <c r="CT90" s="2">
        <f t="shared" si="219"/>
        <v>100000</v>
      </c>
      <c r="CU90" s="2">
        <f t="shared" si="220"/>
        <v>100000</v>
      </c>
      <c r="CV90" s="2">
        <f t="shared" si="221"/>
        <v>127382.28902952962</v>
      </c>
      <c r="CW90" s="8">
        <f t="shared" si="198"/>
        <v>4.8000000000000001E-2</v>
      </c>
      <c r="CX90" s="2">
        <f t="shared" si="199"/>
        <v>133496.63890294704</v>
      </c>
      <c r="CY90" s="2" t="str">
        <f t="shared" si="200"/>
        <v>nie</v>
      </c>
      <c r="CZ90" s="2">
        <f t="shared" si="222"/>
        <v>0</v>
      </c>
      <c r="DA90" s="2">
        <f t="shared" si="223"/>
        <v>0</v>
      </c>
      <c r="DB90" s="2">
        <f t="shared" si="224"/>
        <v>133496.63890294704</v>
      </c>
      <c r="DC90" s="2">
        <f t="shared" si="201"/>
        <v>160.19596668353643</v>
      </c>
      <c r="DD90" s="2">
        <f t="shared" si="225"/>
        <v>847.00155602320501</v>
      </c>
      <c r="DE90" s="2">
        <f t="shared" si="226"/>
        <v>132649.63734692385</v>
      </c>
      <c r="DF90" s="2">
        <f t="shared" si="202"/>
        <v>3000</v>
      </c>
      <c r="DG90" s="2">
        <f t="shared" si="203"/>
        <v>5794.361391559939</v>
      </c>
      <c r="DH90" s="2">
        <f t="shared" si="227"/>
        <v>123855.2759553639</v>
      </c>
    </row>
    <row r="91" spans="2:112">
      <c r="B91" s="228"/>
      <c r="C91" s="1">
        <f t="shared" si="168"/>
        <v>54</v>
      </c>
      <c r="D91" s="2">
        <f t="shared" si="105"/>
        <v>121721.64903423173</v>
      </c>
      <c r="E91" s="2">
        <f t="shared" si="106"/>
        <v>116572.75550778172</v>
      </c>
      <c r="F91" s="2">
        <f t="shared" si="107"/>
        <v>121757.05809999994</v>
      </c>
      <c r="G91" s="2">
        <f t="shared" si="108"/>
        <v>115592.96509999994</v>
      </c>
      <c r="H91" s="2">
        <f t="shared" si="109"/>
        <v>123943.92875876355</v>
      </c>
      <c r="I91" s="2">
        <f t="shared" si="110"/>
        <v>116865.55265801423</v>
      </c>
      <c r="J91" s="2">
        <f t="shared" si="169"/>
        <v>116729.68853636293</v>
      </c>
      <c r="K91" s="2">
        <f t="shared" si="170"/>
        <v>113242.7516573184</v>
      </c>
      <c r="W91" s="1">
        <f t="shared" si="204"/>
        <v>73</v>
      </c>
      <c r="X91" s="2">
        <f t="shared" si="177"/>
        <v>118296.21830991277</v>
      </c>
      <c r="Y91" s="8">
        <f t="shared" si="230"/>
        <v>4.1300000000000003E-2</v>
      </c>
      <c r="Z91" s="5">
        <f t="shared" si="205"/>
        <v>1302</v>
      </c>
      <c r="AA91" s="2">
        <f t="shared" si="206"/>
        <v>130069.8</v>
      </c>
      <c r="AB91" s="2">
        <f t="shared" si="207"/>
        <v>130200</v>
      </c>
      <c r="AC91" s="2">
        <f t="shared" si="208"/>
        <v>130200</v>
      </c>
      <c r="AD91" s="8">
        <f t="shared" si="178"/>
        <v>4.65E-2</v>
      </c>
      <c r="AE91" s="2">
        <f t="shared" si="179"/>
        <v>130704.52500000001</v>
      </c>
      <c r="AF91" s="2" t="str">
        <f t="shared" si="180"/>
        <v>nie</v>
      </c>
      <c r="AG91" s="2">
        <f t="shared" si="181"/>
        <v>504.52500000000873</v>
      </c>
      <c r="AH91" s="1">
        <f t="shared" si="79"/>
        <v>1</v>
      </c>
      <c r="AI91" s="1">
        <f t="shared" si="171"/>
        <v>0</v>
      </c>
      <c r="AJ91" s="1">
        <f t="shared" si="228"/>
        <v>0</v>
      </c>
      <c r="AK91" s="1">
        <f t="shared" si="166"/>
        <v>0</v>
      </c>
      <c r="AL91" s="2">
        <f t="shared" si="90"/>
        <v>100</v>
      </c>
      <c r="AM91" s="8">
        <f t="shared" si="160"/>
        <v>4.65E-2</v>
      </c>
      <c r="AN91" s="2">
        <f t="shared" si="91"/>
        <v>100.3875</v>
      </c>
      <c r="AO91" s="2">
        <f t="shared" si="161"/>
        <v>0.38750000000000284</v>
      </c>
      <c r="AP91" s="2">
        <f t="shared" si="119"/>
        <v>0</v>
      </c>
      <c r="AQ91" s="8">
        <f t="shared" si="172"/>
        <v>4.1300000000000003E-2</v>
      </c>
      <c r="AR91" s="2">
        <f t="shared" si="113"/>
        <v>0</v>
      </c>
      <c r="AS91" s="2">
        <f t="shared" si="173"/>
        <v>0</v>
      </c>
      <c r="AT91" s="2">
        <f t="shared" si="209"/>
        <v>0</v>
      </c>
      <c r="AU91" s="2">
        <f t="shared" si="92"/>
        <v>0</v>
      </c>
      <c r="AV91" s="2">
        <f t="shared" si="82"/>
        <v>2.3237430424924241</v>
      </c>
      <c r="AW91" s="1">
        <f t="shared" si="158"/>
        <v>0</v>
      </c>
      <c r="AX91" s="2">
        <f t="shared" si="182"/>
        <v>2.3237430424924241</v>
      </c>
      <c r="AY91" s="1">
        <f t="shared" si="83"/>
        <v>0</v>
      </c>
      <c r="AZ91" s="2">
        <f t="shared" si="210"/>
        <v>2.3237430424924241</v>
      </c>
      <c r="BA91" s="2">
        <f t="shared" si="93"/>
        <v>130807.2362430425</v>
      </c>
      <c r="BB91" s="2">
        <f t="shared" si="183"/>
        <v>0</v>
      </c>
      <c r="BC91" s="2">
        <f t="shared" si="211"/>
        <v>832.24873442265095</v>
      </c>
      <c r="BD91" s="2">
        <f t="shared" si="184"/>
        <v>129974.98750861984</v>
      </c>
      <c r="BE91" s="2">
        <f t="shared" si="212"/>
        <v>504.91250000000872</v>
      </c>
      <c r="BF91" s="2">
        <f t="shared" si="185"/>
        <v>5757.4415111780736</v>
      </c>
      <c r="BG91" s="2">
        <f t="shared" si="186"/>
        <v>123712.63349744177</v>
      </c>
      <c r="BI91" s="8">
        <f t="shared" si="162"/>
        <v>2.8000000000000001E-2</v>
      </c>
      <c r="BJ91" s="5">
        <f t="shared" si="213"/>
        <v>1044</v>
      </c>
      <c r="BK91" s="2">
        <f t="shared" si="214"/>
        <v>104295.6</v>
      </c>
      <c r="BL91" s="2">
        <f t="shared" si="215"/>
        <v>104400</v>
      </c>
      <c r="BM91" s="2">
        <f t="shared" si="187"/>
        <v>104400</v>
      </c>
      <c r="BN91" s="8">
        <f t="shared" si="188"/>
        <v>4.2999999999999997E-2</v>
      </c>
      <c r="BO91" s="2">
        <f t="shared" si="189"/>
        <v>104774.09999999999</v>
      </c>
      <c r="BP91" s="2" t="str">
        <f t="shared" si="190"/>
        <v>nie</v>
      </c>
      <c r="BQ91" s="2">
        <f t="shared" si="191"/>
        <v>2088</v>
      </c>
      <c r="BR91" s="1">
        <f t="shared" si="163"/>
        <v>99</v>
      </c>
      <c r="BS91" s="1">
        <f t="shared" si="174"/>
        <v>109</v>
      </c>
      <c r="BT91" s="1">
        <f t="shared" si="229"/>
        <v>7</v>
      </c>
      <c r="BU91" s="1">
        <f t="shared" si="167"/>
        <v>47</v>
      </c>
      <c r="BV91" s="2">
        <f t="shared" si="94"/>
        <v>9900</v>
      </c>
      <c r="BW91" s="8">
        <f t="shared" si="164"/>
        <v>0.05</v>
      </c>
      <c r="BX91" s="2">
        <f t="shared" si="95"/>
        <v>9941.25</v>
      </c>
      <c r="BY91" s="2">
        <f t="shared" si="165"/>
        <v>41.25</v>
      </c>
      <c r="BZ91" s="2">
        <f t="shared" si="120"/>
        <v>16300</v>
      </c>
      <c r="CA91" s="8">
        <f t="shared" si="175"/>
        <v>4.2999999999999997E-2</v>
      </c>
      <c r="CB91" s="2">
        <f t="shared" si="117"/>
        <v>16358.408333333333</v>
      </c>
      <c r="CC91" s="2">
        <f t="shared" si="176"/>
        <v>326</v>
      </c>
      <c r="CD91" s="2">
        <f t="shared" si="192"/>
        <v>0</v>
      </c>
      <c r="CE91" s="2">
        <f t="shared" si="96"/>
        <v>0</v>
      </c>
      <c r="CF91" s="2">
        <f t="shared" si="97"/>
        <v>72.899999999945067</v>
      </c>
      <c r="CG91" s="1">
        <f t="shared" si="159"/>
        <v>0</v>
      </c>
      <c r="CH91" s="2">
        <f t="shared" si="193"/>
        <v>72.899999999945067</v>
      </c>
      <c r="CI91" s="1">
        <f t="shared" si="89"/>
        <v>0</v>
      </c>
      <c r="CJ91" s="2">
        <f t="shared" si="98"/>
        <v>72.899999999945067</v>
      </c>
      <c r="CK91" s="2">
        <f t="shared" si="99"/>
        <v>131146.65833333327</v>
      </c>
      <c r="CL91" s="2">
        <f t="shared" si="194"/>
        <v>0</v>
      </c>
      <c r="CM91" s="2">
        <f t="shared" si="216"/>
        <v>833.20852999999966</v>
      </c>
      <c r="CN91" s="2">
        <f t="shared" si="195"/>
        <v>130313.44980333326</v>
      </c>
      <c r="CO91" s="2">
        <f t="shared" si="217"/>
        <v>2455.25</v>
      </c>
      <c r="CP91" s="2">
        <f t="shared" si="196"/>
        <v>5451.3675833333209</v>
      </c>
      <c r="CQ91" s="2">
        <f t="shared" si="197"/>
        <v>122406.83221999994</v>
      </c>
      <c r="CS91" s="5">
        <f t="shared" si="218"/>
        <v>1000</v>
      </c>
      <c r="CT91" s="2">
        <f t="shared" si="219"/>
        <v>100000</v>
      </c>
      <c r="CU91" s="2">
        <f t="shared" si="220"/>
        <v>100000</v>
      </c>
      <c r="CV91" s="2">
        <f t="shared" si="221"/>
        <v>133496.63890294704</v>
      </c>
      <c r="CW91" s="8">
        <f t="shared" si="198"/>
        <v>4.8000000000000001E-2</v>
      </c>
      <c r="CX91" s="2">
        <f t="shared" si="199"/>
        <v>134030.62545855885</v>
      </c>
      <c r="CY91" s="2" t="str">
        <f t="shared" si="200"/>
        <v>nie</v>
      </c>
      <c r="CZ91" s="2">
        <f t="shared" si="222"/>
        <v>0</v>
      </c>
      <c r="DA91" s="2">
        <f t="shared" si="223"/>
        <v>0</v>
      </c>
      <c r="DB91" s="2">
        <f t="shared" si="224"/>
        <v>134030.62545855885</v>
      </c>
      <c r="DC91" s="2">
        <f t="shared" si="201"/>
        <v>0</v>
      </c>
      <c r="DD91" s="2">
        <f t="shared" si="225"/>
        <v>847.00155602320501</v>
      </c>
      <c r="DE91" s="2">
        <f t="shared" si="226"/>
        <v>133183.62390253565</v>
      </c>
      <c r="DF91" s="2">
        <f t="shared" si="202"/>
        <v>3000</v>
      </c>
      <c r="DG91" s="2">
        <f t="shared" si="203"/>
        <v>5895.8188371261813</v>
      </c>
      <c r="DH91" s="2">
        <f t="shared" si="227"/>
        <v>124287.80506540947</v>
      </c>
    </row>
    <row r="92" spans="2:112">
      <c r="B92" s="228"/>
      <c r="C92" s="1">
        <f t="shared" si="168"/>
        <v>55</v>
      </c>
      <c r="D92" s="2">
        <f t="shared" si="105"/>
        <v>122184.34592798175</v>
      </c>
      <c r="E92" s="2">
        <f t="shared" si="106"/>
        <v>116947.53999171924</v>
      </c>
      <c r="F92" s="2">
        <f t="shared" si="107"/>
        <v>122245.85809999994</v>
      </c>
      <c r="G92" s="2">
        <f t="shared" si="108"/>
        <v>115988.89309999996</v>
      </c>
      <c r="H92" s="2">
        <f t="shared" si="109"/>
        <v>124430.12070162434</v>
      </c>
      <c r="I92" s="2">
        <f t="shared" si="110"/>
        <v>117259.36813173148</v>
      </c>
      <c r="J92" s="2">
        <f t="shared" si="169"/>
        <v>117064.55683035162</v>
      </c>
      <c r="K92" s="2">
        <f t="shared" si="170"/>
        <v>113503.33655593813</v>
      </c>
      <c r="W92" s="1">
        <f t="shared" si="204"/>
        <v>74</v>
      </c>
      <c r="X92" s="2">
        <f t="shared" si="177"/>
        <v>118571.60026141573</v>
      </c>
      <c r="Y92" s="8">
        <f t="shared" si="230"/>
        <v>4.1300000000000003E-2</v>
      </c>
      <c r="Z92" s="5">
        <f t="shared" si="205"/>
        <v>1302</v>
      </c>
      <c r="AA92" s="2">
        <f t="shared" si="206"/>
        <v>130069.8</v>
      </c>
      <c r="AB92" s="2">
        <f t="shared" si="207"/>
        <v>130200</v>
      </c>
      <c r="AC92" s="2">
        <f t="shared" si="208"/>
        <v>130200</v>
      </c>
      <c r="AD92" s="8">
        <f t="shared" si="178"/>
        <v>4.65E-2</v>
      </c>
      <c r="AE92" s="2">
        <f t="shared" si="179"/>
        <v>131209.04999999999</v>
      </c>
      <c r="AF92" s="2" t="str">
        <f t="shared" si="180"/>
        <v>nie</v>
      </c>
      <c r="AG92" s="2">
        <f t="shared" si="181"/>
        <v>1009.0499999999884</v>
      </c>
      <c r="AH92" s="1">
        <f t="shared" si="79"/>
        <v>1</v>
      </c>
      <c r="AI92" s="1">
        <f t="shared" si="171"/>
        <v>0</v>
      </c>
      <c r="AJ92" s="1">
        <f t="shared" si="228"/>
        <v>0</v>
      </c>
      <c r="AK92" s="1">
        <f t="shared" si="166"/>
        <v>0</v>
      </c>
      <c r="AL92" s="2">
        <f t="shared" si="90"/>
        <v>100</v>
      </c>
      <c r="AM92" s="8">
        <f t="shared" si="160"/>
        <v>4.65E-2</v>
      </c>
      <c r="AN92" s="2">
        <f t="shared" si="91"/>
        <v>100.77499999999999</v>
      </c>
      <c r="AO92" s="2">
        <f t="shared" si="161"/>
        <v>0.77499999999999147</v>
      </c>
      <c r="AP92" s="2">
        <f t="shared" si="119"/>
        <v>0</v>
      </c>
      <c r="AQ92" s="8">
        <f t="shared" si="172"/>
        <v>4.1300000000000003E-2</v>
      </c>
      <c r="AR92" s="2">
        <f t="shared" si="113"/>
        <v>0</v>
      </c>
      <c r="AS92" s="2">
        <f t="shared" si="173"/>
        <v>0</v>
      </c>
      <c r="AT92" s="2">
        <f t="shared" si="209"/>
        <v>0</v>
      </c>
      <c r="AU92" s="2">
        <f t="shared" si="92"/>
        <v>0</v>
      </c>
      <c r="AV92" s="2">
        <f t="shared" si="82"/>
        <v>2.3237430424924241</v>
      </c>
      <c r="AW92" s="1">
        <f t="shared" si="158"/>
        <v>0</v>
      </c>
      <c r="AX92" s="2">
        <f t="shared" si="182"/>
        <v>2.3237430424924241</v>
      </c>
      <c r="AY92" s="1">
        <f t="shared" si="83"/>
        <v>0</v>
      </c>
      <c r="AZ92" s="2">
        <f t="shared" si="210"/>
        <v>2.3237430424924241</v>
      </c>
      <c r="BA92" s="2">
        <f t="shared" si="93"/>
        <v>131312.14874304249</v>
      </c>
      <c r="BB92" s="2">
        <f t="shared" si="183"/>
        <v>0</v>
      </c>
      <c r="BC92" s="2">
        <f t="shared" si="211"/>
        <v>832.24873442265095</v>
      </c>
      <c r="BD92" s="2">
        <f t="shared" si="184"/>
        <v>130479.90000861984</v>
      </c>
      <c r="BE92" s="2">
        <f t="shared" si="212"/>
        <v>1009.8249999999883</v>
      </c>
      <c r="BF92" s="2">
        <f t="shared" si="185"/>
        <v>5757.4415111780763</v>
      </c>
      <c r="BG92" s="2">
        <f t="shared" si="186"/>
        <v>123712.63349744177</v>
      </c>
      <c r="BI92" s="8">
        <f t="shared" si="162"/>
        <v>2.8000000000000001E-2</v>
      </c>
      <c r="BJ92" s="5">
        <f t="shared" si="213"/>
        <v>1044</v>
      </c>
      <c r="BK92" s="2">
        <f t="shared" si="214"/>
        <v>104295.6</v>
      </c>
      <c r="BL92" s="2">
        <f t="shared" si="215"/>
        <v>104400</v>
      </c>
      <c r="BM92" s="2">
        <f t="shared" si="187"/>
        <v>104400</v>
      </c>
      <c r="BN92" s="8">
        <f t="shared" si="188"/>
        <v>4.2999999999999997E-2</v>
      </c>
      <c r="BO92" s="2">
        <f t="shared" si="189"/>
        <v>105148.20000000001</v>
      </c>
      <c r="BP92" s="2" t="str">
        <f t="shared" si="190"/>
        <v>nie</v>
      </c>
      <c r="BQ92" s="2">
        <f t="shared" si="191"/>
        <v>2088</v>
      </c>
      <c r="BR92" s="1">
        <f t="shared" si="163"/>
        <v>99</v>
      </c>
      <c r="BS92" s="1">
        <f t="shared" si="174"/>
        <v>109</v>
      </c>
      <c r="BT92" s="1">
        <f t="shared" si="229"/>
        <v>7</v>
      </c>
      <c r="BU92" s="1">
        <f t="shared" si="167"/>
        <v>47</v>
      </c>
      <c r="BV92" s="2">
        <f t="shared" si="94"/>
        <v>9900</v>
      </c>
      <c r="BW92" s="8">
        <f t="shared" si="164"/>
        <v>0.05</v>
      </c>
      <c r="BX92" s="2">
        <f t="shared" si="95"/>
        <v>9982.5</v>
      </c>
      <c r="BY92" s="2">
        <f t="shared" si="165"/>
        <v>82.5</v>
      </c>
      <c r="BZ92" s="2">
        <f t="shared" si="120"/>
        <v>16300</v>
      </c>
      <c r="CA92" s="8">
        <f t="shared" si="175"/>
        <v>4.2999999999999997E-2</v>
      </c>
      <c r="CB92" s="2">
        <f t="shared" si="117"/>
        <v>16416.816666666669</v>
      </c>
      <c r="CC92" s="2">
        <f t="shared" si="176"/>
        <v>326</v>
      </c>
      <c r="CD92" s="2">
        <f t="shared" si="192"/>
        <v>0</v>
      </c>
      <c r="CE92" s="2">
        <f t="shared" si="96"/>
        <v>0</v>
      </c>
      <c r="CF92" s="2">
        <f t="shared" si="97"/>
        <v>72.899999999945067</v>
      </c>
      <c r="CG92" s="1">
        <f t="shared" si="159"/>
        <v>0</v>
      </c>
      <c r="CH92" s="2">
        <f t="shared" si="193"/>
        <v>72.899999999945067</v>
      </c>
      <c r="CI92" s="1">
        <f t="shared" si="89"/>
        <v>0</v>
      </c>
      <c r="CJ92" s="2">
        <f t="shared" si="98"/>
        <v>72.899999999945067</v>
      </c>
      <c r="CK92" s="2">
        <f t="shared" si="99"/>
        <v>131620.41666666663</v>
      </c>
      <c r="CL92" s="2">
        <f t="shared" si="194"/>
        <v>0</v>
      </c>
      <c r="CM92" s="2">
        <f t="shared" si="216"/>
        <v>833.20852999999966</v>
      </c>
      <c r="CN92" s="2">
        <f t="shared" si="195"/>
        <v>130787.20813666662</v>
      </c>
      <c r="CO92" s="2">
        <f t="shared" si="217"/>
        <v>2496.5</v>
      </c>
      <c r="CP92" s="2">
        <f t="shared" si="196"/>
        <v>5533.5441666666593</v>
      </c>
      <c r="CQ92" s="2">
        <f t="shared" si="197"/>
        <v>122757.16396999997</v>
      </c>
      <c r="CS92" s="5">
        <f t="shared" si="218"/>
        <v>1000</v>
      </c>
      <c r="CT92" s="2">
        <f t="shared" si="219"/>
        <v>100000</v>
      </c>
      <c r="CU92" s="2">
        <f t="shared" si="220"/>
        <v>100000</v>
      </c>
      <c r="CV92" s="2">
        <f t="shared" si="221"/>
        <v>133496.63890294704</v>
      </c>
      <c r="CW92" s="8">
        <f t="shared" si="198"/>
        <v>4.8000000000000001E-2</v>
      </c>
      <c r="CX92" s="2">
        <f t="shared" si="199"/>
        <v>134564.61201417062</v>
      </c>
      <c r="CY92" s="2" t="str">
        <f t="shared" si="200"/>
        <v>nie</v>
      </c>
      <c r="CZ92" s="2">
        <f t="shared" si="222"/>
        <v>0</v>
      </c>
      <c r="DA92" s="2">
        <f t="shared" si="223"/>
        <v>0</v>
      </c>
      <c r="DB92" s="2">
        <f t="shared" si="224"/>
        <v>134564.61201417062</v>
      </c>
      <c r="DC92" s="2">
        <f t="shared" si="201"/>
        <v>0</v>
      </c>
      <c r="DD92" s="2">
        <f t="shared" si="225"/>
        <v>847.00155602320501</v>
      </c>
      <c r="DE92" s="2">
        <f t="shared" si="226"/>
        <v>133717.61045814742</v>
      </c>
      <c r="DF92" s="2">
        <f t="shared" si="202"/>
        <v>3000</v>
      </c>
      <c r="DG92" s="2">
        <f t="shared" si="203"/>
        <v>5997.2762826924181</v>
      </c>
      <c r="DH92" s="2">
        <f t="shared" si="227"/>
        <v>124720.33417545501</v>
      </c>
    </row>
    <row r="93" spans="2:112">
      <c r="B93" s="228"/>
      <c r="C93" s="1">
        <f t="shared" si="168"/>
        <v>56</v>
      </c>
      <c r="D93" s="2">
        <f t="shared" si="105"/>
        <v>122647.04282173172</v>
      </c>
      <c r="E93" s="2">
        <f t="shared" si="106"/>
        <v>117322.32447565673</v>
      </c>
      <c r="F93" s="2">
        <f t="shared" si="107"/>
        <v>122734.65809999996</v>
      </c>
      <c r="G93" s="2">
        <f t="shared" si="108"/>
        <v>116384.82109999997</v>
      </c>
      <c r="H93" s="2">
        <f t="shared" si="109"/>
        <v>124916.31264448514</v>
      </c>
      <c r="I93" s="2">
        <f t="shared" si="110"/>
        <v>117653.18360544872</v>
      </c>
      <c r="J93" s="2">
        <f t="shared" si="169"/>
        <v>117400.38577775868</v>
      </c>
      <c r="K93" s="2">
        <f t="shared" si="170"/>
        <v>113763.92145455786</v>
      </c>
      <c r="W93" s="1">
        <f t="shared" si="204"/>
        <v>75</v>
      </c>
      <c r="X93" s="2">
        <f t="shared" si="177"/>
        <v>118846.98221291868</v>
      </c>
      <c r="Y93" s="8">
        <f t="shared" si="230"/>
        <v>4.1300000000000003E-2</v>
      </c>
      <c r="Z93" s="5">
        <f t="shared" si="205"/>
        <v>1302</v>
      </c>
      <c r="AA93" s="2">
        <f t="shared" si="206"/>
        <v>130069.8</v>
      </c>
      <c r="AB93" s="2">
        <f t="shared" si="207"/>
        <v>130200</v>
      </c>
      <c r="AC93" s="2">
        <f t="shared" si="208"/>
        <v>130200</v>
      </c>
      <c r="AD93" s="8">
        <f t="shared" si="178"/>
        <v>4.65E-2</v>
      </c>
      <c r="AE93" s="2">
        <f t="shared" si="179"/>
        <v>131713.57500000001</v>
      </c>
      <c r="AF93" s="2" t="str">
        <f t="shared" si="180"/>
        <v>nie</v>
      </c>
      <c r="AG93" s="2">
        <f t="shared" si="181"/>
        <v>1302</v>
      </c>
      <c r="AH93" s="1">
        <f t="shared" si="79"/>
        <v>1</v>
      </c>
      <c r="AI93" s="1">
        <f t="shared" si="171"/>
        <v>0</v>
      </c>
      <c r="AJ93" s="1">
        <f t="shared" si="228"/>
        <v>0</v>
      </c>
      <c r="AK93" s="1">
        <f t="shared" si="166"/>
        <v>0</v>
      </c>
      <c r="AL93" s="2">
        <f t="shared" si="90"/>
        <v>100</v>
      </c>
      <c r="AM93" s="8">
        <f t="shared" si="160"/>
        <v>4.65E-2</v>
      </c>
      <c r="AN93" s="2">
        <f t="shared" si="91"/>
        <v>101.16249999999999</v>
      </c>
      <c r="AO93" s="2">
        <f t="shared" si="161"/>
        <v>1</v>
      </c>
      <c r="AP93" s="2">
        <f t="shared" si="119"/>
        <v>0</v>
      </c>
      <c r="AQ93" s="8">
        <f t="shared" si="172"/>
        <v>4.1300000000000003E-2</v>
      </c>
      <c r="AR93" s="2">
        <f t="shared" si="113"/>
        <v>0</v>
      </c>
      <c r="AS93" s="2">
        <f t="shared" si="173"/>
        <v>0</v>
      </c>
      <c r="AT93" s="2">
        <f t="shared" si="209"/>
        <v>0</v>
      </c>
      <c r="AU93" s="2">
        <f t="shared" si="92"/>
        <v>0</v>
      </c>
      <c r="AV93" s="2">
        <f t="shared" si="82"/>
        <v>2.3237430424924241</v>
      </c>
      <c r="AW93" s="1">
        <f t="shared" si="158"/>
        <v>0</v>
      </c>
      <c r="AX93" s="2">
        <f t="shared" si="182"/>
        <v>2.3237430424924241</v>
      </c>
      <c r="AY93" s="1">
        <f t="shared" si="83"/>
        <v>0</v>
      </c>
      <c r="AZ93" s="2">
        <f t="shared" si="210"/>
        <v>2.3237430424924241</v>
      </c>
      <c r="BA93" s="2">
        <f t="shared" si="93"/>
        <v>131817.06124304252</v>
      </c>
      <c r="BB93" s="2">
        <f t="shared" si="183"/>
        <v>0</v>
      </c>
      <c r="BC93" s="2">
        <f t="shared" si="211"/>
        <v>832.24873442265095</v>
      </c>
      <c r="BD93" s="2">
        <f t="shared" si="184"/>
        <v>130984.81250861987</v>
      </c>
      <c r="BE93" s="2">
        <f t="shared" si="212"/>
        <v>1303</v>
      </c>
      <c r="BF93" s="2">
        <f t="shared" si="185"/>
        <v>5797.67163617808</v>
      </c>
      <c r="BG93" s="2">
        <f t="shared" si="186"/>
        <v>123884.14087244179</v>
      </c>
      <c r="BI93" s="8">
        <f t="shared" si="162"/>
        <v>2.8000000000000001E-2</v>
      </c>
      <c r="BJ93" s="5">
        <f t="shared" si="213"/>
        <v>1044</v>
      </c>
      <c r="BK93" s="2">
        <f t="shared" si="214"/>
        <v>104295.6</v>
      </c>
      <c r="BL93" s="2">
        <f t="shared" si="215"/>
        <v>104400</v>
      </c>
      <c r="BM93" s="2">
        <f t="shared" si="187"/>
        <v>104400</v>
      </c>
      <c r="BN93" s="8">
        <f t="shared" si="188"/>
        <v>4.2999999999999997E-2</v>
      </c>
      <c r="BO93" s="2">
        <f t="shared" si="189"/>
        <v>105522.3</v>
      </c>
      <c r="BP93" s="2" t="str">
        <f t="shared" si="190"/>
        <v>nie</v>
      </c>
      <c r="BQ93" s="2">
        <f t="shared" si="191"/>
        <v>2088</v>
      </c>
      <c r="BR93" s="1">
        <f t="shared" si="163"/>
        <v>99</v>
      </c>
      <c r="BS93" s="1">
        <f t="shared" si="174"/>
        <v>109</v>
      </c>
      <c r="BT93" s="1">
        <f t="shared" si="229"/>
        <v>7</v>
      </c>
      <c r="BU93" s="1">
        <f t="shared" si="167"/>
        <v>47</v>
      </c>
      <c r="BV93" s="2">
        <f t="shared" si="94"/>
        <v>9900</v>
      </c>
      <c r="BW93" s="8">
        <f t="shared" si="164"/>
        <v>0.05</v>
      </c>
      <c r="BX93" s="2">
        <f t="shared" si="95"/>
        <v>10023.75</v>
      </c>
      <c r="BY93" s="2">
        <f t="shared" si="165"/>
        <v>123.75</v>
      </c>
      <c r="BZ93" s="2">
        <f t="shared" si="120"/>
        <v>16300</v>
      </c>
      <c r="CA93" s="8">
        <f t="shared" si="175"/>
        <v>4.2999999999999997E-2</v>
      </c>
      <c r="CB93" s="2">
        <f t="shared" si="117"/>
        <v>16475.225000000002</v>
      </c>
      <c r="CC93" s="2">
        <f t="shared" si="176"/>
        <v>326</v>
      </c>
      <c r="CD93" s="2">
        <f t="shared" si="192"/>
        <v>0</v>
      </c>
      <c r="CE93" s="2">
        <f t="shared" si="96"/>
        <v>0</v>
      </c>
      <c r="CF93" s="2">
        <f t="shared" si="97"/>
        <v>72.899999999945067</v>
      </c>
      <c r="CG93" s="1">
        <f t="shared" si="159"/>
        <v>0</v>
      </c>
      <c r="CH93" s="2">
        <f t="shared" si="193"/>
        <v>72.899999999945067</v>
      </c>
      <c r="CI93" s="1">
        <f t="shared" si="89"/>
        <v>0</v>
      </c>
      <c r="CJ93" s="2">
        <f t="shared" si="98"/>
        <v>72.899999999945067</v>
      </c>
      <c r="CK93" s="2">
        <f t="shared" si="99"/>
        <v>132094.17499999993</v>
      </c>
      <c r="CL93" s="2">
        <f t="shared" si="194"/>
        <v>0</v>
      </c>
      <c r="CM93" s="2">
        <f t="shared" si="216"/>
        <v>833.20852999999966</v>
      </c>
      <c r="CN93" s="2">
        <f t="shared" si="195"/>
        <v>131260.96646999993</v>
      </c>
      <c r="CO93" s="2">
        <f t="shared" si="217"/>
        <v>2537.75</v>
      </c>
      <c r="CP93" s="2">
        <f t="shared" si="196"/>
        <v>5615.7207499999868</v>
      </c>
      <c r="CQ93" s="2">
        <f t="shared" si="197"/>
        <v>123107.49571999993</v>
      </c>
      <c r="CS93" s="5">
        <f t="shared" si="218"/>
        <v>1000</v>
      </c>
      <c r="CT93" s="2">
        <f t="shared" si="219"/>
        <v>100000</v>
      </c>
      <c r="CU93" s="2">
        <f t="shared" si="220"/>
        <v>100000</v>
      </c>
      <c r="CV93" s="2">
        <f t="shared" si="221"/>
        <v>133496.63890294704</v>
      </c>
      <c r="CW93" s="8">
        <f t="shared" si="198"/>
        <v>4.8000000000000001E-2</v>
      </c>
      <c r="CX93" s="2">
        <f t="shared" si="199"/>
        <v>135098.59856978242</v>
      </c>
      <c r="CY93" s="2" t="str">
        <f t="shared" si="200"/>
        <v>nie</v>
      </c>
      <c r="CZ93" s="2">
        <f t="shared" si="222"/>
        <v>0</v>
      </c>
      <c r="DA93" s="2">
        <f t="shared" si="223"/>
        <v>0</v>
      </c>
      <c r="DB93" s="2">
        <f t="shared" si="224"/>
        <v>135098.59856978242</v>
      </c>
      <c r="DC93" s="2">
        <f t="shared" si="201"/>
        <v>0</v>
      </c>
      <c r="DD93" s="2">
        <f t="shared" si="225"/>
        <v>847.00155602320501</v>
      </c>
      <c r="DE93" s="2">
        <f t="shared" si="226"/>
        <v>134251.59701375922</v>
      </c>
      <c r="DF93" s="2">
        <f t="shared" si="202"/>
        <v>3000</v>
      </c>
      <c r="DG93" s="2">
        <f t="shared" si="203"/>
        <v>6098.7337282586604</v>
      </c>
      <c r="DH93" s="2">
        <f t="shared" si="227"/>
        <v>125152.86328550056</v>
      </c>
    </row>
    <row r="94" spans="2:112">
      <c r="B94" s="228"/>
      <c r="C94" s="1">
        <f t="shared" si="168"/>
        <v>57</v>
      </c>
      <c r="D94" s="2">
        <f t="shared" si="105"/>
        <v>123109.73971548173</v>
      </c>
      <c r="E94" s="2">
        <f t="shared" si="106"/>
        <v>117697.10895959423</v>
      </c>
      <c r="F94" s="2">
        <f t="shared" si="107"/>
        <v>123223.45809999996</v>
      </c>
      <c r="G94" s="2">
        <f t="shared" si="108"/>
        <v>116780.74909999997</v>
      </c>
      <c r="H94" s="2">
        <f t="shared" si="109"/>
        <v>125402.50458734595</v>
      </c>
      <c r="I94" s="2">
        <f t="shared" si="110"/>
        <v>118046.99907916598</v>
      </c>
      <c r="J94" s="2">
        <f t="shared" si="169"/>
        <v>117737.17813445862</v>
      </c>
      <c r="K94" s="2">
        <f t="shared" si="170"/>
        <v>114024.50635317758</v>
      </c>
      <c r="W94" s="1">
        <f t="shared" si="204"/>
        <v>76</v>
      </c>
      <c r="X94" s="2">
        <f t="shared" si="177"/>
        <v>119122.36416442166</v>
      </c>
      <c r="Y94" s="8">
        <f t="shared" si="230"/>
        <v>4.1300000000000003E-2</v>
      </c>
      <c r="Z94" s="5">
        <f t="shared" si="205"/>
        <v>1302</v>
      </c>
      <c r="AA94" s="2">
        <f t="shared" si="206"/>
        <v>130069.8</v>
      </c>
      <c r="AB94" s="2">
        <f t="shared" si="207"/>
        <v>130200</v>
      </c>
      <c r="AC94" s="2">
        <f t="shared" si="208"/>
        <v>130200</v>
      </c>
      <c r="AD94" s="8">
        <f t="shared" si="178"/>
        <v>4.65E-2</v>
      </c>
      <c r="AE94" s="2">
        <f t="shared" si="179"/>
        <v>132218.1</v>
      </c>
      <c r="AF94" s="2" t="str">
        <f t="shared" si="180"/>
        <v>nie</v>
      </c>
      <c r="AG94" s="2">
        <f t="shared" si="181"/>
        <v>1302</v>
      </c>
      <c r="AH94" s="1">
        <f t="shared" si="79"/>
        <v>1</v>
      </c>
      <c r="AI94" s="1">
        <f t="shared" si="171"/>
        <v>0</v>
      </c>
      <c r="AJ94" s="1">
        <f t="shared" si="228"/>
        <v>0</v>
      </c>
      <c r="AK94" s="1">
        <f t="shared" si="166"/>
        <v>0</v>
      </c>
      <c r="AL94" s="2">
        <f t="shared" si="90"/>
        <v>100</v>
      </c>
      <c r="AM94" s="8">
        <f t="shared" si="160"/>
        <v>4.65E-2</v>
      </c>
      <c r="AN94" s="2">
        <f t="shared" si="91"/>
        <v>101.55000000000001</v>
      </c>
      <c r="AO94" s="2">
        <f t="shared" si="161"/>
        <v>1</v>
      </c>
      <c r="AP94" s="2">
        <f t="shared" si="119"/>
        <v>0</v>
      </c>
      <c r="AQ94" s="8">
        <f t="shared" si="172"/>
        <v>4.1300000000000003E-2</v>
      </c>
      <c r="AR94" s="2">
        <f t="shared" si="113"/>
        <v>0</v>
      </c>
      <c r="AS94" s="2">
        <f t="shared" si="173"/>
        <v>0</v>
      </c>
      <c r="AT94" s="2">
        <f t="shared" si="209"/>
        <v>0</v>
      </c>
      <c r="AU94" s="2">
        <f t="shared" si="92"/>
        <v>0</v>
      </c>
      <c r="AV94" s="2">
        <f t="shared" si="82"/>
        <v>2.3237430424924241</v>
      </c>
      <c r="AW94" s="1">
        <f t="shared" ref="AW94:AW125" si="231">IF(AT94&lt;&gt;0,MIN(IF(AK94&lt;&gt;"",AK94,0),ROUNDDOWN(AV94/zamiana_TOS,0)),0)</f>
        <v>0</v>
      </c>
      <c r="AX94" s="2">
        <f t="shared" si="182"/>
        <v>2.3237430424924241</v>
      </c>
      <c r="AY94" s="1">
        <f t="shared" si="83"/>
        <v>0</v>
      </c>
      <c r="AZ94" s="2">
        <f t="shared" si="210"/>
        <v>2.3237430424924241</v>
      </c>
      <c r="BA94" s="2">
        <f t="shared" si="93"/>
        <v>132321.9737430425</v>
      </c>
      <c r="BB94" s="2">
        <f t="shared" si="183"/>
        <v>0</v>
      </c>
      <c r="BC94" s="2">
        <f t="shared" si="211"/>
        <v>832.24873442265095</v>
      </c>
      <c r="BD94" s="2">
        <f t="shared" si="184"/>
        <v>131489.72500861986</v>
      </c>
      <c r="BE94" s="2">
        <f t="shared" si="212"/>
        <v>1303</v>
      </c>
      <c r="BF94" s="2">
        <f t="shared" si="185"/>
        <v>5893.6050111780751</v>
      </c>
      <c r="BG94" s="2">
        <f t="shared" si="186"/>
        <v>124293.11999744178</v>
      </c>
      <c r="BI94" s="8">
        <f t="shared" si="162"/>
        <v>2.8000000000000001E-2</v>
      </c>
      <c r="BJ94" s="5">
        <f t="shared" si="213"/>
        <v>1044</v>
      </c>
      <c r="BK94" s="2">
        <f t="shared" si="214"/>
        <v>104295.6</v>
      </c>
      <c r="BL94" s="2">
        <f t="shared" si="215"/>
        <v>104400</v>
      </c>
      <c r="BM94" s="2">
        <f t="shared" si="187"/>
        <v>104400</v>
      </c>
      <c r="BN94" s="8">
        <f t="shared" si="188"/>
        <v>4.2999999999999997E-2</v>
      </c>
      <c r="BO94" s="2">
        <f t="shared" si="189"/>
        <v>105896.4</v>
      </c>
      <c r="BP94" s="2" t="str">
        <f t="shared" si="190"/>
        <v>nie</v>
      </c>
      <c r="BQ94" s="2">
        <f t="shared" si="191"/>
        <v>2088</v>
      </c>
      <c r="BR94" s="1">
        <f t="shared" si="163"/>
        <v>99</v>
      </c>
      <c r="BS94" s="1">
        <f t="shared" si="174"/>
        <v>109</v>
      </c>
      <c r="BT94" s="1">
        <f t="shared" si="229"/>
        <v>7</v>
      </c>
      <c r="BU94" s="1">
        <f t="shared" si="167"/>
        <v>47</v>
      </c>
      <c r="BV94" s="2">
        <f t="shared" si="94"/>
        <v>9900</v>
      </c>
      <c r="BW94" s="8">
        <f t="shared" si="164"/>
        <v>0.05</v>
      </c>
      <c r="BX94" s="2">
        <f t="shared" si="95"/>
        <v>10065</v>
      </c>
      <c r="BY94" s="2">
        <f t="shared" si="165"/>
        <v>165</v>
      </c>
      <c r="BZ94" s="2">
        <f t="shared" si="120"/>
        <v>16300</v>
      </c>
      <c r="CA94" s="8">
        <f t="shared" si="175"/>
        <v>4.2999999999999997E-2</v>
      </c>
      <c r="CB94" s="2">
        <f t="shared" si="117"/>
        <v>16533.633333333331</v>
      </c>
      <c r="CC94" s="2">
        <f t="shared" si="176"/>
        <v>326</v>
      </c>
      <c r="CD94" s="2">
        <f t="shared" si="192"/>
        <v>0</v>
      </c>
      <c r="CE94" s="2">
        <f t="shared" si="96"/>
        <v>0</v>
      </c>
      <c r="CF94" s="2">
        <f t="shared" si="97"/>
        <v>72.899999999945067</v>
      </c>
      <c r="CG94" s="1">
        <f t="shared" ref="CG94:CG125" si="232">IF(CD94&lt;&gt;0,MIN(IF(BU94&lt;&gt;"",BU94,0),ROUNDDOWN(CF94/zamiana_COI,0)),0)</f>
        <v>0</v>
      </c>
      <c r="CH94" s="2">
        <f t="shared" si="193"/>
        <v>72.899999999945067</v>
      </c>
      <c r="CI94" s="1">
        <f t="shared" si="89"/>
        <v>0</v>
      </c>
      <c r="CJ94" s="2">
        <f t="shared" si="98"/>
        <v>72.899999999945067</v>
      </c>
      <c r="CK94" s="2">
        <f t="shared" si="99"/>
        <v>132567.93333333326</v>
      </c>
      <c r="CL94" s="2">
        <f t="shared" si="194"/>
        <v>0</v>
      </c>
      <c r="CM94" s="2">
        <f t="shared" si="216"/>
        <v>833.20852999999966</v>
      </c>
      <c r="CN94" s="2">
        <f t="shared" si="195"/>
        <v>131734.72480333326</v>
      </c>
      <c r="CO94" s="2">
        <f t="shared" si="217"/>
        <v>2579</v>
      </c>
      <c r="CP94" s="2">
        <f t="shared" si="196"/>
        <v>5697.8973333333197</v>
      </c>
      <c r="CQ94" s="2">
        <f t="shared" si="197"/>
        <v>123457.82746999993</v>
      </c>
      <c r="CS94" s="5">
        <f t="shared" si="218"/>
        <v>1000</v>
      </c>
      <c r="CT94" s="2">
        <f t="shared" si="219"/>
        <v>100000</v>
      </c>
      <c r="CU94" s="2">
        <f t="shared" si="220"/>
        <v>100000</v>
      </c>
      <c r="CV94" s="2">
        <f t="shared" si="221"/>
        <v>133496.63890294704</v>
      </c>
      <c r="CW94" s="8">
        <f t="shared" si="198"/>
        <v>4.8000000000000001E-2</v>
      </c>
      <c r="CX94" s="2">
        <f t="shared" si="199"/>
        <v>135632.58512539419</v>
      </c>
      <c r="CY94" s="2" t="str">
        <f t="shared" si="200"/>
        <v>nie</v>
      </c>
      <c r="CZ94" s="2">
        <f t="shared" si="222"/>
        <v>0</v>
      </c>
      <c r="DA94" s="2">
        <f t="shared" si="223"/>
        <v>0</v>
      </c>
      <c r="DB94" s="2">
        <f t="shared" si="224"/>
        <v>135632.58512539419</v>
      </c>
      <c r="DC94" s="2">
        <f t="shared" si="201"/>
        <v>0</v>
      </c>
      <c r="DD94" s="2">
        <f t="shared" si="225"/>
        <v>847.00155602320501</v>
      </c>
      <c r="DE94" s="2">
        <f t="shared" si="226"/>
        <v>134785.583569371</v>
      </c>
      <c r="DF94" s="2">
        <f t="shared" si="202"/>
        <v>3000</v>
      </c>
      <c r="DG94" s="2">
        <f t="shared" si="203"/>
        <v>6200.1911738248973</v>
      </c>
      <c r="DH94" s="2">
        <f t="shared" si="227"/>
        <v>125585.39239554609</v>
      </c>
    </row>
    <row r="95" spans="2:112">
      <c r="B95" s="228"/>
      <c r="C95" s="1">
        <f t="shared" si="168"/>
        <v>58</v>
      </c>
      <c r="D95" s="2">
        <f t="shared" si="105"/>
        <v>123572.43660923174</v>
      </c>
      <c r="E95" s="2">
        <f t="shared" si="106"/>
        <v>118071.89344353174</v>
      </c>
      <c r="F95" s="2">
        <f t="shared" si="107"/>
        <v>123712.25809999996</v>
      </c>
      <c r="G95" s="2">
        <f t="shared" si="108"/>
        <v>117176.67709999997</v>
      </c>
      <c r="H95" s="2">
        <f t="shared" si="109"/>
        <v>125888.69653020674</v>
      </c>
      <c r="I95" s="2">
        <f t="shared" si="110"/>
        <v>118440.81455288321</v>
      </c>
      <c r="J95" s="2">
        <f t="shared" si="169"/>
        <v>118074.93666423185</v>
      </c>
      <c r="K95" s="2">
        <f t="shared" si="170"/>
        <v>114285.09125179735</v>
      </c>
      <c r="W95" s="1">
        <f t="shared" si="204"/>
        <v>77</v>
      </c>
      <c r="X95" s="2">
        <f t="shared" si="177"/>
        <v>119397.74611592462</v>
      </c>
      <c r="Y95" s="8">
        <f t="shared" si="230"/>
        <v>4.1300000000000003E-2</v>
      </c>
      <c r="Z95" s="5">
        <f t="shared" si="205"/>
        <v>1302</v>
      </c>
      <c r="AA95" s="2">
        <f t="shared" si="206"/>
        <v>130069.8</v>
      </c>
      <c r="AB95" s="2">
        <f t="shared" si="207"/>
        <v>130200</v>
      </c>
      <c r="AC95" s="2">
        <f t="shared" si="208"/>
        <v>130200</v>
      </c>
      <c r="AD95" s="8">
        <f t="shared" si="178"/>
        <v>4.65E-2</v>
      </c>
      <c r="AE95" s="2">
        <f t="shared" si="179"/>
        <v>132722.625</v>
      </c>
      <c r="AF95" s="2" t="str">
        <f t="shared" si="180"/>
        <v>nie</v>
      </c>
      <c r="AG95" s="2">
        <f t="shared" si="181"/>
        <v>1302</v>
      </c>
      <c r="AH95" s="1">
        <f t="shared" ref="AH95:AH158" si="233">IF(AT94&lt;&gt;0,AW94+AY94,AH94)</f>
        <v>1</v>
      </c>
      <c r="AI95" s="1">
        <f t="shared" si="171"/>
        <v>0</v>
      </c>
      <c r="AJ95" s="1">
        <f t="shared" si="228"/>
        <v>0</v>
      </c>
      <c r="AK95" s="1">
        <f t="shared" si="166"/>
        <v>0</v>
      </c>
      <c r="AL95" s="2">
        <f t="shared" si="90"/>
        <v>100</v>
      </c>
      <c r="AM95" s="8">
        <f t="shared" ref="AM95:AM126" si="234">proc_I_okres_TOS</f>
        <v>4.65E-2</v>
      </c>
      <c r="AN95" s="2">
        <f t="shared" si="91"/>
        <v>101.93749999999999</v>
      </c>
      <c r="AO95" s="2">
        <f t="shared" ref="AO95:AO126" si="235">MIN(AH95*koszt_wczesniejszy_wykup_TOS,AN95-AL95)</f>
        <v>1</v>
      </c>
      <c r="AP95" s="2">
        <f t="shared" si="119"/>
        <v>0</v>
      </c>
      <c r="AQ95" s="8">
        <f t="shared" si="172"/>
        <v>4.1300000000000003E-2</v>
      </c>
      <c r="AR95" s="2">
        <f t="shared" si="113"/>
        <v>0</v>
      </c>
      <c r="AS95" s="2">
        <f t="shared" si="173"/>
        <v>0</v>
      </c>
      <c r="AT95" s="2">
        <f t="shared" si="209"/>
        <v>0</v>
      </c>
      <c r="AU95" s="2">
        <f t="shared" si="92"/>
        <v>0</v>
      </c>
      <c r="AV95" s="2">
        <f t="shared" ref="AV95:AV158" si="236">AZ94+AT95+AU95</f>
        <v>2.3237430424924241</v>
      </c>
      <c r="AW95" s="1">
        <f t="shared" si="231"/>
        <v>0</v>
      </c>
      <c r="AX95" s="2">
        <f t="shared" si="182"/>
        <v>2.3237430424924241</v>
      </c>
      <c r="AY95" s="1">
        <f t="shared" ref="AY95:AY158" si="237">ROUNDDOWN(AX95/100,0)</f>
        <v>0</v>
      </c>
      <c r="AZ95" s="2">
        <f t="shared" si="210"/>
        <v>2.3237430424924241</v>
      </c>
      <c r="BA95" s="2">
        <f t="shared" si="93"/>
        <v>132826.88624304248</v>
      </c>
      <c r="BB95" s="2">
        <f t="shared" si="183"/>
        <v>0</v>
      </c>
      <c r="BC95" s="2">
        <f t="shared" si="211"/>
        <v>832.24873442265095</v>
      </c>
      <c r="BD95" s="2">
        <f t="shared" si="184"/>
        <v>131994.63750861984</v>
      </c>
      <c r="BE95" s="2">
        <f t="shared" si="212"/>
        <v>1303</v>
      </c>
      <c r="BF95" s="2">
        <f t="shared" si="185"/>
        <v>5989.5383861780711</v>
      </c>
      <c r="BG95" s="2">
        <f t="shared" si="186"/>
        <v>124702.09912244177</v>
      </c>
      <c r="BI95" s="8">
        <f t="shared" ref="BI95:BI126" si="238">MAX(INDEX(scenariusz_I_inflacja,MATCH(ROUNDUP(W95/12,0)-1,scenariusz_I_rok,0)),0)</f>
        <v>2.8000000000000001E-2</v>
      </c>
      <c r="BJ95" s="5">
        <f t="shared" si="213"/>
        <v>1044</v>
      </c>
      <c r="BK95" s="2">
        <f t="shared" si="214"/>
        <v>104295.6</v>
      </c>
      <c r="BL95" s="2">
        <f t="shared" si="215"/>
        <v>104400</v>
      </c>
      <c r="BM95" s="2">
        <f t="shared" si="187"/>
        <v>104400</v>
      </c>
      <c r="BN95" s="8">
        <f t="shared" si="188"/>
        <v>4.2999999999999997E-2</v>
      </c>
      <c r="BO95" s="2">
        <f t="shared" si="189"/>
        <v>106270.49999999999</v>
      </c>
      <c r="BP95" s="2" t="str">
        <f t="shared" si="190"/>
        <v>nie</v>
      </c>
      <c r="BQ95" s="2">
        <f t="shared" si="191"/>
        <v>2088</v>
      </c>
      <c r="BR95" s="1">
        <f t="shared" ref="BR95:BR126" si="239">IF(CD94&lt;&gt;0,CG94+CI94,BR94)</f>
        <v>99</v>
      </c>
      <c r="BS95" s="1">
        <f t="shared" si="174"/>
        <v>109</v>
      </c>
      <c r="BT95" s="1">
        <f t="shared" si="229"/>
        <v>7</v>
      </c>
      <c r="BU95" s="1">
        <f t="shared" si="167"/>
        <v>47</v>
      </c>
      <c r="BV95" s="2">
        <f t="shared" si="94"/>
        <v>9900</v>
      </c>
      <c r="BW95" s="8">
        <f t="shared" ref="BW95:BW126" si="240">proc_I_okres_COI</f>
        <v>0.05</v>
      </c>
      <c r="BX95" s="2">
        <f t="shared" si="95"/>
        <v>10106.25</v>
      </c>
      <c r="BY95" s="2">
        <f t="shared" ref="BY95:BY126" si="241">MIN(BR95*koszt_wczesniejszy_wykup_COI,BX95-BV95)</f>
        <v>198</v>
      </c>
      <c r="BZ95" s="2">
        <f t="shared" si="120"/>
        <v>16300</v>
      </c>
      <c r="CA95" s="8">
        <f t="shared" si="175"/>
        <v>4.2999999999999997E-2</v>
      </c>
      <c r="CB95" s="2">
        <f t="shared" si="117"/>
        <v>16592.041666666664</v>
      </c>
      <c r="CC95" s="2">
        <f t="shared" si="176"/>
        <v>326</v>
      </c>
      <c r="CD95" s="2">
        <f t="shared" si="192"/>
        <v>0</v>
      </c>
      <c r="CE95" s="2">
        <f t="shared" si="96"/>
        <v>0</v>
      </c>
      <c r="CF95" s="2">
        <f t="shared" si="97"/>
        <v>72.899999999945067</v>
      </c>
      <c r="CG95" s="1">
        <f t="shared" si="232"/>
        <v>0</v>
      </c>
      <c r="CH95" s="2">
        <f t="shared" si="193"/>
        <v>72.899999999945067</v>
      </c>
      <c r="CI95" s="1">
        <f t="shared" ref="CI95:CI158" si="242">ROUNDDOWN(CH95/100,0)</f>
        <v>0</v>
      </c>
      <c r="CJ95" s="2">
        <f t="shared" si="98"/>
        <v>72.899999999945067</v>
      </c>
      <c r="CK95" s="2">
        <f t="shared" si="99"/>
        <v>133041.69166666659</v>
      </c>
      <c r="CL95" s="2">
        <f t="shared" si="194"/>
        <v>0</v>
      </c>
      <c r="CM95" s="2">
        <f t="shared" si="216"/>
        <v>833.20852999999966</v>
      </c>
      <c r="CN95" s="2">
        <f t="shared" si="195"/>
        <v>132208.48313666659</v>
      </c>
      <c r="CO95" s="2">
        <f t="shared" si="217"/>
        <v>2612</v>
      </c>
      <c r="CP95" s="2">
        <f t="shared" si="196"/>
        <v>5781.6414166666527</v>
      </c>
      <c r="CQ95" s="2">
        <f t="shared" si="197"/>
        <v>123814.84171999994</v>
      </c>
      <c r="CS95" s="5">
        <f t="shared" si="218"/>
        <v>1000</v>
      </c>
      <c r="CT95" s="2">
        <f t="shared" si="219"/>
        <v>100000</v>
      </c>
      <c r="CU95" s="2">
        <f t="shared" si="220"/>
        <v>100000</v>
      </c>
      <c r="CV95" s="2">
        <f t="shared" si="221"/>
        <v>133496.63890294704</v>
      </c>
      <c r="CW95" s="8">
        <f t="shared" si="198"/>
        <v>4.8000000000000001E-2</v>
      </c>
      <c r="CX95" s="2">
        <f t="shared" si="199"/>
        <v>136166.571681006</v>
      </c>
      <c r="CY95" s="2" t="str">
        <f t="shared" si="200"/>
        <v>nie</v>
      </c>
      <c r="CZ95" s="2">
        <f t="shared" si="222"/>
        <v>0</v>
      </c>
      <c r="DA95" s="2">
        <f t="shared" si="223"/>
        <v>0</v>
      </c>
      <c r="DB95" s="2">
        <f t="shared" si="224"/>
        <v>136166.571681006</v>
      </c>
      <c r="DC95" s="2">
        <f t="shared" si="201"/>
        <v>0</v>
      </c>
      <c r="DD95" s="2">
        <f t="shared" si="225"/>
        <v>847.00155602320501</v>
      </c>
      <c r="DE95" s="2">
        <f t="shared" si="226"/>
        <v>135319.5701249828</v>
      </c>
      <c r="DF95" s="2">
        <f t="shared" si="202"/>
        <v>3000</v>
      </c>
      <c r="DG95" s="2">
        <f t="shared" si="203"/>
        <v>6301.6486193911396</v>
      </c>
      <c r="DH95" s="2">
        <f t="shared" si="227"/>
        <v>126017.92150559166</v>
      </c>
    </row>
    <row r="96" spans="2:112">
      <c r="B96" s="229"/>
      <c r="C96" s="1">
        <f t="shared" si="168"/>
        <v>59</v>
      </c>
      <c r="D96" s="2">
        <f t="shared" si="105"/>
        <v>124035.13350298173</v>
      </c>
      <c r="E96" s="2">
        <f t="shared" si="106"/>
        <v>118446.67792746922</v>
      </c>
      <c r="F96" s="2">
        <f t="shared" si="107"/>
        <v>124201.05809999994</v>
      </c>
      <c r="G96" s="2">
        <f t="shared" si="108"/>
        <v>117572.60509999994</v>
      </c>
      <c r="H96" s="2">
        <f t="shared" si="109"/>
        <v>126374.88847306755</v>
      </c>
      <c r="I96" s="2">
        <f t="shared" si="110"/>
        <v>118834.63002660047</v>
      </c>
      <c r="J96" s="2">
        <f t="shared" si="169"/>
        <v>118413.66413878737</v>
      </c>
      <c r="K96" s="2">
        <f t="shared" si="170"/>
        <v>114545.67615041707</v>
      </c>
      <c r="W96" s="1">
        <f t="shared" si="204"/>
        <v>78</v>
      </c>
      <c r="X96" s="2">
        <f t="shared" si="177"/>
        <v>119673.12806742756</v>
      </c>
      <c r="Y96" s="8">
        <f t="shared" si="230"/>
        <v>4.1300000000000003E-2</v>
      </c>
      <c r="Z96" s="5">
        <f t="shared" si="205"/>
        <v>1302</v>
      </c>
      <c r="AA96" s="2">
        <f t="shared" si="206"/>
        <v>130069.8</v>
      </c>
      <c r="AB96" s="2">
        <f t="shared" si="207"/>
        <v>130200</v>
      </c>
      <c r="AC96" s="2">
        <f t="shared" si="208"/>
        <v>130200</v>
      </c>
      <c r="AD96" s="8">
        <f t="shared" si="178"/>
        <v>4.65E-2</v>
      </c>
      <c r="AE96" s="2">
        <f t="shared" si="179"/>
        <v>133227.15</v>
      </c>
      <c r="AF96" s="2" t="str">
        <f t="shared" si="180"/>
        <v>nie</v>
      </c>
      <c r="AG96" s="2">
        <f t="shared" si="181"/>
        <v>1302</v>
      </c>
      <c r="AH96" s="1">
        <f t="shared" si="233"/>
        <v>1</v>
      </c>
      <c r="AI96" s="1">
        <f t="shared" si="171"/>
        <v>0</v>
      </c>
      <c r="AJ96" s="1">
        <f t="shared" si="228"/>
        <v>0</v>
      </c>
      <c r="AK96" s="1">
        <f t="shared" si="166"/>
        <v>0</v>
      </c>
      <c r="AL96" s="2">
        <f t="shared" ref="AL96:AL159" si="243">AH96*100</f>
        <v>100</v>
      </c>
      <c r="AM96" s="8">
        <f t="shared" si="234"/>
        <v>4.65E-2</v>
      </c>
      <c r="AN96" s="2">
        <f t="shared" ref="AN96:AN159" si="244">AL96*(1+AM96*IF(MOD($W96,12)&lt;&gt;0,MOD($W96,12),12)/12)</f>
        <v>102.325</v>
      </c>
      <c r="AO96" s="2">
        <f t="shared" si="235"/>
        <v>1</v>
      </c>
      <c r="AP96" s="2">
        <f t="shared" si="119"/>
        <v>0</v>
      </c>
      <c r="AQ96" s="8">
        <f t="shared" si="172"/>
        <v>4.1300000000000003E-2</v>
      </c>
      <c r="AR96" s="2">
        <f t="shared" si="113"/>
        <v>0</v>
      </c>
      <c r="AS96" s="2">
        <f t="shared" si="173"/>
        <v>0</v>
      </c>
      <c r="AT96" s="2">
        <f t="shared" si="209"/>
        <v>0</v>
      </c>
      <c r="AU96" s="2">
        <f t="shared" ref="AU96:AU159" si="245">IF(MOD($W96,12)=0,AN96-AL96+AR96-AP96+AK96*100,0)</f>
        <v>0</v>
      </c>
      <c r="AV96" s="2">
        <f t="shared" si="236"/>
        <v>2.3237430424924241</v>
      </c>
      <c r="AW96" s="1">
        <f t="shared" si="231"/>
        <v>0</v>
      </c>
      <c r="AX96" s="2">
        <f t="shared" si="182"/>
        <v>2.3237430424924241</v>
      </c>
      <c r="AY96" s="1">
        <f t="shared" si="237"/>
        <v>0</v>
      </c>
      <c r="AZ96" s="2">
        <f t="shared" si="210"/>
        <v>2.3237430424924241</v>
      </c>
      <c r="BA96" s="2">
        <f t="shared" ref="BA96:BA159" si="246">AE96+AN96+AR96+AZ95</f>
        <v>133331.79874304251</v>
      </c>
      <c r="BB96" s="2">
        <f t="shared" si="183"/>
        <v>0</v>
      </c>
      <c r="BC96" s="2">
        <f t="shared" si="211"/>
        <v>832.24873442265095</v>
      </c>
      <c r="BD96" s="2">
        <f t="shared" si="184"/>
        <v>132499.55000861987</v>
      </c>
      <c r="BE96" s="2">
        <f t="shared" si="212"/>
        <v>1303</v>
      </c>
      <c r="BF96" s="2">
        <f t="shared" si="185"/>
        <v>6085.4717611780779</v>
      </c>
      <c r="BG96" s="2">
        <f t="shared" si="186"/>
        <v>125111.07824744179</v>
      </c>
      <c r="BI96" s="8">
        <f t="shared" si="238"/>
        <v>2.8000000000000001E-2</v>
      </c>
      <c r="BJ96" s="5">
        <f t="shared" si="213"/>
        <v>1044</v>
      </c>
      <c r="BK96" s="2">
        <f t="shared" si="214"/>
        <v>104295.6</v>
      </c>
      <c r="BL96" s="2">
        <f t="shared" si="215"/>
        <v>104400</v>
      </c>
      <c r="BM96" s="2">
        <f t="shared" si="187"/>
        <v>104400</v>
      </c>
      <c r="BN96" s="8">
        <f t="shared" si="188"/>
        <v>4.2999999999999997E-2</v>
      </c>
      <c r="BO96" s="2">
        <f t="shared" si="189"/>
        <v>106644.6</v>
      </c>
      <c r="BP96" s="2" t="str">
        <f t="shared" si="190"/>
        <v>nie</v>
      </c>
      <c r="BQ96" s="2">
        <f t="shared" si="191"/>
        <v>2088</v>
      </c>
      <c r="BR96" s="1">
        <f t="shared" si="239"/>
        <v>99</v>
      </c>
      <c r="BS96" s="1">
        <f t="shared" si="174"/>
        <v>109</v>
      </c>
      <c r="BT96" s="1">
        <f t="shared" si="229"/>
        <v>7</v>
      </c>
      <c r="BU96" s="1">
        <f t="shared" si="167"/>
        <v>47</v>
      </c>
      <c r="BV96" s="2">
        <f t="shared" ref="BV96:BV159" si="247">BR96*100</f>
        <v>9900</v>
      </c>
      <c r="BW96" s="8">
        <f t="shared" si="240"/>
        <v>0.05</v>
      </c>
      <c r="BX96" s="2">
        <f t="shared" ref="BX96:BX159" si="248">BV96*(1+BW96*IF(MOD($W96,12)&lt;&gt;0,MOD($W96,12),12)/12)</f>
        <v>10147.5</v>
      </c>
      <c r="BY96" s="2">
        <f t="shared" si="241"/>
        <v>198</v>
      </c>
      <c r="BZ96" s="2">
        <f t="shared" si="120"/>
        <v>16300</v>
      </c>
      <c r="CA96" s="8">
        <f t="shared" si="175"/>
        <v>4.2999999999999997E-2</v>
      </c>
      <c r="CB96" s="2">
        <f t="shared" ref="CB96:CB159" si="249">BZ96*(1+CA96*IF(MOD($W96,12)&lt;&gt;0,MOD($W96,12),12)/12)</f>
        <v>16650.45</v>
      </c>
      <c r="CC96" s="2">
        <f t="shared" si="176"/>
        <v>326</v>
      </c>
      <c r="CD96" s="2">
        <f t="shared" si="192"/>
        <v>0</v>
      </c>
      <c r="CE96" s="2">
        <f t="shared" ref="CE96:CE159" si="250">IF(MOD($W96,12)=0,BX96-BV96+CB96-BZ96+BU96*100,0)</f>
        <v>0</v>
      </c>
      <c r="CF96" s="2">
        <f t="shared" ref="CF96:CF159" si="251">CJ95+CD96+CE96</f>
        <v>72.899999999945067</v>
      </c>
      <c r="CG96" s="1">
        <f t="shared" si="232"/>
        <v>0</v>
      </c>
      <c r="CH96" s="2">
        <f t="shared" si="193"/>
        <v>72.899999999945067</v>
      </c>
      <c r="CI96" s="1">
        <f t="shared" si="242"/>
        <v>0</v>
      </c>
      <c r="CJ96" s="2">
        <f t="shared" ref="CJ96:CJ159" si="252">CH96-CI96*100</f>
        <v>72.899999999945067</v>
      </c>
      <c r="CK96" s="2">
        <f t="shared" ref="CK96:CK159" si="253">BO96+BX96+CB96+CJ95</f>
        <v>133515.44999999995</v>
      </c>
      <c r="CL96" s="2">
        <f t="shared" si="194"/>
        <v>0</v>
      </c>
      <c r="CM96" s="2">
        <f t="shared" si="216"/>
        <v>833.20852999999966</v>
      </c>
      <c r="CN96" s="2">
        <f t="shared" si="195"/>
        <v>132682.24146999995</v>
      </c>
      <c r="CO96" s="2">
        <f t="shared" si="217"/>
        <v>2612</v>
      </c>
      <c r="CP96" s="2">
        <f t="shared" si="196"/>
        <v>5871.6554999999917</v>
      </c>
      <c r="CQ96" s="2">
        <f t="shared" si="197"/>
        <v>124198.58596999996</v>
      </c>
      <c r="CS96" s="5">
        <f t="shared" si="218"/>
        <v>1000</v>
      </c>
      <c r="CT96" s="2">
        <f t="shared" si="219"/>
        <v>100000</v>
      </c>
      <c r="CU96" s="2">
        <f t="shared" si="220"/>
        <v>100000</v>
      </c>
      <c r="CV96" s="2">
        <f t="shared" si="221"/>
        <v>133496.63890294704</v>
      </c>
      <c r="CW96" s="8">
        <f t="shared" si="198"/>
        <v>4.8000000000000001E-2</v>
      </c>
      <c r="CX96" s="2">
        <f t="shared" si="199"/>
        <v>136700.55823661777</v>
      </c>
      <c r="CY96" s="2" t="str">
        <f t="shared" si="200"/>
        <v>nie</v>
      </c>
      <c r="CZ96" s="2">
        <f t="shared" si="222"/>
        <v>0</v>
      </c>
      <c r="DA96" s="2">
        <f t="shared" si="223"/>
        <v>0</v>
      </c>
      <c r="DB96" s="2">
        <f t="shared" si="224"/>
        <v>136700.55823661777</v>
      </c>
      <c r="DC96" s="2">
        <f t="shared" si="201"/>
        <v>0</v>
      </c>
      <c r="DD96" s="2">
        <f t="shared" si="225"/>
        <v>847.00155602320501</v>
      </c>
      <c r="DE96" s="2">
        <f t="shared" si="226"/>
        <v>135853.55668059457</v>
      </c>
      <c r="DF96" s="2">
        <f t="shared" si="202"/>
        <v>3000</v>
      </c>
      <c r="DG96" s="2">
        <f t="shared" si="203"/>
        <v>6403.1060649573765</v>
      </c>
      <c r="DH96" s="2">
        <f t="shared" si="227"/>
        <v>126450.45061563719</v>
      </c>
    </row>
    <row r="97" spans="2:112">
      <c r="B97" s="227">
        <f>ROUNDUP(C98/12,0)</f>
        <v>6</v>
      </c>
      <c r="C97" s="3">
        <f t="shared" si="168"/>
        <v>60</v>
      </c>
      <c r="D97" s="10">
        <f t="shared" si="105"/>
        <v>124335.31563156898</v>
      </c>
      <c r="E97" s="10">
        <f t="shared" si="106"/>
        <v>118658.94764624399</v>
      </c>
      <c r="F97" s="10">
        <f t="shared" si="107"/>
        <v>124527.09354999996</v>
      </c>
      <c r="G97" s="10">
        <f t="shared" si="108"/>
        <v>117805.76854999996</v>
      </c>
      <c r="H97" s="10">
        <f t="shared" si="109"/>
        <v>126695.48344018996</v>
      </c>
      <c r="I97" s="10">
        <f t="shared" si="110"/>
        <v>119062.84852457933</v>
      </c>
      <c r="J97" s="10">
        <f t="shared" si="169"/>
        <v>118753.36333778551</v>
      </c>
      <c r="K97" s="10">
        <f t="shared" si="170"/>
        <v>114806.2610490368</v>
      </c>
      <c r="W97" s="1">
        <f t="shared" si="204"/>
        <v>79</v>
      </c>
      <c r="X97" s="2">
        <f t="shared" si="177"/>
        <v>119948.51001893052</v>
      </c>
      <c r="Y97" s="8">
        <f t="shared" si="230"/>
        <v>4.1300000000000003E-2</v>
      </c>
      <c r="Z97" s="5">
        <f t="shared" si="205"/>
        <v>1302</v>
      </c>
      <c r="AA97" s="2">
        <f t="shared" si="206"/>
        <v>130069.8</v>
      </c>
      <c r="AB97" s="2">
        <f t="shared" si="207"/>
        <v>130200</v>
      </c>
      <c r="AC97" s="2">
        <f t="shared" si="208"/>
        <v>130200</v>
      </c>
      <c r="AD97" s="8">
        <f t="shared" si="178"/>
        <v>4.65E-2</v>
      </c>
      <c r="AE97" s="2">
        <f t="shared" si="179"/>
        <v>133731.67500000002</v>
      </c>
      <c r="AF97" s="2" t="str">
        <f t="shared" si="180"/>
        <v>nie</v>
      </c>
      <c r="AG97" s="2">
        <f t="shared" si="181"/>
        <v>1302</v>
      </c>
      <c r="AH97" s="1">
        <f t="shared" si="233"/>
        <v>1</v>
      </c>
      <c r="AI97" s="1">
        <f t="shared" si="171"/>
        <v>0</v>
      </c>
      <c r="AJ97" s="1">
        <f t="shared" si="228"/>
        <v>0</v>
      </c>
      <c r="AK97" s="1">
        <f t="shared" si="166"/>
        <v>0</v>
      </c>
      <c r="AL97" s="2">
        <f t="shared" si="243"/>
        <v>100</v>
      </c>
      <c r="AM97" s="8">
        <f t="shared" si="234"/>
        <v>4.65E-2</v>
      </c>
      <c r="AN97" s="2">
        <f t="shared" si="244"/>
        <v>102.71250000000001</v>
      </c>
      <c r="AO97" s="2">
        <f t="shared" si="235"/>
        <v>1</v>
      </c>
      <c r="AP97" s="2">
        <f t="shared" si="119"/>
        <v>0</v>
      </c>
      <c r="AQ97" s="8">
        <f t="shared" si="172"/>
        <v>4.1300000000000003E-2</v>
      </c>
      <c r="AR97" s="2">
        <f t="shared" si="113"/>
        <v>0</v>
      </c>
      <c r="AS97" s="2">
        <f t="shared" si="173"/>
        <v>0</v>
      </c>
      <c r="AT97" s="2">
        <f t="shared" si="209"/>
        <v>0</v>
      </c>
      <c r="AU97" s="2">
        <f t="shared" si="245"/>
        <v>0</v>
      </c>
      <c r="AV97" s="2">
        <f t="shared" si="236"/>
        <v>2.3237430424924241</v>
      </c>
      <c r="AW97" s="1">
        <f t="shared" si="231"/>
        <v>0</v>
      </c>
      <c r="AX97" s="2">
        <f t="shared" si="182"/>
        <v>2.3237430424924241</v>
      </c>
      <c r="AY97" s="1">
        <f t="shared" si="237"/>
        <v>0</v>
      </c>
      <c r="AZ97" s="2">
        <f t="shared" si="210"/>
        <v>2.3237430424924241</v>
      </c>
      <c r="BA97" s="2">
        <f t="shared" si="246"/>
        <v>133836.71124304249</v>
      </c>
      <c r="BB97" s="2">
        <f t="shared" si="183"/>
        <v>0</v>
      </c>
      <c r="BC97" s="2">
        <f t="shared" si="211"/>
        <v>832.24873442265095</v>
      </c>
      <c r="BD97" s="2">
        <f t="shared" si="184"/>
        <v>133004.46250861985</v>
      </c>
      <c r="BE97" s="2">
        <f t="shared" si="212"/>
        <v>1303</v>
      </c>
      <c r="BF97" s="2">
        <f t="shared" si="185"/>
        <v>6181.405136178073</v>
      </c>
      <c r="BG97" s="2">
        <f t="shared" si="186"/>
        <v>125520.05737244178</v>
      </c>
      <c r="BI97" s="8">
        <f t="shared" si="238"/>
        <v>2.8000000000000001E-2</v>
      </c>
      <c r="BJ97" s="5">
        <f t="shared" si="213"/>
        <v>1044</v>
      </c>
      <c r="BK97" s="2">
        <f t="shared" si="214"/>
        <v>104295.6</v>
      </c>
      <c r="BL97" s="2">
        <f t="shared" si="215"/>
        <v>104400</v>
      </c>
      <c r="BM97" s="2">
        <f t="shared" si="187"/>
        <v>104400</v>
      </c>
      <c r="BN97" s="8">
        <f t="shared" si="188"/>
        <v>4.2999999999999997E-2</v>
      </c>
      <c r="BO97" s="2">
        <f t="shared" si="189"/>
        <v>107018.7</v>
      </c>
      <c r="BP97" s="2" t="str">
        <f t="shared" si="190"/>
        <v>nie</v>
      </c>
      <c r="BQ97" s="2">
        <f t="shared" si="191"/>
        <v>2088</v>
      </c>
      <c r="BR97" s="1">
        <f t="shared" si="239"/>
        <v>99</v>
      </c>
      <c r="BS97" s="1">
        <f t="shared" si="174"/>
        <v>109</v>
      </c>
      <c r="BT97" s="1">
        <f t="shared" si="229"/>
        <v>7</v>
      </c>
      <c r="BU97" s="1">
        <f t="shared" si="167"/>
        <v>47</v>
      </c>
      <c r="BV97" s="2">
        <f t="shared" si="247"/>
        <v>9900</v>
      </c>
      <c r="BW97" s="8">
        <f t="shared" si="240"/>
        <v>0.05</v>
      </c>
      <c r="BX97" s="2">
        <f t="shared" si="248"/>
        <v>10188.749999999998</v>
      </c>
      <c r="BY97" s="2">
        <f t="shared" si="241"/>
        <v>198</v>
      </c>
      <c r="BZ97" s="2">
        <f t="shared" si="120"/>
        <v>16300</v>
      </c>
      <c r="CA97" s="8">
        <f t="shared" si="175"/>
        <v>4.2999999999999997E-2</v>
      </c>
      <c r="CB97" s="2">
        <f t="shared" si="249"/>
        <v>16708.858333333334</v>
      </c>
      <c r="CC97" s="2">
        <f t="shared" si="176"/>
        <v>326</v>
      </c>
      <c r="CD97" s="2">
        <f t="shared" si="192"/>
        <v>0</v>
      </c>
      <c r="CE97" s="2">
        <f t="shared" si="250"/>
        <v>0</v>
      </c>
      <c r="CF97" s="2">
        <f t="shared" si="251"/>
        <v>72.899999999945067</v>
      </c>
      <c r="CG97" s="1">
        <f t="shared" si="232"/>
        <v>0</v>
      </c>
      <c r="CH97" s="2">
        <f t="shared" si="193"/>
        <v>72.899999999945067</v>
      </c>
      <c r="CI97" s="1">
        <f t="shared" si="242"/>
        <v>0</v>
      </c>
      <c r="CJ97" s="2">
        <f t="shared" si="252"/>
        <v>72.899999999945067</v>
      </c>
      <c r="CK97" s="2">
        <f t="shared" si="253"/>
        <v>133989.20833333326</v>
      </c>
      <c r="CL97" s="2">
        <f t="shared" si="194"/>
        <v>0</v>
      </c>
      <c r="CM97" s="2">
        <f t="shared" si="216"/>
        <v>833.20852999999966</v>
      </c>
      <c r="CN97" s="2">
        <f t="shared" si="195"/>
        <v>133155.99980333325</v>
      </c>
      <c r="CO97" s="2">
        <f t="shared" si="217"/>
        <v>2612</v>
      </c>
      <c r="CP97" s="2">
        <f t="shared" si="196"/>
        <v>5961.6695833333188</v>
      </c>
      <c r="CQ97" s="2">
        <f t="shared" si="197"/>
        <v>124582.33021999993</v>
      </c>
      <c r="CS97" s="5">
        <f t="shared" si="218"/>
        <v>1000</v>
      </c>
      <c r="CT97" s="2">
        <f t="shared" si="219"/>
        <v>100000</v>
      </c>
      <c r="CU97" s="2">
        <f t="shared" si="220"/>
        <v>100000</v>
      </c>
      <c r="CV97" s="2">
        <f t="shared" si="221"/>
        <v>133496.63890294704</v>
      </c>
      <c r="CW97" s="8">
        <f t="shared" si="198"/>
        <v>4.8000000000000001E-2</v>
      </c>
      <c r="CX97" s="2">
        <f t="shared" si="199"/>
        <v>137234.54479222957</v>
      </c>
      <c r="CY97" s="2" t="str">
        <f t="shared" si="200"/>
        <v>nie</v>
      </c>
      <c r="CZ97" s="2">
        <f t="shared" si="222"/>
        <v>0</v>
      </c>
      <c r="DA97" s="2">
        <f t="shared" si="223"/>
        <v>0</v>
      </c>
      <c r="DB97" s="2">
        <f t="shared" si="224"/>
        <v>137234.54479222957</v>
      </c>
      <c r="DC97" s="2">
        <f t="shared" si="201"/>
        <v>0</v>
      </c>
      <c r="DD97" s="2">
        <f t="shared" si="225"/>
        <v>847.00155602320501</v>
      </c>
      <c r="DE97" s="2">
        <f t="shared" si="226"/>
        <v>136387.54323620637</v>
      </c>
      <c r="DF97" s="2">
        <f t="shared" si="202"/>
        <v>3000</v>
      </c>
      <c r="DG97" s="2">
        <f t="shared" si="203"/>
        <v>6504.5635105236188</v>
      </c>
      <c r="DH97" s="2">
        <f t="shared" si="227"/>
        <v>126882.97972568276</v>
      </c>
    </row>
    <row r="98" spans="2:112">
      <c r="B98" s="228"/>
      <c r="C98" s="1">
        <f t="shared" si="168"/>
        <v>61</v>
      </c>
      <c r="D98" s="2">
        <f t="shared" si="105"/>
        <v>124819.52793087836</v>
      </c>
      <c r="E98" s="2">
        <f t="shared" si="106"/>
        <v>119051.15960868458</v>
      </c>
      <c r="F98" s="2">
        <f t="shared" si="107"/>
        <v>124987.08521666662</v>
      </c>
      <c r="G98" s="2">
        <f t="shared" si="108"/>
        <v>118222.57429999995</v>
      </c>
      <c r="H98" s="2">
        <f t="shared" si="109"/>
        <v>127205.01259630808</v>
      </c>
      <c r="I98" s="2">
        <f t="shared" si="110"/>
        <v>119475.567141035</v>
      </c>
      <c r="J98" s="2">
        <f t="shared" si="169"/>
        <v>119094.03704886079</v>
      </c>
      <c r="K98" s="2">
        <f t="shared" si="170"/>
        <v>115074.14232481788</v>
      </c>
      <c r="W98" s="1">
        <f t="shared" si="204"/>
        <v>80</v>
      </c>
      <c r="X98" s="2">
        <f t="shared" si="177"/>
        <v>120223.89197043347</v>
      </c>
      <c r="Y98" s="8">
        <f t="shared" si="230"/>
        <v>4.1300000000000003E-2</v>
      </c>
      <c r="Z98" s="5">
        <f t="shared" si="205"/>
        <v>1302</v>
      </c>
      <c r="AA98" s="2">
        <f t="shared" si="206"/>
        <v>130069.8</v>
      </c>
      <c r="AB98" s="2">
        <f t="shared" si="207"/>
        <v>130200</v>
      </c>
      <c r="AC98" s="2">
        <f t="shared" si="208"/>
        <v>130200</v>
      </c>
      <c r="AD98" s="8">
        <f t="shared" si="178"/>
        <v>4.65E-2</v>
      </c>
      <c r="AE98" s="2">
        <f t="shared" si="179"/>
        <v>134236.19999999998</v>
      </c>
      <c r="AF98" s="2" t="str">
        <f t="shared" si="180"/>
        <v>nie</v>
      </c>
      <c r="AG98" s="2">
        <f t="shared" si="181"/>
        <v>1302</v>
      </c>
      <c r="AH98" s="1">
        <f t="shared" si="233"/>
        <v>1</v>
      </c>
      <c r="AI98" s="1">
        <f t="shared" si="171"/>
        <v>0</v>
      </c>
      <c r="AJ98" s="1">
        <f t="shared" si="228"/>
        <v>0</v>
      </c>
      <c r="AK98" s="1">
        <f t="shared" si="166"/>
        <v>0</v>
      </c>
      <c r="AL98" s="2">
        <f t="shared" si="243"/>
        <v>100</v>
      </c>
      <c r="AM98" s="8">
        <f t="shared" si="234"/>
        <v>4.65E-2</v>
      </c>
      <c r="AN98" s="2">
        <f t="shared" si="244"/>
        <v>103.1</v>
      </c>
      <c r="AO98" s="2">
        <f t="shared" si="235"/>
        <v>1</v>
      </c>
      <c r="AP98" s="2">
        <f t="shared" si="119"/>
        <v>0</v>
      </c>
      <c r="AQ98" s="8">
        <f t="shared" si="172"/>
        <v>4.1300000000000003E-2</v>
      </c>
      <c r="AR98" s="2">
        <f t="shared" si="113"/>
        <v>0</v>
      </c>
      <c r="AS98" s="2">
        <f t="shared" si="173"/>
        <v>0</v>
      </c>
      <c r="AT98" s="2">
        <f t="shared" si="209"/>
        <v>0</v>
      </c>
      <c r="AU98" s="2">
        <f t="shared" si="245"/>
        <v>0</v>
      </c>
      <c r="AV98" s="2">
        <f t="shared" si="236"/>
        <v>2.3237430424924241</v>
      </c>
      <c r="AW98" s="1">
        <f t="shared" si="231"/>
        <v>0</v>
      </c>
      <c r="AX98" s="2">
        <f t="shared" si="182"/>
        <v>2.3237430424924241</v>
      </c>
      <c r="AY98" s="1">
        <f t="shared" si="237"/>
        <v>0</v>
      </c>
      <c r="AZ98" s="2">
        <f t="shared" si="210"/>
        <v>2.3237430424924241</v>
      </c>
      <c r="BA98" s="2">
        <f t="shared" si="246"/>
        <v>134341.62374304247</v>
      </c>
      <c r="BB98" s="2">
        <f t="shared" si="183"/>
        <v>0</v>
      </c>
      <c r="BC98" s="2">
        <f t="shared" si="211"/>
        <v>832.24873442265095</v>
      </c>
      <c r="BD98" s="2">
        <f t="shared" si="184"/>
        <v>133509.37500861983</v>
      </c>
      <c r="BE98" s="2">
        <f t="shared" si="212"/>
        <v>1303</v>
      </c>
      <c r="BF98" s="2">
        <f t="shared" si="185"/>
        <v>6277.338511178069</v>
      </c>
      <c r="BG98" s="2">
        <f t="shared" si="186"/>
        <v>125929.03649744176</v>
      </c>
      <c r="BI98" s="8">
        <f t="shared" si="238"/>
        <v>2.8000000000000001E-2</v>
      </c>
      <c r="BJ98" s="5">
        <f t="shared" si="213"/>
        <v>1044</v>
      </c>
      <c r="BK98" s="2">
        <f t="shared" si="214"/>
        <v>104295.6</v>
      </c>
      <c r="BL98" s="2">
        <f t="shared" si="215"/>
        <v>104400</v>
      </c>
      <c r="BM98" s="2">
        <f t="shared" si="187"/>
        <v>104400</v>
      </c>
      <c r="BN98" s="8">
        <f t="shared" si="188"/>
        <v>4.2999999999999997E-2</v>
      </c>
      <c r="BO98" s="2">
        <f t="shared" si="189"/>
        <v>107392.79999999999</v>
      </c>
      <c r="BP98" s="2" t="str">
        <f t="shared" si="190"/>
        <v>nie</v>
      </c>
      <c r="BQ98" s="2">
        <f t="shared" si="191"/>
        <v>2088</v>
      </c>
      <c r="BR98" s="1">
        <f t="shared" si="239"/>
        <v>99</v>
      </c>
      <c r="BS98" s="1">
        <f t="shared" si="174"/>
        <v>109</v>
      </c>
      <c r="BT98" s="1">
        <f t="shared" si="229"/>
        <v>7</v>
      </c>
      <c r="BU98" s="1">
        <f t="shared" si="167"/>
        <v>47</v>
      </c>
      <c r="BV98" s="2">
        <f t="shared" si="247"/>
        <v>9900</v>
      </c>
      <c r="BW98" s="8">
        <f t="shared" si="240"/>
        <v>0.05</v>
      </c>
      <c r="BX98" s="2">
        <f t="shared" si="248"/>
        <v>10230.000000000002</v>
      </c>
      <c r="BY98" s="2">
        <f t="shared" si="241"/>
        <v>198</v>
      </c>
      <c r="BZ98" s="2">
        <f t="shared" si="120"/>
        <v>16300</v>
      </c>
      <c r="CA98" s="8">
        <f t="shared" si="175"/>
        <v>4.2999999999999997E-2</v>
      </c>
      <c r="CB98" s="2">
        <f t="shared" si="249"/>
        <v>16767.266666666666</v>
      </c>
      <c r="CC98" s="2">
        <f t="shared" si="176"/>
        <v>326</v>
      </c>
      <c r="CD98" s="2">
        <f t="shared" si="192"/>
        <v>0</v>
      </c>
      <c r="CE98" s="2">
        <f t="shared" si="250"/>
        <v>0</v>
      </c>
      <c r="CF98" s="2">
        <f t="shared" si="251"/>
        <v>72.899999999945067</v>
      </c>
      <c r="CG98" s="1">
        <f t="shared" si="232"/>
        <v>0</v>
      </c>
      <c r="CH98" s="2">
        <f t="shared" si="193"/>
        <v>72.899999999945067</v>
      </c>
      <c r="CI98" s="1">
        <f t="shared" si="242"/>
        <v>0</v>
      </c>
      <c r="CJ98" s="2">
        <f t="shared" si="252"/>
        <v>72.899999999945067</v>
      </c>
      <c r="CK98" s="2">
        <f t="shared" si="253"/>
        <v>134462.96666666659</v>
      </c>
      <c r="CL98" s="2">
        <f t="shared" si="194"/>
        <v>0</v>
      </c>
      <c r="CM98" s="2">
        <f t="shared" si="216"/>
        <v>833.20852999999966</v>
      </c>
      <c r="CN98" s="2">
        <f t="shared" si="195"/>
        <v>133629.75813666658</v>
      </c>
      <c r="CO98" s="2">
        <f t="shared" si="217"/>
        <v>2612</v>
      </c>
      <c r="CP98" s="2">
        <f t="shared" si="196"/>
        <v>6051.6836666666513</v>
      </c>
      <c r="CQ98" s="2">
        <f t="shared" si="197"/>
        <v>124966.07446999993</v>
      </c>
      <c r="CS98" s="5">
        <f t="shared" si="218"/>
        <v>1000</v>
      </c>
      <c r="CT98" s="2">
        <f t="shared" si="219"/>
        <v>100000</v>
      </c>
      <c r="CU98" s="2">
        <f t="shared" si="220"/>
        <v>100000</v>
      </c>
      <c r="CV98" s="2">
        <f t="shared" si="221"/>
        <v>133496.63890294704</v>
      </c>
      <c r="CW98" s="8">
        <f t="shared" si="198"/>
        <v>4.8000000000000001E-2</v>
      </c>
      <c r="CX98" s="2">
        <f t="shared" si="199"/>
        <v>137768.53134784134</v>
      </c>
      <c r="CY98" s="2" t="str">
        <f t="shared" si="200"/>
        <v>nie</v>
      </c>
      <c r="CZ98" s="2">
        <f t="shared" si="222"/>
        <v>0</v>
      </c>
      <c r="DA98" s="2">
        <f t="shared" si="223"/>
        <v>0</v>
      </c>
      <c r="DB98" s="2">
        <f t="shared" si="224"/>
        <v>137768.53134784134</v>
      </c>
      <c r="DC98" s="2">
        <f t="shared" si="201"/>
        <v>0</v>
      </c>
      <c r="DD98" s="2">
        <f t="shared" si="225"/>
        <v>847.00155602320501</v>
      </c>
      <c r="DE98" s="2">
        <f t="shared" si="226"/>
        <v>136921.52979181815</v>
      </c>
      <c r="DF98" s="2">
        <f t="shared" si="202"/>
        <v>3000</v>
      </c>
      <c r="DG98" s="2">
        <f t="shared" si="203"/>
        <v>6606.0209560898556</v>
      </c>
      <c r="DH98" s="2">
        <f t="shared" si="227"/>
        <v>127315.50883572829</v>
      </c>
    </row>
    <row r="99" spans="2:112">
      <c r="B99" s="228"/>
      <c r="C99" s="1">
        <f t="shared" si="168"/>
        <v>62</v>
      </c>
      <c r="D99" s="2">
        <f t="shared" si="105"/>
        <v>125303.74023018773</v>
      </c>
      <c r="E99" s="2">
        <f t="shared" si="106"/>
        <v>119443.37157112517</v>
      </c>
      <c r="F99" s="2">
        <f t="shared" si="107"/>
        <v>125442.07688333328</v>
      </c>
      <c r="G99" s="2">
        <f t="shared" si="108"/>
        <v>118554.33004999996</v>
      </c>
      <c r="H99" s="2">
        <f t="shared" si="109"/>
        <v>127714.5417524262</v>
      </c>
      <c r="I99" s="2">
        <f t="shared" si="110"/>
        <v>119888.28575749068</v>
      </c>
      <c r="J99" s="2">
        <f t="shared" si="169"/>
        <v>119435.6880676447</v>
      </c>
      <c r="K99" s="2">
        <f t="shared" si="170"/>
        <v>115342.02360059896</v>
      </c>
      <c r="W99" s="1">
        <f t="shared" si="204"/>
        <v>81</v>
      </c>
      <c r="X99" s="2">
        <f t="shared" si="177"/>
        <v>120499.27392193642</v>
      </c>
      <c r="Y99" s="8">
        <f t="shared" si="230"/>
        <v>4.1300000000000003E-2</v>
      </c>
      <c r="Z99" s="5">
        <f t="shared" si="205"/>
        <v>1302</v>
      </c>
      <c r="AA99" s="2">
        <f t="shared" si="206"/>
        <v>130069.8</v>
      </c>
      <c r="AB99" s="2">
        <f t="shared" si="207"/>
        <v>130200</v>
      </c>
      <c r="AC99" s="2">
        <f t="shared" si="208"/>
        <v>130200</v>
      </c>
      <c r="AD99" s="8">
        <f t="shared" si="178"/>
        <v>4.65E-2</v>
      </c>
      <c r="AE99" s="2">
        <f t="shared" si="179"/>
        <v>134740.72500000001</v>
      </c>
      <c r="AF99" s="2" t="str">
        <f t="shared" si="180"/>
        <v>nie</v>
      </c>
      <c r="AG99" s="2">
        <f t="shared" si="181"/>
        <v>1302</v>
      </c>
      <c r="AH99" s="1">
        <f t="shared" si="233"/>
        <v>1</v>
      </c>
      <c r="AI99" s="1">
        <f t="shared" si="171"/>
        <v>0</v>
      </c>
      <c r="AJ99" s="1">
        <f t="shared" si="228"/>
        <v>0</v>
      </c>
      <c r="AK99" s="1">
        <f t="shared" ref="AK99:AK130" si="254">IF(zapadalnosc_TOS/12&gt;=AK$18,AJ87,0)</f>
        <v>0</v>
      </c>
      <c r="AL99" s="2">
        <f t="shared" si="243"/>
        <v>100</v>
      </c>
      <c r="AM99" s="8">
        <f t="shared" si="234"/>
        <v>4.65E-2</v>
      </c>
      <c r="AN99" s="2">
        <f t="shared" si="244"/>
        <v>103.4875</v>
      </c>
      <c r="AO99" s="2">
        <f t="shared" si="235"/>
        <v>1</v>
      </c>
      <c r="AP99" s="2">
        <f t="shared" si="119"/>
        <v>0</v>
      </c>
      <c r="AQ99" s="8">
        <f t="shared" si="172"/>
        <v>4.1300000000000003E-2</v>
      </c>
      <c r="AR99" s="2">
        <f t="shared" si="113"/>
        <v>0</v>
      </c>
      <c r="AS99" s="2">
        <f t="shared" si="173"/>
        <v>0</v>
      </c>
      <c r="AT99" s="2">
        <f t="shared" si="209"/>
        <v>0</v>
      </c>
      <c r="AU99" s="2">
        <f t="shared" si="245"/>
        <v>0</v>
      </c>
      <c r="AV99" s="2">
        <f t="shared" si="236"/>
        <v>2.3237430424924241</v>
      </c>
      <c r="AW99" s="1">
        <f t="shared" si="231"/>
        <v>0</v>
      </c>
      <c r="AX99" s="2">
        <f t="shared" si="182"/>
        <v>2.3237430424924241</v>
      </c>
      <c r="AY99" s="1">
        <f t="shared" si="237"/>
        <v>0</v>
      </c>
      <c r="AZ99" s="2">
        <f t="shared" si="210"/>
        <v>2.3237430424924241</v>
      </c>
      <c r="BA99" s="2">
        <f t="shared" si="246"/>
        <v>134846.5362430425</v>
      </c>
      <c r="BB99" s="2">
        <f t="shared" si="183"/>
        <v>0</v>
      </c>
      <c r="BC99" s="2">
        <f t="shared" si="211"/>
        <v>832.24873442265095</v>
      </c>
      <c r="BD99" s="2">
        <f t="shared" si="184"/>
        <v>134014.28750861986</v>
      </c>
      <c r="BE99" s="2">
        <f t="shared" si="212"/>
        <v>1303</v>
      </c>
      <c r="BF99" s="2">
        <f t="shared" si="185"/>
        <v>6373.271886178075</v>
      </c>
      <c r="BG99" s="2">
        <f t="shared" si="186"/>
        <v>126338.01562244179</v>
      </c>
      <c r="BI99" s="8">
        <f t="shared" si="238"/>
        <v>2.8000000000000001E-2</v>
      </c>
      <c r="BJ99" s="5">
        <f t="shared" si="213"/>
        <v>1044</v>
      </c>
      <c r="BK99" s="2">
        <f t="shared" si="214"/>
        <v>104295.6</v>
      </c>
      <c r="BL99" s="2">
        <f t="shared" si="215"/>
        <v>104400</v>
      </c>
      <c r="BM99" s="2">
        <f t="shared" si="187"/>
        <v>104400</v>
      </c>
      <c r="BN99" s="8">
        <f t="shared" si="188"/>
        <v>4.2999999999999997E-2</v>
      </c>
      <c r="BO99" s="2">
        <f t="shared" si="189"/>
        <v>107766.9</v>
      </c>
      <c r="BP99" s="2" t="str">
        <f t="shared" si="190"/>
        <v>nie</v>
      </c>
      <c r="BQ99" s="2">
        <f t="shared" si="191"/>
        <v>2088</v>
      </c>
      <c r="BR99" s="1">
        <f t="shared" si="239"/>
        <v>99</v>
      </c>
      <c r="BS99" s="1">
        <f t="shared" si="174"/>
        <v>109</v>
      </c>
      <c r="BT99" s="1">
        <f t="shared" si="229"/>
        <v>7</v>
      </c>
      <c r="BU99" s="1">
        <f t="shared" ref="BU99:BU130" si="255">IF(zapadalnosc_COI/12&gt;=BU$18,BT87,0)</f>
        <v>47</v>
      </c>
      <c r="BV99" s="2">
        <f t="shared" si="247"/>
        <v>9900</v>
      </c>
      <c r="BW99" s="8">
        <f t="shared" si="240"/>
        <v>0.05</v>
      </c>
      <c r="BX99" s="2">
        <f t="shared" si="248"/>
        <v>10271.25</v>
      </c>
      <c r="BY99" s="2">
        <f t="shared" si="241"/>
        <v>198</v>
      </c>
      <c r="BZ99" s="2">
        <f t="shared" si="120"/>
        <v>16300</v>
      </c>
      <c r="CA99" s="8">
        <f t="shared" si="175"/>
        <v>4.2999999999999997E-2</v>
      </c>
      <c r="CB99" s="2">
        <f t="shared" si="249"/>
        <v>16825.674999999999</v>
      </c>
      <c r="CC99" s="2">
        <f t="shared" si="176"/>
        <v>326</v>
      </c>
      <c r="CD99" s="2">
        <f t="shared" si="192"/>
        <v>0</v>
      </c>
      <c r="CE99" s="2">
        <f t="shared" si="250"/>
        <v>0</v>
      </c>
      <c r="CF99" s="2">
        <f t="shared" si="251"/>
        <v>72.899999999945067</v>
      </c>
      <c r="CG99" s="1">
        <f t="shared" si="232"/>
        <v>0</v>
      </c>
      <c r="CH99" s="2">
        <f t="shared" si="193"/>
        <v>72.899999999945067</v>
      </c>
      <c r="CI99" s="1">
        <f t="shared" si="242"/>
        <v>0</v>
      </c>
      <c r="CJ99" s="2">
        <f t="shared" si="252"/>
        <v>72.899999999945067</v>
      </c>
      <c r="CK99" s="2">
        <f t="shared" si="253"/>
        <v>134936.72499999992</v>
      </c>
      <c r="CL99" s="2">
        <f t="shared" si="194"/>
        <v>0</v>
      </c>
      <c r="CM99" s="2">
        <f t="shared" si="216"/>
        <v>833.20852999999966</v>
      </c>
      <c r="CN99" s="2">
        <f t="shared" si="195"/>
        <v>134103.51646999991</v>
      </c>
      <c r="CO99" s="2">
        <f t="shared" si="217"/>
        <v>2612</v>
      </c>
      <c r="CP99" s="2">
        <f t="shared" si="196"/>
        <v>6141.6977499999848</v>
      </c>
      <c r="CQ99" s="2">
        <f t="shared" si="197"/>
        <v>125349.81871999992</v>
      </c>
      <c r="CS99" s="5">
        <f t="shared" si="218"/>
        <v>1000</v>
      </c>
      <c r="CT99" s="2">
        <f t="shared" si="219"/>
        <v>100000</v>
      </c>
      <c r="CU99" s="2">
        <f t="shared" si="220"/>
        <v>100000</v>
      </c>
      <c r="CV99" s="2">
        <f t="shared" si="221"/>
        <v>133496.63890294704</v>
      </c>
      <c r="CW99" s="8">
        <f t="shared" si="198"/>
        <v>4.8000000000000001E-2</v>
      </c>
      <c r="CX99" s="2">
        <f t="shared" si="199"/>
        <v>138302.51790345315</v>
      </c>
      <c r="CY99" s="2" t="str">
        <f t="shared" si="200"/>
        <v>nie</v>
      </c>
      <c r="CZ99" s="2">
        <f t="shared" si="222"/>
        <v>0</v>
      </c>
      <c r="DA99" s="2">
        <f t="shared" si="223"/>
        <v>0</v>
      </c>
      <c r="DB99" s="2">
        <f t="shared" si="224"/>
        <v>138302.51790345315</v>
      </c>
      <c r="DC99" s="2">
        <f t="shared" si="201"/>
        <v>0</v>
      </c>
      <c r="DD99" s="2">
        <f t="shared" si="225"/>
        <v>847.00155602320501</v>
      </c>
      <c r="DE99" s="2">
        <f t="shared" si="226"/>
        <v>137455.51634742995</v>
      </c>
      <c r="DF99" s="2">
        <f t="shared" si="202"/>
        <v>3000</v>
      </c>
      <c r="DG99" s="2">
        <f t="shared" si="203"/>
        <v>6707.478401656098</v>
      </c>
      <c r="DH99" s="2">
        <f t="shared" si="227"/>
        <v>127748.03794577385</v>
      </c>
    </row>
    <row r="100" spans="2:112">
      <c r="B100" s="228"/>
      <c r="C100" s="1">
        <f t="shared" si="168"/>
        <v>63</v>
      </c>
      <c r="D100" s="2">
        <f t="shared" si="105"/>
        <v>125787.95252949711</v>
      </c>
      <c r="E100" s="2">
        <f t="shared" si="106"/>
        <v>119835.58353356578</v>
      </c>
      <c r="F100" s="2">
        <f t="shared" si="107"/>
        <v>125897.06854999995</v>
      </c>
      <c r="G100" s="2">
        <f t="shared" si="108"/>
        <v>118886.08579999996</v>
      </c>
      <c r="H100" s="2">
        <f t="shared" si="109"/>
        <v>128224.07090854431</v>
      </c>
      <c r="I100" s="2">
        <f t="shared" si="110"/>
        <v>120301.00437394636</v>
      </c>
      <c r="J100" s="2">
        <f t="shared" si="169"/>
        <v>119778.31919778876</v>
      </c>
      <c r="K100" s="2">
        <f t="shared" si="170"/>
        <v>115609.90487638004</v>
      </c>
      <c r="W100" s="1">
        <f t="shared" si="204"/>
        <v>82</v>
      </c>
      <c r="X100" s="2">
        <f t="shared" si="177"/>
        <v>120774.65587343941</v>
      </c>
      <c r="Y100" s="8">
        <f t="shared" si="230"/>
        <v>4.1300000000000003E-2</v>
      </c>
      <c r="Z100" s="5">
        <f t="shared" si="205"/>
        <v>1302</v>
      </c>
      <c r="AA100" s="2">
        <f t="shared" si="206"/>
        <v>130069.8</v>
      </c>
      <c r="AB100" s="2">
        <f t="shared" si="207"/>
        <v>130200</v>
      </c>
      <c r="AC100" s="2">
        <f t="shared" si="208"/>
        <v>130200</v>
      </c>
      <c r="AD100" s="8">
        <f t="shared" si="178"/>
        <v>4.65E-2</v>
      </c>
      <c r="AE100" s="2">
        <f t="shared" si="179"/>
        <v>135245.25</v>
      </c>
      <c r="AF100" s="2" t="str">
        <f t="shared" si="180"/>
        <v>nie</v>
      </c>
      <c r="AG100" s="2">
        <f t="shared" si="181"/>
        <v>1302</v>
      </c>
      <c r="AH100" s="1">
        <f t="shared" si="233"/>
        <v>1</v>
      </c>
      <c r="AI100" s="1">
        <f t="shared" si="171"/>
        <v>0</v>
      </c>
      <c r="AJ100" s="1">
        <f t="shared" si="228"/>
        <v>0</v>
      </c>
      <c r="AK100" s="1">
        <f t="shared" si="254"/>
        <v>0</v>
      </c>
      <c r="AL100" s="2">
        <f t="shared" si="243"/>
        <v>100</v>
      </c>
      <c r="AM100" s="8">
        <f t="shared" si="234"/>
        <v>4.65E-2</v>
      </c>
      <c r="AN100" s="2">
        <f t="shared" si="244"/>
        <v>103.875</v>
      </c>
      <c r="AO100" s="2">
        <f t="shared" si="235"/>
        <v>1</v>
      </c>
      <c r="AP100" s="2">
        <f t="shared" si="119"/>
        <v>0</v>
      </c>
      <c r="AQ100" s="8">
        <f t="shared" si="172"/>
        <v>4.1300000000000003E-2</v>
      </c>
      <c r="AR100" s="2">
        <f t="shared" si="113"/>
        <v>0</v>
      </c>
      <c r="AS100" s="2">
        <f t="shared" si="173"/>
        <v>0</v>
      </c>
      <c r="AT100" s="2">
        <f t="shared" si="209"/>
        <v>0</v>
      </c>
      <c r="AU100" s="2">
        <f t="shared" si="245"/>
        <v>0</v>
      </c>
      <c r="AV100" s="2">
        <f t="shared" si="236"/>
        <v>2.3237430424924241</v>
      </c>
      <c r="AW100" s="1">
        <f t="shared" si="231"/>
        <v>0</v>
      </c>
      <c r="AX100" s="2">
        <f t="shared" si="182"/>
        <v>2.3237430424924241</v>
      </c>
      <c r="AY100" s="1">
        <f t="shared" si="237"/>
        <v>0</v>
      </c>
      <c r="AZ100" s="2">
        <f t="shared" si="210"/>
        <v>2.3237430424924241</v>
      </c>
      <c r="BA100" s="2">
        <f t="shared" si="246"/>
        <v>135351.44874304248</v>
      </c>
      <c r="BB100" s="2">
        <f t="shared" si="183"/>
        <v>0</v>
      </c>
      <c r="BC100" s="2">
        <f t="shared" si="211"/>
        <v>832.24873442265095</v>
      </c>
      <c r="BD100" s="2">
        <f t="shared" si="184"/>
        <v>134519.20000861984</v>
      </c>
      <c r="BE100" s="2">
        <f t="shared" si="212"/>
        <v>1303</v>
      </c>
      <c r="BF100" s="2">
        <f t="shared" si="185"/>
        <v>6469.2052611780709</v>
      </c>
      <c r="BG100" s="2">
        <f t="shared" si="186"/>
        <v>126746.99474744177</v>
      </c>
      <c r="BI100" s="8">
        <f t="shared" si="238"/>
        <v>2.8000000000000001E-2</v>
      </c>
      <c r="BJ100" s="5">
        <f t="shared" si="213"/>
        <v>1044</v>
      </c>
      <c r="BK100" s="2">
        <f t="shared" si="214"/>
        <v>104295.6</v>
      </c>
      <c r="BL100" s="2">
        <f t="shared" si="215"/>
        <v>104400</v>
      </c>
      <c r="BM100" s="2">
        <f t="shared" si="187"/>
        <v>104400</v>
      </c>
      <c r="BN100" s="8">
        <f t="shared" si="188"/>
        <v>4.2999999999999997E-2</v>
      </c>
      <c r="BO100" s="2">
        <f t="shared" si="189"/>
        <v>108141</v>
      </c>
      <c r="BP100" s="2" t="str">
        <f t="shared" si="190"/>
        <v>nie</v>
      </c>
      <c r="BQ100" s="2">
        <f t="shared" si="191"/>
        <v>2088</v>
      </c>
      <c r="BR100" s="1">
        <f t="shared" si="239"/>
        <v>99</v>
      </c>
      <c r="BS100" s="1">
        <f t="shared" si="174"/>
        <v>109</v>
      </c>
      <c r="BT100" s="1">
        <f t="shared" si="229"/>
        <v>7</v>
      </c>
      <c r="BU100" s="1">
        <f t="shared" si="255"/>
        <v>47</v>
      </c>
      <c r="BV100" s="2">
        <f t="shared" si="247"/>
        <v>9900</v>
      </c>
      <c r="BW100" s="8">
        <f t="shared" si="240"/>
        <v>0.05</v>
      </c>
      <c r="BX100" s="2">
        <f t="shared" si="248"/>
        <v>10312.5</v>
      </c>
      <c r="BY100" s="2">
        <f t="shared" si="241"/>
        <v>198</v>
      </c>
      <c r="BZ100" s="2">
        <f t="shared" si="120"/>
        <v>16300</v>
      </c>
      <c r="CA100" s="8">
        <f t="shared" si="175"/>
        <v>4.2999999999999997E-2</v>
      </c>
      <c r="CB100" s="2">
        <f t="shared" si="249"/>
        <v>16884.083333333336</v>
      </c>
      <c r="CC100" s="2">
        <f t="shared" si="176"/>
        <v>326</v>
      </c>
      <c r="CD100" s="2">
        <f t="shared" si="192"/>
        <v>0</v>
      </c>
      <c r="CE100" s="2">
        <f t="shared" si="250"/>
        <v>0</v>
      </c>
      <c r="CF100" s="2">
        <f t="shared" si="251"/>
        <v>72.899999999945067</v>
      </c>
      <c r="CG100" s="1">
        <f t="shared" si="232"/>
        <v>0</v>
      </c>
      <c r="CH100" s="2">
        <f t="shared" si="193"/>
        <v>72.899999999945067</v>
      </c>
      <c r="CI100" s="1">
        <f t="shared" si="242"/>
        <v>0</v>
      </c>
      <c r="CJ100" s="2">
        <f t="shared" si="252"/>
        <v>72.899999999945067</v>
      </c>
      <c r="CK100" s="2">
        <f t="shared" si="253"/>
        <v>135410.48333333328</v>
      </c>
      <c r="CL100" s="2">
        <f t="shared" si="194"/>
        <v>0</v>
      </c>
      <c r="CM100" s="2">
        <f t="shared" si="216"/>
        <v>833.20852999999966</v>
      </c>
      <c r="CN100" s="2">
        <f t="shared" si="195"/>
        <v>134577.27480333328</v>
      </c>
      <c r="CO100" s="2">
        <f t="shared" si="217"/>
        <v>2612</v>
      </c>
      <c r="CP100" s="2">
        <f t="shared" si="196"/>
        <v>6231.7118333333228</v>
      </c>
      <c r="CQ100" s="2">
        <f t="shared" si="197"/>
        <v>125733.56296999996</v>
      </c>
      <c r="CS100" s="5">
        <f t="shared" si="218"/>
        <v>1000</v>
      </c>
      <c r="CT100" s="2">
        <f t="shared" si="219"/>
        <v>100000</v>
      </c>
      <c r="CU100" s="2">
        <f t="shared" si="220"/>
        <v>100000</v>
      </c>
      <c r="CV100" s="2">
        <f t="shared" si="221"/>
        <v>133496.63890294704</v>
      </c>
      <c r="CW100" s="8">
        <f t="shared" si="198"/>
        <v>4.8000000000000001E-2</v>
      </c>
      <c r="CX100" s="2">
        <f t="shared" si="199"/>
        <v>138836.50445906492</v>
      </c>
      <c r="CY100" s="2" t="str">
        <f t="shared" si="200"/>
        <v>nie</v>
      </c>
      <c r="CZ100" s="2">
        <f t="shared" si="222"/>
        <v>0</v>
      </c>
      <c r="DA100" s="2">
        <f t="shared" si="223"/>
        <v>0</v>
      </c>
      <c r="DB100" s="2">
        <f t="shared" si="224"/>
        <v>138836.50445906492</v>
      </c>
      <c r="DC100" s="2">
        <f t="shared" si="201"/>
        <v>0</v>
      </c>
      <c r="DD100" s="2">
        <f t="shared" si="225"/>
        <v>847.00155602320501</v>
      </c>
      <c r="DE100" s="2">
        <f t="shared" si="226"/>
        <v>137989.50290304172</v>
      </c>
      <c r="DF100" s="2">
        <f t="shared" si="202"/>
        <v>3000</v>
      </c>
      <c r="DG100" s="2">
        <f t="shared" si="203"/>
        <v>6808.9358472223348</v>
      </c>
      <c r="DH100" s="2">
        <f t="shared" si="227"/>
        <v>128180.56705581938</v>
      </c>
    </row>
    <row r="101" spans="2:112">
      <c r="B101" s="228"/>
      <c r="C101" s="1">
        <f t="shared" si="168"/>
        <v>64</v>
      </c>
      <c r="D101" s="2">
        <f t="shared" si="105"/>
        <v>126272.16482880649</v>
      </c>
      <c r="E101" s="2">
        <f t="shared" si="106"/>
        <v>120227.79549600637</v>
      </c>
      <c r="F101" s="2">
        <f t="shared" si="107"/>
        <v>126352.06021666662</v>
      </c>
      <c r="G101" s="2">
        <f t="shared" si="108"/>
        <v>119217.84154999995</v>
      </c>
      <c r="H101" s="2">
        <f t="shared" si="109"/>
        <v>128733.60006466243</v>
      </c>
      <c r="I101" s="2">
        <f t="shared" si="110"/>
        <v>120713.72299040204</v>
      </c>
      <c r="J101" s="2">
        <f t="shared" si="169"/>
        <v>120121.93325098742</v>
      </c>
      <c r="K101" s="2">
        <f t="shared" si="170"/>
        <v>115877.78615216115</v>
      </c>
      <c r="W101" s="1">
        <f t="shared" si="204"/>
        <v>83</v>
      </c>
      <c r="X101" s="2">
        <f t="shared" si="177"/>
        <v>121050.03782494235</v>
      </c>
      <c r="Y101" s="8">
        <f t="shared" si="230"/>
        <v>4.1300000000000003E-2</v>
      </c>
      <c r="Z101" s="5">
        <f t="shared" si="205"/>
        <v>1302</v>
      </c>
      <c r="AA101" s="2">
        <f t="shared" si="206"/>
        <v>130069.8</v>
      </c>
      <c r="AB101" s="2">
        <f t="shared" si="207"/>
        <v>130200</v>
      </c>
      <c r="AC101" s="2">
        <f t="shared" si="208"/>
        <v>130200</v>
      </c>
      <c r="AD101" s="8">
        <f t="shared" si="178"/>
        <v>4.65E-2</v>
      </c>
      <c r="AE101" s="2">
        <f t="shared" si="179"/>
        <v>135749.77499999999</v>
      </c>
      <c r="AF101" s="2" t="str">
        <f t="shared" si="180"/>
        <v>nie</v>
      </c>
      <c r="AG101" s="2">
        <f t="shared" si="181"/>
        <v>1302</v>
      </c>
      <c r="AH101" s="1">
        <f t="shared" si="233"/>
        <v>1</v>
      </c>
      <c r="AI101" s="1">
        <f t="shared" si="171"/>
        <v>0</v>
      </c>
      <c r="AJ101" s="1">
        <f t="shared" si="228"/>
        <v>0</v>
      </c>
      <c r="AK101" s="1">
        <f t="shared" si="254"/>
        <v>0</v>
      </c>
      <c r="AL101" s="2">
        <f t="shared" si="243"/>
        <v>100</v>
      </c>
      <c r="AM101" s="8">
        <f t="shared" si="234"/>
        <v>4.65E-2</v>
      </c>
      <c r="AN101" s="2">
        <f t="shared" si="244"/>
        <v>104.26249999999999</v>
      </c>
      <c r="AO101" s="2">
        <f t="shared" si="235"/>
        <v>1</v>
      </c>
      <c r="AP101" s="2">
        <f t="shared" si="119"/>
        <v>0</v>
      </c>
      <c r="AQ101" s="8">
        <f t="shared" si="172"/>
        <v>4.1300000000000003E-2</v>
      </c>
      <c r="AR101" s="2">
        <f t="shared" si="113"/>
        <v>0</v>
      </c>
      <c r="AS101" s="2">
        <f t="shared" si="173"/>
        <v>0</v>
      </c>
      <c r="AT101" s="2">
        <f t="shared" si="209"/>
        <v>0</v>
      </c>
      <c r="AU101" s="2">
        <f t="shared" si="245"/>
        <v>0</v>
      </c>
      <c r="AV101" s="2">
        <f t="shared" si="236"/>
        <v>2.3237430424924241</v>
      </c>
      <c r="AW101" s="1">
        <f t="shared" si="231"/>
        <v>0</v>
      </c>
      <c r="AX101" s="2">
        <f t="shared" si="182"/>
        <v>2.3237430424924241</v>
      </c>
      <c r="AY101" s="1">
        <f t="shared" si="237"/>
        <v>0</v>
      </c>
      <c r="AZ101" s="2">
        <f t="shared" si="210"/>
        <v>2.3237430424924241</v>
      </c>
      <c r="BA101" s="2">
        <f t="shared" si="246"/>
        <v>135856.36124304251</v>
      </c>
      <c r="BB101" s="2">
        <f t="shared" si="183"/>
        <v>0</v>
      </c>
      <c r="BC101" s="2">
        <f t="shared" si="211"/>
        <v>832.24873442265095</v>
      </c>
      <c r="BD101" s="2">
        <f t="shared" si="184"/>
        <v>135024.11250861987</v>
      </c>
      <c r="BE101" s="2">
        <f t="shared" si="212"/>
        <v>1303</v>
      </c>
      <c r="BF101" s="2">
        <f t="shared" si="185"/>
        <v>6565.1386361780778</v>
      </c>
      <c r="BG101" s="2">
        <f t="shared" si="186"/>
        <v>127155.9738724418</v>
      </c>
      <c r="BI101" s="8">
        <f t="shared" si="238"/>
        <v>2.8000000000000001E-2</v>
      </c>
      <c r="BJ101" s="5">
        <f t="shared" si="213"/>
        <v>1044</v>
      </c>
      <c r="BK101" s="2">
        <f t="shared" si="214"/>
        <v>104295.6</v>
      </c>
      <c r="BL101" s="2">
        <f t="shared" si="215"/>
        <v>104400</v>
      </c>
      <c r="BM101" s="2">
        <f t="shared" si="187"/>
        <v>104400</v>
      </c>
      <c r="BN101" s="8">
        <f t="shared" si="188"/>
        <v>4.2999999999999997E-2</v>
      </c>
      <c r="BO101" s="2">
        <f t="shared" si="189"/>
        <v>108515.1</v>
      </c>
      <c r="BP101" s="2" t="str">
        <f t="shared" si="190"/>
        <v>nie</v>
      </c>
      <c r="BQ101" s="2">
        <f t="shared" si="191"/>
        <v>2088</v>
      </c>
      <c r="BR101" s="1">
        <f t="shared" si="239"/>
        <v>99</v>
      </c>
      <c r="BS101" s="1">
        <f t="shared" si="174"/>
        <v>109</v>
      </c>
      <c r="BT101" s="1">
        <f t="shared" si="229"/>
        <v>7</v>
      </c>
      <c r="BU101" s="1">
        <f t="shared" si="255"/>
        <v>47</v>
      </c>
      <c r="BV101" s="2">
        <f t="shared" si="247"/>
        <v>9900</v>
      </c>
      <c r="BW101" s="8">
        <f t="shared" si="240"/>
        <v>0.05</v>
      </c>
      <c r="BX101" s="2">
        <f t="shared" si="248"/>
        <v>10353.75</v>
      </c>
      <c r="BY101" s="2">
        <f t="shared" si="241"/>
        <v>198</v>
      </c>
      <c r="BZ101" s="2">
        <f t="shared" si="120"/>
        <v>16300</v>
      </c>
      <c r="CA101" s="8">
        <f t="shared" si="175"/>
        <v>4.2999999999999997E-2</v>
      </c>
      <c r="CB101" s="2">
        <f t="shared" si="249"/>
        <v>16942.491666666665</v>
      </c>
      <c r="CC101" s="2">
        <f t="shared" si="176"/>
        <v>326</v>
      </c>
      <c r="CD101" s="2">
        <f t="shared" si="192"/>
        <v>0</v>
      </c>
      <c r="CE101" s="2">
        <f t="shared" si="250"/>
        <v>0</v>
      </c>
      <c r="CF101" s="2">
        <f t="shared" si="251"/>
        <v>72.899999999945067</v>
      </c>
      <c r="CG101" s="1">
        <f t="shared" si="232"/>
        <v>0</v>
      </c>
      <c r="CH101" s="2">
        <f t="shared" si="193"/>
        <v>72.899999999945067</v>
      </c>
      <c r="CI101" s="1">
        <f t="shared" si="242"/>
        <v>0</v>
      </c>
      <c r="CJ101" s="2">
        <f t="shared" si="252"/>
        <v>72.899999999945067</v>
      </c>
      <c r="CK101" s="2">
        <f t="shared" si="253"/>
        <v>135884.24166666661</v>
      </c>
      <c r="CL101" s="2">
        <f t="shared" si="194"/>
        <v>0</v>
      </c>
      <c r="CM101" s="2">
        <f t="shared" si="216"/>
        <v>833.20852999999966</v>
      </c>
      <c r="CN101" s="2">
        <f t="shared" si="195"/>
        <v>135051.03313666661</v>
      </c>
      <c r="CO101" s="2">
        <f t="shared" si="217"/>
        <v>2612</v>
      </c>
      <c r="CP101" s="2">
        <f t="shared" si="196"/>
        <v>6321.7259166666563</v>
      </c>
      <c r="CQ101" s="2">
        <f t="shared" si="197"/>
        <v>126117.30721999994</v>
      </c>
      <c r="CS101" s="5">
        <f t="shared" si="218"/>
        <v>1000</v>
      </c>
      <c r="CT101" s="2">
        <f t="shared" si="219"/>
        <v>100000</v>
      </c>
      <c r="CU101" s="2">
        <f t="shared" si="220"/>
        <v>100000</v>
      </c>
      <c r="CV101" s="2">
        <f t="shared" si="221"/>
        <v>133496.63890294704</v>
      </c>
      <c r="CW101" s="8">
        <f t="shared" si="198"/>
        <v>4.8000000000000001E-2</v>
      </c>
      <c r="CX101" s="2">
        <f t="shared" si="199"/>
        <v>139370.49101467672</v>
      </c>
      <c r="CY101" s="2" t="str">
        <f t="shared" si="200"/>
        <v>nie</v>
      </c>
      <c r="CZ101" s="2">
        <f t="shared" si="222"/>
        <v>0</v>
      </c>
      <c r="DA101" s="2">
        <f t="shared" si="223"/>
        <v>0</v>
      </c>
      <c r="DB101" s="2">
        <f t="shared" si="224"/>
        <v>139370.49101467672</v>
      </c>
      <c r="DC101" s="2">
        <f t="shared" si="201"/>
        <v>0</v>
      </c>
      <c r="DD101" s="2">
        <f t="shared" si="225"/>
        <v>847.00155602320501</v>
      </c>
      <c r="DE101" s="2">
        <f t="shared" si="226"/>
        <v>138523.48945865352</v>
      </c>
      <c r="DF101" s="2">
        <f t="shared" si="202"/>
        <v>3000</v>
      </c>
      <c r="DG101" s="2">
        <f t="shared" si="203"/>
        <v>6910.3932927885771</v>
      </c>
      <c r="DH101" s="2">
        <f t="shared" si="227"/>
        <v>128613.09616586495</v>
      </c>
    </row>
    <row r="102" spans="2:112">
      <c r="B102" s="228"/>
      <c r="C102" s="1">
        <f t="shared" ref="C102:C133" si="256">W83</f>
        <v>65</v>
      </c>
      <c r="D102" s="2">
        <f t="shared" si="105"/>
        <v>126756.37712811586</v>
      </c>
      <c r="E102" s="2">
        <f t="shared" si="106"/>
        <v>120620.00745844695</v>
      </c>
      <c r="F102" s="2">
        <f t="shared" si="107"/>
        <v>126807.05188333326</v>
      </c>
      <c r="G102" s="2">
        <f t="shared" si="108"/>
        <v>119556.95479999995</v>
      </c>
      <c r="H102" s="2">
        <f t="shared" si="109"/>
        <v>129243.12922078055</v>
      </c>
      <c r="I102" s="2">
        <f t="shared" si="110"/>
        <v>121126.44160685771</v>
      </c>
      <c r="J102" s="2">
        <f t="shared" ref="J102:J133" si="257">FV(INDEX(scenariusz_I_konto,MATCH(ROUNDUP(C102/12,0),scenariusz_I_rok,0))/12*(1-podatek_Belki),1,0,-J101,1)</f>
        <v>120466.53304700118</v>
      </c>
      <c r="K102" s="2">
        <f t="shared" ref="K102:K133" si="258">X83</f>
        <v>116145.66742794223</v>
      </c>
      <c r="W102" s="1">
        <f t="shared" si="204"/>
        <v>84</v>
      </c>
      <c r="X102" s="2">
        <f t="shared" si="177"/>
        <v>121325.41977644531</v>
      </c>
      <c r="Y102" s="8">
        <f t="shared" si="230"/>
        <v>4.1300000000000003E-2</v>
      </c>
      <c r="Z102" s="5">
        <f t="shared" si="205"/>
        <v>1302</v>
      </c>
      <c r="AA102" s="2">
        <f t="shared" si="206"/>
        <v>130069.8</v>
      </c>
      <c r="AB102" s="2">
        <f t="shared" si="207"/>
        <v>130200</v>
      </c>
      <c r="AC102" s="2">
        <f t="shared" si="208"/>
        <v>130200</v>
      </c>
      <c r="AD102" s="8">
        <f t="shared" si="178"/>
        <v>4.65E-2</v>
      </c>
      <c r="AE102" s="2">
        <f t="shared" si="179"/>
        <v>136254.29999999999</v>
      </c>
      <c r="AF102" s="2" t="str">
        <f t="shared" si="180"/>
        <v>nie</v>
      </c>
      <c r="AG102" s="2">
        <f t="shared" si="181"/>
        <v>1302</v>
      </c>
      <c r="AH102" s="1">
        <f t="shared" si="233"/>
        <v>1</v>
      </c>
      <c r="AI102" s="1">
        <f t="shared" si="171"/>
        <v>0</v>
      </c>
      <c r="AJ102" s="1">
        <f t="shared" si="228"/>
        <v>0</v>
      </c>
      <c r="AK102" s="1">
        <f t="shared" si="254"/>
        <v>0</v>
      </c>
      <c r="AL102" s="2">
        <f t="shared" si="243"/>
        <v>100</v>
      </c>
      <c r="AM102" s="8">
        <f t="shared" si="234"/>
        <v>4.65E-2</v>
      </c>
      <c r="AN102" s="2">
        <f t="shared" si="244"/>
        <v>104.65</v>
      </c>
      <c r="AO102" s="2">
        <f t="shared" si="235"/>
        <v>1</v>
      </c>
      <c r="AP102" s="2">
        <f t="shared" si="119"/>
        <v>0</v>
      </c>
      <c r="AQ102" s="8">
        <f t="shared" si="172"/>
        <v>4.1300000000000003E-2</v>
      </c>
      <c r="AR102" s="2">
        <f t="shared" si="113"/>
        <v>0</v>
      </c>
      <c r="AS102" s="2">
        <f t="shared" si="173"/>
        <v>0</v>
      </c>
      <c r="AT102" s="2">
        <f t="shared" si="209"/>
        <v>0</v>
      </c>
      <c r="AU102" s="2">
        <f t="shared" si="245"/>
        <v>4.6500000000000057</v>
      </c>
      <c r="AV102" s="2">
        <f t="shared" si="236"/>
        <v>6.9737430424924298</v>
      </c>
      <c r="AW102" s="1">
        <f t="shared" si="231"/>
        <v>0</v>
      </c>
      <c r="AX102" s="2">
        <f t="shared" si="182"/>
        <v>6.9737430424924298</v>
      </c>
      <c r="AY102" s="1">
        <f t="shared" si="237"/>
        <v>0</v>
      </c>
      <c r="AZ102" s="2">
        <f t="shared" si="210"/>
        <v>6.9737430424924298</v>
      </c>
      <c r="BA102" s="2">
        <f t="shared" si="246"/>
        <v>136361.27374304249</v>
      </c>
      <c r="BB102" s="2">
        <f t="shared" si="183"/>
        <v>149.99740111734675</v>
      </c>
      <c r="BC102" s="2">
        <f t="shared" si="211"/>
        <v>982.24613553999768</v>
      </c>
      <c r="BD102" s="2">
        <f t="shared" si="184"/>
        <v>135379.0276075025</v>
      </c>
      <c r="BE102" s="2">
        <f t="shared" si="212"/>
        <v>1303</v>
      </c>
      <c r="BF102" s="2">
        <f t="shared" si="185"/>
        <v>6661.0720111780729</v>
      </c>
      <c r="BG102" s="2">
        <f t="shared" si="186"/>
        <v>127414.95559632443</v>
      </c>
      <c r="BI102" s="8">
        <f t="shared" si="238"/>
        <v>2.8000000000000001E-2</v>
      </c>
      <c r="BJ102" s="5">
        <f t="shared" si="213"/>
        <v>1044</v>
      </c>
      <c r="BK102" s="2">
        <f t="shared" si="214"/>
        <v>104295.6</v>
      </c>
      <c r="BL102" s="2">
        <f t="shared" si="215"/>
        <v>104400</v>
      </c>
      <c r="BM102" s="2">
        <f t="shared" si="187"/>
        <v>104400</v>
      </c>
      <c r="BN102" s="8">
        <f t="shared" si="188"/>
        <v>4.2999999999999997E-2</v>
      </c>
      <c r="BO102" s="2">
        <f t="shared" si="189"/>
        <v>108889.2</v>
      </c>
      <c r="BP102" s="2" t="str">
        <f t="shared" si="190"/>
        <v>nie</v>
      </c>
      <c r="BQ102" s="2">
        <f t="shared" si="191"/>
        <v>2088</v>
      </c>
      <c r="BR102" s="1">
        <f t="shared" si="239"/>
        <v>99</v>
      </c>
      <c r="BS102" s="1">
        <f t="shared" si="174"/>
        <v>109</v>
      </c>
      <c r="BT102" s="1">
        <f t="shared" si="229"/>
        <v>7</v>
      </c>
      <c r="BU102" s="1">
        <f t="shared" si="255"/>
        <v>47</v>
      </c>
      <c r="BV102" s="2">
        <f t="shared" si="247"/>
        <v>9900</v>
      </c>
      <c r="BW102" s="8">
        <f t="shared" si="240"/>
        <v>0.05</v>
      </c>
      <c r="BX102" s="2">
        <f t="shared" si="248"/>
        <v>10395</v>
      </c>
      <c r="BY102" s="2">
        <f t="shared" si="241"/>
        <v>198</v>
      </c>
      <c r="BZ102" s="2">
        <f t="shared" si="120"/>
        <v>16300</v>
      </c>
      <c r="CA102" s="8">
        <f t="shared" si="175"/>
        <v>4.2999999999999997E-2</v>
      </c>
      <c r="CB102" s="2">
        <f t="shared" si="249"/>
        <v>17000.899999999998</v>
      </c>
      <c r="CC102" s="2">
        <f t="shared" si="176"/>
        <v>326</v>
      </c>
      <c r="CD102" s="2">
        <f t="shared" si="192"/>
        <v>4489.1999999999971</v>
      </c>
      <c r="CE102" s="2">
        <f t="shared" si="250"/>
        <v>5895.8999999999978</v>
      </c>
      <c r="CF102" s="2">
        <f t="shared" si="251"/>
        <v>10457.99999999994</v>
      </c>
      <c r="CG102" s="1">
        <f t="shared" si="232"/>
        <v>47</v>
      </c>
      <c r="CH102" s="2">
        <f t="shared" si="193"/>
        <v>5762.6999999999398</v>
      </c>
      <c r="CI102" s="1">
        <f t="shared" si="242"/>
        <v>57</v>
      </c>
      <c r="CJ102" s="2">
        <f t="shared" si="252"/>
        <v>62.699999999939791</v>
      </c>
      <c r="CK102" s="2">
        <f t="shared" si="253"/>
        <v>136357.99999999994</v>
      </c>
      <c r="CL102" s="2">
        <f t="shared" si="194"/>
        <v>149.99379999999994</v>
      </c>
      <c r="CM102" s="2">
        <f t="shared" si="216"/>
        <v>983.20232999999962</v>
      </c>
      <c r="CN102" s="2">
        <f t="shared" si="195"/>
        <v>135374.79766999994</v>
      </c>
      <c r="CO102" s="2">
        <f t="shared" si="217"/>
        <v>2612</v>
      </c>
      <c r="CP102" s="2">
        <f t="shared" si="196"/>
        <v>6411.7399999999889</v>
      </c>
      <c r="CQ102" s="2">
        <f t="shared" si="197"/>
        <v>126351.05766999995</v>
      </c>
      <c r="CS102" s="5">
        <f t="shared" si="218"/>
        <v>1000</v>
      </c>
      <c r="CT102" s="2">
        <f t="shared" si="219"/>
        <v>100000</v>
      </c>
      <c r="CU102" s="2">
        <f t="shared" si="220"/>
        <v>100000</v>
      </c>
      <c r="CV102" s="2">
        <f t="shared" si="221"/>
        <v>133496.63890294704</v>
      </c>
      <c r="CW102" s="8">
        <f t="shared" si="198"/>
        <v>4.8000000000000001E-2</v>
      </c>
      <c r="CX102" s="2">
        <f t="shared" si="199"/>
        <v>139904.47757028849</v>
      </c>
      <c r="CY102" s="2" t="str">
        <f t="shared" si="200"/>
        <v>nie</v>
      </c>
      <c r="CZ102" s="2">
        <f t="shared" si="222"/>
        <v>0</v>
      </c>
      <c r="DA102" s="2">
        <f t="shared" si="223"/>
        <v>0</v>
      </c>
      <c r="DB102" s="2">
        <f t="shared" si="224"/>
        <v>139904.47757028849</v>
      </c>
      <c r="DC102" s="2">
        <f t="shared" si="201"/>
        <v>153.89492532731737</v>
      </c>
      <c r="DD102" s="2">
        <f t="shared" si="225"/>
        <v>1000.8964813505224</v>
      </c>
      <c r="DE102" s="2">
        <f t="shared" si="226"/>
        <v>138903.58108893796</v>
      </c>
      <c r="DF102" s="2">
        <f t="shared" si="202"/>
        <v>3000</v>
      </c>
      <c r="DG102" s="2">
        <f t="shared" si="203"/>
        <v>7011.850738354814</v>
      </c>
      <c r="DH102" s="2">
        <f t="shared" si="227"/>
        <v>128891.73035058315</v>
      </c>
    </row>
    <row r="103" spans="2:112">
      <c r="B103" s="228"/>
      <c r="C103" s="1">
        <f t="shared" si="256"/>
        <v>66</v>
      </c>
      <c r="D103" s="2">
        <f t="shared" ref="D103:D166" si="259">BD84</f>
        <v>127240.58942742524</v>
      </c>
      <c r="E103" s="2">
        <f t="shared" ref="E103:E166" si="260">BG84</f>
        <v>121012.21942088754</v>
      </c>
      <c r="F103" s="2">
        <f t="shared" ref="F103:F166" si="261">CN84</f>
        <v>127262.04354999996</v>
      </c>
      <c r="G103" s="2">
        <f t="shared" ref="G103:G166" si="262">CQ84</f>
        <v>119925.49804999997</v>
      </c>
      <c r="H103" s="2">
        <f t="shared" ref="H103:H166" si="263">DE84</f>
        <v>129752.65837689867</v>
      </c>
      <c r="I103" s="2">
        <f t="shared" ref="I103:I166" si="264">DH84</f>
        <v>121539.16022331339</v>
      </c>
      <c r="J103" s="2">
        <f t="shared" si="257"/>
        <v>120812.12141367976</v>
      </c>
      <c r="K103" s="2">
        <f t="shared" si="258"/>
        <v>116413.54870372331</v>
      </c>
      <c r="W103" s="1">
        <f t="shared" si="204"/>
        <v>85</v>
      </c>
      <c r="X103" s="2">
        <f t="shared" si="177"/>
        <v>121608.51242259034</v>
      </c>
      <c r="Y103" s="8">
        <f t="shared" si="230"/>
        <v>4.1300000000000003E-2</v>
      </c>
      <c r="Z103" s="5">
        <f t="shared" si="205"/>
        <v>1302</v>
      </c>
      <c r="AA103" s="2">
        <f t="shared" si="206"/>
        <v>130069.8</v>
      </c>
      <c r="AB103" s="2">
        <f t="shared" si="207"/>
        <v>130200</v>
      </c>
      <c r="AC103" s="2">
        <f t="shared" si="208"/>
        <v>136254.29999999999</v>
      </c>
      <c r="AD103" s="8">
        <f t="shared" si="178"/>
        <v>4.65E-2</v>
      </c>
      <c r="AE103" s="2">
        <f t="shared" si="179"/>
        <v>136782.2854125</v>
      </c>
      <c r="AF103" s="2" t="str">
        <f t="shared" si="180"/>
        <v>nie</v>
      </c>
      <c r="AG103" s="2">
        <f t="shared" si="181"/>
        <v>1302</v>
      </c>
      <c r="AH103" s="1">
        <f t="shared" si="233"/>
        <v>1</v>
      </c>
      <c r="AI103" s="1">
        <f t="shared" si="171"/>
        <v>1</v>
      </c>
      <c r="AJ103" s="1">
        <f t="shared" si="228"/>
        <v>0</v>
      </c>
      <c r="AK103" s="1">
        <f t="shared" si="254"/>
        <v>0</v>
      </c>
      <c r="AL103" s="2">
        <f t="shared" si="243"/>
        <v>100</v>
      </c>
      <c r="AM103" s="8">
        <f t="shared" si="234"/>
        <v>4.65E-2</v>
      </c>
      <c r="AN103" s="2">
        <f t="shared" si="244"/>
        <v>100.3875</v>
      </c>
      <c r="AO103" s="2">
        <f t="shared" si="235"/>
        <v>0.38750000000000284</v>
      </c>
      <c r="AP103" s="2">
        <f t="shared" si="119"/>
        <v>100</v>
      </c>
      <c r="AQ103" s="8">
        <f t="shared" si="172"/>
        <v>4.1300000000000003E-2</v>
      </c>
      <c r="AR103" s="2">
        <f t="shared" si="113"/>
        <v>100.34416666666665</v>
      </c>
      <c r="AS103" s="2">
        <f t="shared" si="173"/>
        <v>1</v>
      </c>
      <c r="AT103" s="2">
        <f t="shared" si="209"/>
        <v>0</v>
      </c>
      <c r="AU103" s="2">
        <f t="shared" si="245"/>
        <v>0</v>
      </c>
      <c r="AV103" s="2">
        <f t="shared" si="236"/>
        <v>6.9737430424924298</v>
      </c>
      <c r="AW103" s="1">
        <f t="shared" si="231"/>
        <v>0</v>
      </c>
      <c r="AX103" s="2">
        <f t="shared" si="182"/>
        <v>6.9737430424924298</v>
      </c>
      <c r="AY103" s="1">
        <f t="shared" si="237"/>
        <v>0</v>
      </c>
      <c r="AZ103" s="2">
        <f t="shared" si="210"/>
        <v>6.9737430424924298</v>
      </c>
      <c r="BA103" s="2">
        <f t="shared" si="246"/>
        <v>136989.99082220919</v>
      </c>
      <c r="BB103" s="2">
        <f t="shared" si="183"/>
        <v>0</v>
      </c>
      <c r="BC103" s="2">
        <f t="shared" si="211"/>
        <v>982.24613553999768</v>
      </c>
      <c r="BD103" s="2">
        <f t="shared" si="184"/>
        <v>136007.7446866692</v>
      </c>
      <c r="BE103" s="2">
        <f t="shared" si="212"/>
        <v>1303.3875</v>
      </c>
      <c r="BF103" s="2">
        <f t="shared" si="185"/>
        <v>6780.4546312197444</v>
      </c>
      <c r="BG103" s="2">
        <f t="shared" si="186"/>
        <v>127923.90255544944</v>
      </c>
      <c r="BI103" s="8">
        <f t="shared" si="238"/>
        <v>2.8000000000000001E-2</v>
      </c>
      <c r="BJ103" s="5">
        <f t="shared" si="213"/>
        <v>1044</v>
      </c>
      <c r="BK103" s="2">
        <f t="shared" si="214"/>
        <v>104295.6</v>
      </c>
      <c r="BL103" s="2">
        <f t="shared" si="215"/>
        <v>104400</v>
      </c>
      <c r="BM103" s="2">
        <f t="shared" si="187"/>
        <v>104400</v>
      </c>
      <c r="BN103" s="8">
        <f t="shared" si="188"/>
        <v>4.2999999999999997E-2</v>
      </c>
      <c r="BO103" s="2">
        <f t="shared" si="189"/>
        <v>104774.09999999999</v>
      </c>
      <c r="BP103" s="2" t="str">
        <f t="shared" si="190"/>
        <v>nie</v>
      </c>
      <c r="BQ103" s="2">
        <f t="shared" si="191"/>
        <v>2088</v>
      </c>
      <c r="BR103" s="1">
        <f t="shared" si="239"/>
        <v>104</v>
      </c>
      <c r="BS103" s="1">
        <f t="shared" si="174"/>
        <v>99</v>
      </c>
      <c r="BT103" s="1">
        <f t="shared" si="229"/>
        <v>109</v>
      </c>
      <c r="BU103" s="1">
        <f t="shared" si="255"/>
        <v>7</v>
      </c>
      <c r="BV103" s="2">
        <f t="shared" si="247"/>
        <v>10400</v>
      </c>
      <c r="BW103" s="8">
        <f t="shared" si="240"/>
        <v>0.05</v>
      </c>
      <c r="BX103" s="2">
        <f t="shared" si="248"/>
        <v>10443.333333333334</v>
      </c>
      <c r="BY103" s="2">
        <f t="shared" si="241"/>
        <v>43.33333333333394</v>
      </c>
      <c r="BZ103" s="2">
        <f t="shared" si="120"/>
        <v>21500</v>
      </c>
      <c r="CA103" s="8">
        <f t="shared" si="175"/>
        <v>4.2999999999999997E-2</v>
      </c>
      <c r="CB103" s="2">
        <f t="shared" si="249"/>
        <v>21577.041666666664</v>
      </c>
      <c r="CC103" s="2">
        <f t="shared" si="176"/>
        <v>430</v>
      </c>
      <c r="CD103" s="2">
        <f t="shared" si="192"/>
        <v>0</v>
      </c>
      <c r="CE103" s="2">
        <f t="shared" si="250"/>
        <v>0</v>
      </c>
      <c r="CF103" s="2">
        <f t="shared" si="251"/>
        <v>62.699999999939791</v>
      </c>
      <c r="CG103" s="1">
        <f t="shared" si="232"/>
        <v>0</v>
      </c>
      <c r="CH103" s="2">
        <f t="shared" si="193"/>
        <v>62.699999999939791</v>
      </c>
      <c r="CI103" s="1">
        <f t="shared" si="242"/>
        <v>0</v>
      </c>
      <c r="CJ103" s="2">
        <f t="shared" si="252"/>
        <v>62.699999999939791</v>
      </c>
      <c r="CK103" s="2">
        <f t="shared" si="253"/>
        <v>136857.17499999993</v>
      </c>
      <c r="CL103" s="2">
        <f t="shared" si="194"/>
        <v>0</v>
      </c>
      <c r="CM103" s="2">
        <f t="shared" si="216"/>
        <v>983.20232999999962</v>
      </c>
      <c r="CN103" s="2">
        <f t="shared" si="195"/>
        <v>135873.97266999993</v>
      </c>
      <c r="CO103" s="2">
        <f t="shared" si="217"/>
        <v>2561.3333333333339</v>
      </c>
      <c r="CP103" s="2">
        <f t="shared" si="196"/>
        <v>6516.2099166666512</v>
      </c>
      <c r="CQ103" s="2">
        <f t="shared" si="197"/>
        <v>126796.42941999994</v>
      </c>
      <c r="CS103" s="5">
        <f t="shared" si="218"/>
        <v>1000</v>
      </c>
      <c r="CT103" s="2">
        <f t="shared" si="219"/>
        <v>100000</v>
      </c>
      <c r="CU103" s="2">
        <f t="shared" si="220"/>
        <v>100000</v>
      </c>
      <c r="CV103" s="2">
        <f t="shared" si="221"/>
        <v>139904.47757028849</v>
      </c>
      <c r="CW103" s="8">
        <f t="shared" si="198"/>
        <v>4.8000000000000001E-2</v>
      </c>
      <c r="CX103" s="2">
        <f t="shared" si="199"/>
        <v>140464.09548056964</v>
      </c>
      <c r="CY103" s="2" t="str">
        <f t="shared" si="200"/>
        <v>nie</v>
      </c>
      <c r="CZ103" s="2">
        <f t="shared" si="222"/>
        <v>0</v>
      </c>
      <c r="DA103" s="2">
        <f t="shared" si="223"/>
        <v>0</v>
      </c>
      <c r="DB103" s="2">
        <f t="shared" si="224"/>
        <v>140464.09548056964</v>
      </c>
      <c r="DC103" s="2">
        <f t="shared" si="201"/>
        <v>0</v>
      </c>
      <c r="DD103" s="2">
        <f t="shared" si="225"/>
        <v>1000.8964813505224</v>
      </c>
      <c r="DE103" s="2">
        <f t="shared" si="226"/>
        <v>139463.19899921911</v>
      </c>
      <c r="DF103" s="2">
        <f t="shared" si="202"/>
        <v>3000</v>
      </c>
      <c r="DG103" s="2">
        <f t="shared" si="203"/>
        <v>7118.1781413082317</v>
      </c>
      <c r="DH103" s="2">
        <f t="shared" si="227"/>
        <v>129345.02085791087</v>
      </c>
    </row>
    <row r="104" spans="2:112">
      <c r="B104" s="228"/>
      <c r="C104" s="1">
        <f t="shared" si="256"/>
        <v>67</v>
      </c>
      <c r="D104" s="2">
        <f t="shared" si="259"/>
        <v>127724.80172673461</v>
      </c>
      <c r="E104" s="2">
        <f t="shared" si="260"/>
        <v>121404.43138332815</v>
      </c>
      <c r="F104" s="2">
        <f t="shared" si="261"/>
        <v>127717.03521666663</v>
      </c>
      <c r="G104" s="2">
        <f t="shared" si="262"/>
        <v>120294.04129999997</v>
      </c>
      <c r="H104" s="2">
        <f t="shared" si="263"/>
        <v>130262.1875330168</v>
      </c>
      <c r="I104" s="2">
        <f t="shared" si="264"/>
        <v>121951.87883976907</v>
      </c>
      <c r="J104" s="2">
        <f t="shared" si="257"/>
        <v>121158.70118698526</v>
      </c>
      <c r="K104" s="2">
        <f t="shared" si="258"/>
        <v>116681.42997950439</v>
      </c>
      <c r="W104" s="1">
        <f t="shared" si="204"/>
        <v>86</v>
      </c>
      <c r="X104" s="2">
        <f t="shared" si="177"/>
        <v>121891.60506873539</v>
      </c>
      <c r="Y104" s="8">
        <f t="shared" si="230"/>
        <v>4.1300000000000003E-2</v>
      </c>
      <c r="Z104" s="5">
        <f t="shared" si="205"/>
        <v>1302</v>
      </c>
      <c r="AA104" s="2">
        <f t="shared" si="206"/>
        <v>130069.8</v>
      </c>
      <c r="AB104" s="2">
        <f t="shared" si="207"/>
        <v>130200</v>
      </c>
      <c r="AC104" s="2">
        <f t="shared" si="208"/>
        <v>136254.29999999999</v>
      </c>
      <c r="AD104" s="8">
        <f t="shared" si="178"/>
        <v>4.65E-2</v>
      </c>
      <c r="AE104" s="2">
        <f t="shared" si="179"/>
        <v>137310.27082499999</v>
      </c>
      <c r="AF104" s="2" t="str">
        <f t="shared" si="180"/>
        <v>nie</v>
      </c>
      <c r="AG104" s="2">
        <f t="shared" si="181"/>
        <v>1302</v>
      </c>
      <c r="AH104" s="1">
        <f t="shared" si="233"/>
        <v>1</v>
      </c>
      <c r="AI104" s="1">
        <f t="shared" si="171"/>
        <v>1</v>
      </c>
      <c r="AJ104" s="1">
        <f t="shared" si="228"/>
        <v>0</v>
      </c>
      <c r="AK104" s="1">
        <f t="shared" si="254"/>
        <v>0</v>
      </c>
      <c r="AL104" s="2">
        <f t="shared" si="243"/>
        <v>100</v>
      </c>
      <c r="AM104" s="8">
        <f t="shared" si="234"/>
        <v>4.65E-2</v>
      </c>
      <c r="AN104" s="2">
        <f t="shared" si="244"/>
        <v>100.77499999999999</v>
      </c>
      <c r="AO104" s="2">
        <f t="shared" si="235"/>
        <v>0.77499999999999147</v>
      </c>
      <c r="AP104" s="2">
        <f t="shared" si="119"/>
        <v>100</v>
      </c>
      <c r="AQ104" s="8">
        <f t="shared" si="172"/>
        <v>4.1300000000000003E-2</v>
      </c>
      <c r="AR104" s="2">
        <f t="shared" si="113"/>
        <v>100.68833333333333</v>
      </c>
      <c r="AS104" s="2">
        <f t="shared" si="173"/>
        <v>1</v>
      </c>
      <c r="AT104" s="2">
        <f t="shared" si="209"/>
        <v>0</v>
      </c>
      <c r="AU104" s="2">
        <f t="shared" si="245"/>
        <v>0</v>
      </c>
      <c r="AV104" s="2">
        <f t="shared" si="236"/>
        <v>6.9737430424924298</v>
      </c>
      <c r="AW104" s="1">
        <f t="shared" si="231"/>
        <v>0</v>
      </c>
      <c r="AX104" s="2">
        <f t="shared" si="182"/>
        <v>6.9737430424924298</v>
      </c>
      <c r="AY104" s="1">
        <f t="shared" si="237"/>
        <v>0</v>
      </c>
      <c r="AZ104" s="2">
        <f t="shared" si="210"/>
        <v>6.9737430424924298</v>
      </c>
      <c r="BA104" s="2">
        <f t="shared" si="246"/>
        <v>137518.7079013758</v>
      </c>
      <c r="BB104" s="2">
        <f t="shared" si="183"/>
        <v>0</v>
      </c>
      <c r="BC104" s="2">
        <f t="shared" si="211"/>
        <v>982.24613553999768</v>
      </c>
      <c r="BD104" s="2">
        <f t="shared" si="184"/>
        <v>136536.46176583582</v>
      </c>
      <c r="BE104" s="2">
        <f t="shared" si="212"/>
        <v>1303.7750000000001</v>
      </c>
      <c r="BF104" s="2">
        <f t="shared" si="185"/>
        <v>6880.8372512614042</v>
      </c>
      <c r="BG104" s="2">
        <f t="shared" si="186"/>
        <v>128351.84951457442</v>
      </c>
      <c r="BI104" s="8">
        <f t="shared" si="238"/>
        <v>2.8000000000000001E-2</v>
      </c>
      <c r="BJ104" s="5">
        <f t="shared" si="213"/>
        <v>1044</v>
      </c>
      <c r="BK104" s="2">
        <f t="shared" si="214"/>
        <v>104295.6</v>
      </c>
      <c r="BL104" s="2">
        <f t="shared" si="215"/>
        <v>104400</v>
      </c>
      <c r="BM104" s="2">
        <f t="shared" si="187"/>
        <v>104400</v>
      </c>
      <c r="BN104" s="8">
        <f t="shared" si="188"/>
        <v>4.2999999999999997E-2</v>
      </c>
      <c r="BO104" s="2">
        <f t="shared" si="189"/>
        <v>105148.20000000001</v>
      </c>
      <c r="BP104" s="2" t="str">
        <f t="shared" si="190"/>
        <v>nie</v>
      </c>
      <c r="BQ104" s="2">
        <f t="shared" si="191"/>
        <v>2088</v>
      </c>
      <c r="BR104" s="1">
        <f t="shared" si="239"/>
        <v>104</v>
      </c>
      <c r="BS104" s="1">
        <f t="shared" si="174"/>
        <v>99</v>
      </c>
      <c r="BT104" s="1">
        <f t="shared" si="229"/>
        <v>109</v>
      </c>
      <c r="BU104" s="1">
        <f t="shared" si="255"/>
        <v>7</v>
      </c>
      <c r="BV104" s="2">
        <f t="shared" si="247"/>
        <v>10400</v>
      </c>
      <c r="BW104" s="8">
        <f t="shared" si="240"/>
        <v>0.05</v>
      </c>
      <c r="BX104" s="2">
        <f t="shared" si="248"/>
        <v>10486.666666666666</v>
      </c>
      <c r="BY104" s="2">
        <f t="shared" si="241"/>
        <v>86.66666666666606</v>
      </c>
      <c r="BZ104" s="2">
        <f t="shared" si="120"/>
        <v>21500</v>
      </c>
      <c r="CA104" s="8">
        <f t="shared" si="175"/>
        <v>4.2999999999999997E-2</v>
      </c>
      <c r="CB104" s="2">
        <f t="shared" si="249"/>
        <v>21654.083333333336</v>
      </c>
      <c r="CC104" s="2">
        <f t="shared" si="176"/>
        <v>430</v>
      </c>
      <c r="CD104" s="2">
        <f t="shared" si="192"/>
        <v>0</v>
      </c>
      <c r="CE104" s="2">
        <f t="shared" si="250"/>
        <v>0</v>
      </c>
      <c r="CF104" s="2">
        <f t="shared" si="251"/>
        <v>62.699999999939791</v>
      </c>
      <c r="CG104" s="1">
        <f t="shared" si="232"/>
        <v>0</v>
      </c>
      <c r="CH104" s="2">
        <f t="shared" si="193"/>
        <v>62.699999999939791</v>
      </c>
      <c r="CI104" s="1">
        <f t="shared" si="242"/>
        <v>0</v>
      </c>
      <c r="CJ104" s="2">
        <f t="shared" si="252"/>
        <v>62.699999999939791</v>
      </c>
      <c r="CK104" s="2">
        <f t="shared" si="253"/>
        <v>137351.64999999997</v>
      </c>
      <c r="CL104" s="2">
        <f t="shared" si="194"/>
        <v>0</v>
      </c>
      <c r="CM104" s="2">
        <f t="shared" si="216"/>
        <v>983.20232999999962</v>
      </c>
      <c r="CN104" s="2">
        <f t="shared" si="195"/>
        <v>136368.44766999997</v>
      </c>
      <c r="CO104" s="2">
        <f t="shared" si="217"/>
        <v>2604.6666666666661</v>
      </c>
      <c r="CP104" s="2">
        <f t="shared" si="196"/>
        <v>6601.9268333333284</v>
      </c>
      <c r="CQ104" s="2">
        <f t="shared" si="197"/>
        <v>127161.85416999998</v>
      </c>
      <c r="CS104" s="5">
        <f t="shared" si="218"/>
        <v>1000</v>
      </c>
      <c r="CT104" s="2">
        <f t="shared" si="219"/>
        <v>100000</v>
      </c>
      <c r="CU104" s="2">
        <f t="shared" si="220"/>
        <v>100000</v>
      </c>
      <c r="CV104" s="2">
        <f t="shared" si="221"/>
        <v>139904.47757028849</v>
      </c>
      <c r="CW104" s="8">
        <f t="shared" si="198"/>
        <v>4.8000000000000001E-2</v>
      </c>
      <c r="CX104" s="2">
        <f t="shared" si="199"/>
        <v>141023.71339085081</v>
      </c>
      <c r="CY104" s="2" t="str">
        <f t="shared" si="200"/>
        <v>nie</v>
      </c>
      <c r="CZ104" s="2">
        <f t="shared" si="222"/>
        <v>0</v>
      </c>
      <c r="DA104" s="2">
        <f t="shared" si="223"/>
        <v>0</v>
      </c>
      <c r="DB104" s="2">
        <f t="shared" si="224"/>
        <v>141023.71339085081</v>
      </c>
      <c r="DC104" s="2">
        <f t="shared" si="201"/>
        <v>0</v>
      </c>
      <c r="DD104" s="2">
        <f t="shared" si="225"/>
        <v>1000.8964813505224</v>
      </c>
      <c r="DE104" s="2">
        <f t="shared" si="226"/>
        <v>140022.81690950028</v>
      </c>
      <c r="DF104" s="2">
        <f t="shared" si="202"/>
        <v>3000</v>
      </c>
      <c r="DG104" s="2">
        <f t="shared" si="203"/>
        <v>7224.505544261654</v>
      </c>
      <c r="DH104" s="2">
        <f t="shared" si="227"/>
        <v>129798.31136523862</v>
      </c>
    </row>
    <row r="105" spans="2:112">
      <c r="B105" s="228"/>
      <c r="C105" s="1">
        <f t="shared" si="256"/>
        <v>68</v>
      </c>
      <c r="D105" s="2">
        <f t="shared" si="259"/>
        <v>128209.01402604398</v>
      </c>
      <c r="E105" s="2">
        <f t="shared" si="260"/>
        <v>121796.64334576874</v>
      </c>
      <c r="F105" s="2">
        <f t="shared" si="261"/>
        <v>128172.02688333327</v>
      </c>
      <c r="G105" s="2">
        <f t="shared" si="262"/>
        <v>120662.58454999994</v>
      </c>
      <c r="H105" s="2">
        <f t="shared" si="263"/>
        <v>130771.71668913492</v>
      </c>
      <c r="I105" s="2">
        <f t="shared" si="264"/>
        <v>122364.59745622474</v>
      </c>
      <c r="J105" s="2">
        <f t="shared" si="257"/>
        <v>121506.27521101543</v>
      </c>
      <c r="K105" s="2">
        <f t="shared" si="258"/>
        <v>116949.31125528547</v>
      </c>
      <c r="W105" s="1">
        <f t="shared" si="204"/>
        <v>87</v>
      </c>
      <c r="X105" s="2">
        <f t="shared" si="177"/>
        <v>122174.69771488041</v>
      </c>
      <c r="Y105" s="8">
        <f t="shared" si="230"/>
        <v>4.1300000000000003E-2</v>
      </c>
      <c r="Z105" s="5">
        <f t="shared" si="205"/>
        <v>1302</v>
      </c>
      <c r="AA105" s="2">
        <f t="shared" si="206"/>
        <v>130069.8</v>
      </c>
      <c r="AB105" s="2">
        <f t="shared" si="207"/>
        <v>130200</v>
      </c>
      <c r="AC105" s="2">
        <f t="shared" si="208"/>
        <v>136254.29999999999</v>
      </c>
      <c r="AD105" s="8">
        <f t="shared" si="178"/>
        <v>4.65E-2</v>
      </c>
      <c r="AE105" s="2">
        <f t="shared" si="179"/>
        <v>137838.2562375</v>
      </c>
      <c r="AF105" s="2" t="str">
        <f t="shared" si="180"/>
        <v>nie</v>
      </c>
      <c r="AG105" s="2">
        <f t="shared" si="181"/>
        <v>1302</v>
      </c>
      <c r="AH105" s="1">
        <f t="shared" si="233"/>
        <v>1</v>
      </c>
      <c r="AI105" s="1">
        <f t="shared" si="171"/>
        <v>1</v>
      </c>
      <c r="AJ105" s="1">
        <f t="shared" si="228"/>
        <v>0</v>
      </c>
      <c r="AK105" s="1">
        <f t="shared" si="254"/>
        <v>0</v>
      </c>
      <c r="AL105" s="2">
        <f t="shared" si="243"/>
        <v>100</v>
      </c>
      <c r="AM105" s="8">
        <f t="shared" si="234"/>
        <v>4.65E-2</v>
      </c>
      <c r="AN105" s="2">
        <f t="shared" si="244"/>
        <v>101.16249999999999</v>
      </c>
      <c r="AO105" s="2">
        <f t="shared" si="235"/>
        <v>1</v>
      </c>
      <c r="AP105" s="2">
        <f t="shared" si="119"/>
        <v>100</v>
      </c>
      <c r="AQ105" s="8">
        <f t="shared" si="172"/>
        <v>4.1300000000000003E-2</v>
      </c>
      <c r="AR105" s="2">
        <f t="shared" si="113"/>
        <v>101.0325</v>
      </c>
      <c r="AS105" s="2">
        <f t="shared" si="173"/>
        <v>1</v>
      </c>
      <c r="AT105" s="2">
        <f t="shared" si="209"/>
        <v>0</v>
      </c>
      <c r="AU105" s="2">
        <f t="shared" si="245"/>
        <v>0</v>
      </c>
      <c r="AV105" s="2">
        <f t="shared" si="236"/>
        <v>6.9737430424924298</v>
      </c>
      <c r="AW105" s="1">
        <f t="shared" si="231"/>
        <v>0</v>
      </c>
      <c r="AX105" s="2">
        <f t="shared" si="182"/>
        <v>6.9737430424924298</v>
      </c>
      <c r="AY105" s="1">
        <f t="shared" si="237"/>
        <v>0</v>
      </c>
      <c r="AZ105" s="2">
        <f t="shared" si="210"/>
        <v>6.9737430424924298</v>
      </c>
      <c r="BA105" s="2">
        <f t="shared" si="246"/>
        <v>138047.42498054251</v>
      </c>
      <c r="BB105" s="2">
        <f t="shared" si="183"/>
        <v>0</v>
      </c>
      <c r="BC105" s="2">
        <f t="shared" si="211"/>
        <v>982.24613553999768</v>
      </c>
      <c r="BD105" s="2">
        <f t="shared" si="184"/>
        <v>137065.17884500252</v>
      </c>
      <c r="BE105" s="2">
        <f t="shared" si="212"/>
        <v>1304</v>
      </c>
      <c r="BF105" s="2">
        <f t="shared" si="185"/>
        <v>6981.2507463030761</v>
      </c>
      <c r="BG105" s="2">
        <f t="shared" si="186"/>
        <v>128779.92809869944</v>
      </c>
      <c r="BI105" s="8">
        <f t="shared" si="238"/>
        <v>2.8000000000000001E-2</v>
      </c>
      <c r="BJ105" s="5">
        <f t="shared" si="213"/>
        <v>1044</v>
      </c>
      <c r="BK105" s="2">
        <f t="shared" si="214"/>
        <v>104295.6</v>
      </c>
      <c r="BL105" s="2">
        <f t="shared" si="215"/>
        <v>104400</v>
      </c>
      <c r="BM105" s="2">
        <f t="shared" si="187"/>
        <v>104400</v>
      </c>
      <c r="BN105" s="8">
        <f t="shared" si="188"/>
        <v>4.2999999999999997E-2</v>
      </c>
      <c r="BO105" s="2">
        <f t="shared" si="189"/>
        <v>105522.3</v>
      </c>
      <c r="BP105" s="2" t="str">
        <f t="shared" si="190"/>
        <v>nie</v>
      </c>
      <c r="BQ105" s="2">
        <f t="shared" si="191"/>
        <v>2088</v>
      </c>
      <c r="BR105" s="1">
        <f t="shared" si="239"/>
        <v>104</v>
      </c>
      <c r="BS105" s="1">
        <f t="shared" si="174"/>
        <v>99</v>
      </c>
      <c r="BT105" s="1">
        <f t="shared" si="229"/>
        <v>109</v>
      </c>
      <c r="BU105" s="1">
        <f t="shared" si="255"/>
        <v>7</v>
      </c>
      <c r="BV105" s="2">
        <f t="shared" si="247"/>
        <v>10400</v>
      </c>
      <c r="BW105" s="8">
        <f t="shared" si="240"/>
        <v>0.05</v>
      </c>
      <c r="BX105" s="2">
        <f t="shared" si="248"/>
        <v>10530</v>
      </c>
      <c r="BY105" s="2">
        <f t="shared" si="241"/>
        <v>130</v>
      </c>
      <c r="BZ105" s="2">
        <f t="shared" si="120"/>
        <v>21500</v>
      </c>
      <c r="CA105" s="8">
        <f t="shared" si="175"/>
        <v>4.2999999999999997E-2</v>
      </c>
      <c r="CB105" s="2">
        <f t="shared" si="249"/>
        <v>21731.125</v>
      </c>
      <c r="CC105" s="2">
        <f t="shared" si="176"/>
        <v>430</v>
      </c>
      <c r="CD105" s="2">
        <f t="shared" si="192"/>
        <v>0</v>
      </c>
      <c r="CE105" s="2">
        <f t="shared" si="250"/>
        <v>0</v>
      </c>
      <c r="CF105" s="2">
        <f t="shared" si="251"/>
        <v>62.699999999939791</v>
      </c>
      <c r="CG105" s="1">
        <f t="shared" si="232"/>
        <v>0</v>
      </c>
      <c r="CH105" s="2">
        <f t="shared" si="193"/>
        <v>62.699999999939791</v>
      </c>
      <c r="CI105" s="1">
        <f t="shared" si="242"/>
        <v>0</v>
      </c>
      <c r="CJ105" s="2">
        <f t="shared" si="252"/>
        <v>62.699999999939791</v>
      </c>
      <c r="CK105" s="2">
        <f t="shared" si="253"/>
        <v>137846.12499999994</v>
      </c>
      <c r="CL105" s="2">
        <f t="shared" si="194"/>
        <v>0</v>
      </c>
      <c r="CM105" s="2">
        <f t="shared" si="216"/>
        <v>983.20232999999962</v>
      </c>
      <c r="CN105" s="2">
        <f t="shared" si="195"/>
        <v>136862.92266999994</v>
      </c>
      <c r="CO105" s="2">
        <f t="shared" si="217"/>
        <v>2648</v>
      </c>
      <c r="CP105" s="2">
        <f t="shared" si="196"/>
        <v>6687.6437499999893</v>
      </c>
      <c r="CQ105" s="2">
        <f t="shared" si="197"/>
        <v>127527.27891999995</v>
      </c>
      <c r="CS105" s="5">
        <f t="shared" si="218"/>
        <v>1000</v>
      </c>
      <c r="CT105" s="2">
        <f t="shared" si="219"/>
        <v>100000</v>
      </c>
      <c r="CU105" s="2">
        <f t="shared" si="220"/>
        <v>100000</v>
      </c>
      <c r="CV105" s="2">
        <f t="shared" si="221"/>
        <v>139904.47757028849</v>
      </c>
      <c r="CW105" s="8">
        <f t="shared" si="198"/>
        <v>4.8000000000000001E-2</v>
      </c>
      <c r="CX105" s="2">
        <f t="shared" si="199"/>
        <v>141583.33130113196</v>
      </c>
      <c r="CY105" s="2" t="str">
        <f t="shared" si="200"/>
        <v>nie</v>
      </c>
      <c r="CZ105" s="2">
        <f t="shared" si="222"/>
        <v>0</v>
      </c>
      <c r="DA105" s="2">
        <f t="shared" si="223"/>
        <v>0</v>
      </c>
      <c r="DB105" s="2">
        <f t="shared" si="224"/>
        <v>141583.33130113196</v>
      </c>
      <c r="DC105" s="2">
        <f t="shared" si="201"/>
        <v>0</v>
      </c>
      <c r="DD105" s="2">
        <f t="shared" si="225"/>
        <v>1000.8964813505224</v>
      </c>
      <c r="DE105" s="2">
        <f t="shared" si="226"/>
        <v>140582.43481978143</v>
      </c>
      <c r="DF105" s="2">
        <f t="shared" si="202"/>
        <v>3000</v>
      </c>
      <c r="DG105" s="2">
        <f t="shared" si="203"/>
        <v>7330.8329472150717</v>
      </c>
      <c r="DH105" s="2">
        <f t="shared" si="227"/>
        <v>130251.60187256636</v>
      </c>
    </row>
    <row r="106" spans="2:112">
      <c r="B106" s="228"/>
      <c r="C106" s="1">
        <f t="shared" si="256"/>
        <v>69</v>
      </c>
      <c r="D106" s="2">
        <f t="shared" si="259"/>
        <v>128693.22632535336</v>
      </c>
      <c r="E106" s="2">
        <f t="shared" si="260"/>
        <v>122188.85530820933</v>
      </c>
      <c r="F106" s="2">
        <f t="shared" si="261"/>
        <v>128627.01854999994</v>
      </c>
      <c r="G106" s="2">
        <f t="shared" si="262"/>
        <v>121031.12779999994</v>
      </c>
      <c r="H106" s="2">
        <f t="shared" si="263"/>
        <v>131281.24584525303</v>
      </c>
      <c r="I106" s="2">
        <f t="shared" si="264"/>
        <v>122777.31607268042</v>
      </c>
      <c r="J106" s="2">
        <f t="shared" si="257"/>
        <v>121854.84633802703</v>
      </c>
      <c r="K106" s="2">
        <f t="shared" si="258"/>
        <v>117217.19253106655</v>
      </c>
      <c r="W106" s="1">
        <f t="shared" si="204"/>
        <v>88</v>
      </c>
      <c r="X106" s="2">
        <f t="shared" si="177"/>
        <v>122457.79036102547</v>
      </c>
      <c r="Y106" s="8">
        <f t="shared" si="230"/>
        <v>4.1300000000000003E-2</v>
      </c>
      <c r="Z106" s="5">
        <f t="shared" si="205"/>
        <v>1302</v>
      </c>
      <c r="AA106" s="2">
        <f t="shared" si="206"/>
        <v>130069.8</v>
      </c>
      <c r="AB106" s="2">
        <f t="shared" si="207"/>
        <v>130200</v>
      </c>
      <c r="AC106" s="2">
        <f t="shared" si="208"/>
        <v>136254.29999999999</v>
      </c>
      <c r="AD106" s="8">
        <f t="shared" si="178"/>
        <v>4.65E-2</v>
      </c>
      <c r="AE106" s="2">
        <f t="shared" si="179"/>
        <v>138366.24165000001</v>
      </c>
      <c r="AF106" s="2" t="str">
        <f t="shared" si="180"/>
        <v>nie</v>
      </c>
      <c r="AG106" s="2">
        <f t="shared" si="181"/>
        <v>1302</v>
      </c>
      <c r="AH106" s="1">
        <f t="shared" si="233"/>
        <v>1</v>
      </c>
      <c r="AI106" s="1">
        <f t="shared" si="171"/>
        <v>1</v>
      </c>
      <c r="AJ106" s="1">
        <f t="shared" si="228"/>
        <v>0</v>
      </c>
      <c r="AK106" s="1">
        <f t="shared" si="254"/>
        <v>0</v>
      </c>
      <c r="AL106" s="2">
        <f t="shared" si="243"/>
        <v>100</v>
      </c>
      <c r="AM106" s="8">
        <f t="shared" si="234"/>
        <v>4.65E-2</v>
      </c>
      <c r="AN106" s="2">
        <f t="shared" si="244"/>
        <v>101.55000000000001</v>
      </c>
      <c r="AO106" s="2">
        <f t="shared" si="235"/>
        <v>1</v>
      </c>
      <c r="AP106" s="2">
        <f t="shared" si="119"/>
        <v>100</v>
      </c>
      <c r="AQ106" s="8">
        <f t="shared" si="172"/>
        <v>4.1300000000000003E-2</v>
      </c>
      <c r="AR106" s="2">
        <f t="shared" si="113"/>
        <v>101.37666666666667</v>
      </c>
      <c r="AS106" s="2">
        <f t="shared" si="173"/>
        <v>1</v>
      </c>
      <c r="AT106" s="2">
        <f t="shared" si="209"/>
        <v>0</v>
      </c>
      <c r="AU106" s="2">
        <f t="shared" si="245"/>
        <v>0</v>
      </c>
      <c r="AV106" s="2">
        <f t="shared" si="236"/>
        <v>6.9737430424924298</v>
      </c>
      <c r="AW106" s="1">
        <f t="shared" si="231"/>
        <v>0</v>
      </c>
      <c r="AX106" s="2">
        <f t="shared" si="182"/>
        <v>6.9737430424924298</v>
      </c>
      <c r="AY106" s="1">
        <f t="shared" si="237"/>
        <v>0</v>
      </c>
      <c r="AZ106" s="2">
        <f t="shared" si="210"/>
        <v>6.9737430424924298</v>
      </c>
      <c r="BA106" s="2">
        <f t="shared" si="246"/>
        <v>138576.14205970918</v>
      </c>
      <c r="BB106" s="2">
        <f t="shared" si="183"/>
        <v>0</v>
      </c>
      <c r="BC106" s="2">
        <f t="shared" si="211"/>
        <v>982.24613553999768</v>
      </c>
      <c r="BD106" s="2">
        <f t="shared" si="184"/>
        <v>137593.89592416919</v>
      </c>
      <c r="BE106" s="2">
        <f t="shared" si="212"/>
        <v>1304</v>
      </c>
      <c r="BF106" s="2">
        <f t="shared" si="185"/>
        <v>7081.706991344744</v>
      </c>
      <c r="BG106" s="2">
        <f t="shared" si="186"/>
        <v>129208.18893282444</v>
      </c>
      <c r="BI106" s="8">
        <f t="shared" si="238"/>
        <v>2.8000000000000001E-2</v>
      </c>
      <c r="BJ106" s="5">
        <f t="shared" si="213"/>
        <v>1044</v>
      </c>
      <c r="BK106" s="2">
        <f t="shared" si="214"/>
        <v>104295.6</v>
      </c>
      <c r="BL106" s="2">
        <f t="shared" si="215"/>
        <v>104400</v>
      </c>
      <c r="BM106" s="2">
        <f t="shared" si="187"/>
        <v>104400</v>
      </c>
      <c r="BN106" s="8">
        <f t="shared" si="188"/>
        <v>4.2999999999999997E-2</v>
      </c>
      <c r="BO106" s="2">
        <f t="shared" si="189"/>
        <v>105896.4</v>
      </c>
      <c r="BP106" s="2" t="str">
        <f t="shared" si="190"/>
        <v>nie</v>
      </c>
      <c r="BQ106" s="2">
        <f t="shared" si="191"/>
        <v>2088</v>
      </c>
      <c r="BR106" s="1">
        <f t="shared" si="239"/>
        <v>104</v>
      </c>
      <c r="BS106" s="1">
        <f t="shared" si="174"/>
        <v>99</v>
      </c>
      <c r="BT106" s="1">
        <f t="shared" si="229"/>
        <v>109</v>
      </c>
      <c r="BU106" s="1">
        <f t="shared" si="255"/>
        <v>7</v>
      </c>
      <c r="BV106" s="2">
        <f t="shared" si="247"/>
        <v>10400</v>
      </c>
      <c r="BW106" s="8">
        <f t="shared" si="240"/>
        <v>0.05</v>
      </c>
      <c r="BX106" s="2">
        <f t="shared" si="248"/>
        <v>10573.333333333332</v>
      </c>
      <c r="BY106" s="2">
        <f t="shared" si="241"/>
        <v>173.33333333333212</v>
      </c>
      <c r="BZ106" s="2">
        <f t="shared" si="120"/>
        <v>21500</v>
      </c>
      <c r="CA106" s="8">
        <f t="shared" si="175"/>
        <v>4.2999999999999997E-2</v>
      </c>
      <c r="CB106" s="2">
        <f t="shared" si="249"/>
        <v>21808.166666666668</v>
      </c>
      <c r="CC106" s="2">
        <f t="shared" si="176"/>
        <v>430</v>
      </c>
      <c r="CD106" s="2">
        <f t="shared" si="192"/>
        <v>0</v>
      </c>
      <c r="CE106" s="2">
        <f t="shared" si="250"/>
        <v>0</v>
      </c>
      <c r="CF106" s="2">
        <f t="shared" si="251"/>
        <v>62.699999999939791</v>
      </c>
      <c r="CG106" s="1">
        <f t="shared" si="232"/>
        <v>0</v>
      </c>
      <c r="CH106" s="2">
        <f t="shared" si="193"/>
        <v>62.699999999939791</v>
      </c>
      <c r="CI106" s="1">
        <f t="shared" si="242"/>
        <v>0</v>
      </c>
      <c r="CJ106" s="2">
        <f t="shared" si="252"/>
        <v>62.699999999939791</v>
      </c>
      <c r="CK106" s="2">
        <f t="shared" si="253"/>
        <v>138340.59999999995</v>
      </c>
      <c r="CL106" s="2">
        <f t="shared" si="194"/>
        <v>0</v>
      </c>
      <c r="CM106" s="2">
        <f t="shared" si="216"/>
        <v>983.20232999999962</v>
      </c>
      <c r="CN106" s="2">
        <f t="shared" si="195"/>
        <v>137357.39766999995</v>
      </c>
      <c r="CO106" s="2">
        <f t="shared" si="217"/>
        <v>2691.3333333333321</v>
      </c>
      <c r="CP106" s="2">
        <f t="shared" si="196"/>
        <v>6773.3606666666547</v>
      </c>
      <c r="CQ106" s="2">
        <f t="shared" si="197"/>
        <v>127892.70366999994</v>
      </c>
      <c r="CS106" s="5">
        <f t="shared" si="218"/>
        <v>1000</v>
      </c>
      <c r="CT106" s="2">
        <f t="shared" si="219"/>
        <v>100000</v>
      </c>
      <c r="CU106" s="2">
        <f t="shared" si="220"/>
        <v>100000</v>
      </c>
      <c r="CV106" s="2">
        <f t="shared" si="221"/>
        <v>139904.47757028849</v>
      </c>
      <c r="CW106" s="8">
        <f t="shared" si="198"/>
        <v>4.8000000000000001E-2</v>
      </c>
      <c r="CX106" s="2">
        <f t="shared" si="199"/>
        <v>142142.9492114131</v>
      </c>
      <c r="CY106" s="2" t="str">
        <f t="shared" si="200"/>
        <v>nie</v>
      </c>
      <c r="CZ106" s="2">
        <f t="shared" si="222"/>
        <v>0</v>
      </c>
      <c r="DA106" s="2">
        <f t="shared" si="223"/>
        <v>0</v>
      </c>
      <c r="DB106" s="2">
        <f t="shared" si="224"/>
        <v>142142.9492114131</v>
      </c>
      <c r="DC106" s="2">
        <f t="shared" si="201"/>
        <v>0</v>
      </c>
      <c r="DD106" s="2">
        <f t="shared" si="225"/>
        <v>1000.8964813505224</v>
      </c>
      <c r="DE106" s="2">
        <f t="shared" si="226"/>
        <v>141142.05273006257</v>
      </c>
      <c r="DF106" s="2">
        <f t="shared" si="202"/>
        <v>3000</v>
      </c>
      <c r="DG106" s="2">
        <f t="shared" si="203"/>
        <v>7437.1603501684885</v>
      </c>
      <c r="DH106" s="2">
        <f t="shared" si="227"/>
        <v>130704.89237989408</v>
      </c>
    </row>
    <row r="107" spans="2:112">
      <c r="B107" s="228"/>
      <c r="C107" s="1">
        <f t="shared" si="256"/>
        <v>70</v>
      </c>
      <c r="D107" s="2">
        <f t="shared" si="259"/>
        <v>129177.43862466274</v>
      </c>
      <c r="E107" s="2">
        <f t="shared" si="260"/>
        <v>122581.06727064993</v>
      </c>
      <c r="F107" s="2">
        <f t="shared" si="261"/>
        <v>129082.01021666663</v>
      </c>
      <c r="G107" s="2">
        <f t="shared" si="262"/>
        <v>121399.67104999998</v>
      </c>
      <c r="H107" s="2">
        <f t="shared" si="263"/>
        <v>131790.77500137113</v>
      </c>
      <c r="I107" s="2">
        <f t="shared" si="264"/>
        <v>123190.03468913608</v>
      </c>
      <c r="J107" s="2">
        <f t="shared" si="257"/>
        <v>122204.41742845924</v>
      </c>
      <c r="K107" s="2">
        <f t="shared" si="258"/>
        <v>117485.07380684766</v>
      </c>
      <c r="W107" s="1">
        <f t="shared" si="204"/>
        <v>89</v>
      </c>
      <c r="X107" s="2">
        <f t="shared" si="177"/>
        <v>122740.88300717052</v>
      </c>
      <c r="Y107" s="8">
        <f t="shared" si="230"/>
        <v>4.1300000000000003E-2</v>
      </c>
      <c r="Z107" s="5">
        <f t="shared" si="205"/>
        <v>1302</v>
      </c>
      <c r="AA107" s="2">
        <f t="shared" si="206"/>
        <v>130069.8</v>
      </c>
      <c r="AB107" s="2">
        <f t="shared" si="207"/>
        <v>130200</v>
      </c>
      <c r="AC107" s="2">
        <f t="shared" si="208"/>
        <v>136254.29999999999</v>
      </c>
      <c r="AD107" s="8">
        <f t="shared" si="178"/>
        <v>4.65E-2</v>
      </c>
      <c r="AE107" s="2">
        <f t="shared" si="179"/>
        <v>138894.22706249997</v>
      </c>
      <c r="AF107" s="2" t="str">
        <f t="shared" si="180"/>
        <v>nie</v>
      </c>
      <c r="AG107" s="2">
        <f t="shared" si="181"/>
        <v>1302</v>
      </c>
      <c r="AH107" s="1">
        <f t="shared" si="233"/>
        <v>1</v>
      </c>
      <c r="AI107" s="1">
        <f t="shared" ref="AI107:AI138" si="265">IF(zapadalnosc_TOS/12&gt;=AI$18,AH95,0)</f>
        <v>1</v>
      </c>
      <c r="AJ107" s="1">
        <f t="shared" si="228"/>
        <v>0</v>
      </c>
      <c r="AK107" s="1">
        <f t="shared" si="254"/>
        <v>0</v>
      </c>
      <c r="AL107" s="2">
        <f t="shared" si="243"/>
        <v>100</v>
      </c>
      <c r="AM107" s="8">
        <f t="shared" si="234"/>
        <v>4.65E-2</v>
      </c>
      <c r="AN107" s="2">
        <f t="shared" si="244"/>
        <v>101.93749999999999</v>
      </c>
      <c r="AO107" s="2">
        <f t="shared" si="235"/>
        <v>1</v>
      </c>
      <c r="AP107" s="2">
        <f t="shared" si="119"/>
        <v>100</v>
      </c>
      <c r="AQ107" s="8">
        <f t="shared" ref="AQ107:AQ138" si="266">marza_TOS+Y107</f>
        <v>4.1300000000000003E-2</v>
      </c>
      <c r="AR107" s="2">
        <f t="shared" ref="AR107:AR162" si="267">AP107*(1+AQ107*IF(MOD($W107,12)&lt;&gt;0,MOD($W107,12),12)/12)</f>
        <v>101.72083333333333</v>
      </c>
      <c r="AS107" s="2">
        <f t="shared" ref="AS107:AS138" si="268">SUM(AI107:AK107)*koszt_wczesniejszy_wykup_TOS</f>
        <v>1</v>
      </c>
      <c r="AT107" s="2">
        <f t="shared" si="209"/>
        <v>0</v>
      </c>
      <c r="AU107" s="2">
        <f t="shared" si="245"/>
        <v>0</v>
      </c>
      <c r="AV107" s="2">
        <f t="shared" si="236"/>
        <v>6.9737430424924298</v>
      </c>
      <c r="AW107" s="1">
        <f t="shared" si="231"/>
        <v>0</v>
      </c>
      <c r="AX107" s="2">
        <f t="shared" si="182"/>
        <v>6.9737430424924298</v>
      </c>
      <c r="AY107" s="1">
        <f t="shared" si="237"/>
        <v>0</v>
      </c>
      <c r="AZ107" s="2">
        <f t="shared" si="210"/>
        <v>6.9737430424924298</v>
      </c>
      <c r="BA107" s="2">
        <f t="shared" si="246"/>
        <v>139104.85913887579</v>
      </c>
      <c r="BB107" s="2">
        <f t="shared" si="183"/>
        <v>0</v>
      </c>
      <c r="BC107" s="2">
        <f t="shared" si="211"/>
        <v>982.24613553999768</v>
      </c>
      <c r="BD107" s="2">
        <f t="shared" si="184"/>
        <v>138122.61300333581</v>
      </c>
      <c r="BE107" s="2">
        <f t="shared" si="212"/>
        <v>1304</v>
      </c>
      <c r="BF107" s="2">
        <f t="shared" si="185"/>
        <v>7182.163236386401</v>
      </c>
      <c r="BG107" s="2">
        <f t="shared" si="186"/>
        <v>129636.4497669494</v>
      </c>
      <c r="BI107" s="8">
        <f t="shared" si="238"/>
        <v>2.8000000000000001E-2</v>
      </c>
      <c r="BJ107" s="5">
        <f t="shared" si="213"/>
        <v>1044</v>
      </c>
      <c r="BK107" s="2">
        <f t="shared" si="214"/>
        <v>104295.6</v>
      </c>
      <c r="BL107" s="2">
        <f t="shared" si="215"/>
        <v>104400</v>
      </c>
      <c r="BM107" s="2">
        <f t="shared" si="187"/>
        <v>104400</v>
      </c>
      <c r="BN107" s="8">
        <f t="shared" si="188"/>
        <v>4.2999999999999997E-2</v>
      </c>
      <c r="BO107" s="2">
        <f t="shared" si="189"/>
        <v>106270.49999999999</v>
      </c>
      <c r="BP107" s="2" t="str">
        <f t="shared" si="190"/>
        <v>nie</v>
      </c>
      <c r="BQ107" s="2">
        <f t="shared" si="191"/>
        <v>2088</v>
      </c>
      <c r="BR107" s="1">
        <f t="shared" si="239"/>
        <v>104</v>
      </c>
      <c r="BS107" s="1">
        <f t="shared" ref="BS107:BS138" si="269">IF(zapadalnosc_COI/12&gt;=BS$18,BR95,0)</f>
        <v>99</v>
      </c>
      <c r="BT107" s="1">
        <f t="shared" si="229"/>
        <v>109</v>
      </c>
      <c r="BU107" s="1">
        <f t="shared" si="255"/>
        <v>7</v>
      </c>
      <c r="BV107" s="2">
        <f t="shared" si="247"/>
        <v>10400</v>
      </c>
      <c r="BW107" s="8">
        <f t="shared" si="240"/>
        <v>0.05</v>
      </c>
      <c r="BX107" s="2">
        <f t="shared" si="248"/>
        <v>10616.666666666666</v>
      </c>
      <c r="BY107" s="2">
        <f t="shared" si="241"/>
        <v>208</v>
      </c>
      <c r="BZ107" s="2">
        <f t="shared" si="120"/>
        <v>21500</v>
      </c>
      <c r="CA107" s="8">
        <f t="shared" ref="CA107:CA138" si="270">marza_COI+BI107</f>
        <v>4.2999999999999997E-2</v>
      </c>
      <c r="CB107" s="2">
        <f t="shared" si="249"/>
        <v>21885.208333333332</v>
      </c>
      <c r="CC107" s="2">
        <f t="shared" ref="CC107:CC138" si="271">SUM(BS107:BU107)*koszt_wczesniejszy_wykup_COI</f>
        <v>430</v>
      </c>
      <c r="CD107" s="2">
        <f t="shared" si="192"/>
        <v>0</v>
      </c>
      <c r="CE107" s="2">
        <f t="shared" si="250"/>
        <v>0</v>
      </c>
      <c r="CF107" s="2">
        <f t="shared" si="251"/>
        <v>62.699999999939791</v>
      </c>
      <c r="CG107" s="1">
        <f t="shared" si="232"/>
        <v>0</v>
      </c>
      <c r="CH107" s="2">
        <f t="shared" si="193"/>
        <v>62.699999999939791</v>
      </c>
      <c r="CI107" s="1">
        <f t="shared" si="242"/>
        <v>0</v>
      </c>
      <c r="CJ107" s="2">
        <f t="shared" si="252"/>
        <v>62.699999999939791</v>
      </c>
      <c r="CK107" s="2">
        <f t="shared" si="253"/>
        <v>138835.07499999995</v>
      </c>
      <c r="CL107" s="2">
        <f t="shared" si="194"/>
        <v>0</v>
      </c>
      <c r="CM107" s="2">
        <f t="shared" si="216"/>
        <v>983.20232999999962</v>
      </c>
      <c r="CN107" s="2">
        <f t="shared" si="195"/>
        <v>137851.87266999995</v>
      </c>
      <c r="CO107" s="2">
        <f t="shared" si="217"/>
        <v>2726</v>
      </c>
      <c r="CP107" s="2">
        <f t="shared" si="196"/>
        <v>6860.7242499999911</v>
      </c>
      <c r="CQ107" s="2">
        <f t="shared" si="197"/>
        <v>128265.14841999997</v>
      </c>
      <c r="CS107" s="5">
        <f t="shared" si="218"/>
        <v>1000</v>
      </c>
      <c r="CT107" s="2">
        <f t="shared" si="219"/>
        <v>100000</v>
      </c>
      <c r="CU107" s="2">
        <f t="shared" si="220"/>
        <v>100000</v>
      </c>
      <c r="CV107" s="2">
        <f t="shared" si="221"/>
        <v>139904.47757028849</v>
      </c>
      <c r="CW107" s="8">
        <f t="shared" si="198"/>
        <v>4.8000000000000001E-2</v>
      </c>
      <c r="CX107" s="2">
        <f t="shared" si="199"/>
        <v>142702.56712169427</v>
      </c>
      <c r="CY107" s="2" t="str">
        <f t="shared" si="200"/>
        <v>nie</v>
      </c>
      <c r="CZ107" s="2">
        <f t="shared" si="222"/>
        <v>0</v>
      </c>
      <c r="DA107" s="2">
        <f t="shared" si="223"/>
        <v>0</v>
      </c>
      <c r="DB107" s="2">
        <f t="shared" si="224"/>
        <v>142702.56712169427</v>
      </c>
      <c r="DC107" s="2">
        <f t="shared" si="201"/>
        <v>0</v>
      </c>
      <c r="DD107" s="2">
        <f t="shared" si="225"/>
        <v>1000.8964813505224</v>
      </c>
      <c r="DE107" s="2">
        <f t="shared" si="226"/>
        <v>141701.67064034374</v>
      </c>
      <c r="DF107" s="2">
        <f t="shared" si="202"/>
        <v>3000</v>
      </c>
      <c r="DG107" s="2">
        <f t="shared" si="203"/>
        <v>7543.4877531219117</v>
      </c>
      <c r="DH107" s="2">
        <f t="shared" si="227"/>
        <v>131158.18288722183</v>
      </c>
    </row>
    <row r="108" spans="2:112">
      <c r="B108" s="229"/>
      <c r="C108" s="1">
        <f t="shared" si="256"/>
        <v>71</v>
      </c>
      <c r="D108" s="2">
        <f t="shared" si="259"/>
        <v>129661.65092397211</v>
      </c>
      <c r="E108" s="2">
        <f t="shared" si="260"/>
        <v>122973.27923309052</v>
      </c>
      <c r="F108" s="2">
        <f t="shared" si="261"/>
        <v>129537.0018833333</v>
      </c>
      <c r="G108" s="2">
        <f t="shared" si="262"/>
        <v>121768.21429999998</v>
      </c>
      <c r="H108" s="2">
        <f t="shared" si="263"/>
        <v>132300.30415748927</v>
      </c>
      <c r="I108" s="2">
        <f t="shared" si="264"/>
        <v>123602.75330559177</v>
      </c>
      <c r="J108" s="2">
        <f t="shared" si="257"/>
        <v>122554.99135095713</v>
      </c>
      <c r="K108" s="2">
        <f t="shared" si="258"/>
        <v>117752.95508262875</v>
      </c>
      <c r="W108" s="1">
        <f t="shared" si="204"/>
        <v>90</v>
      </c>
      <c r="X108" s="2">
        <f t="shared" si="177"/>
        <v>123023.97565331555</v>
      </c>
      <c r="Y108" s="8">
        <f t="shared" si="230"/>
        <v>4.1300000000000003E-2</v>
      </c>
      <c r="Z108" s="5">
        <f t="shared" si="205"/>
        <v>1302</v>
      </c>
      <c r="AA108" s="2">
        <f t="shared" si="206"/>
        <v>130069.8</v>
      </c>
      <c r="AB108" s="2">
        <f t="shared" si="207"/>
        <v>130200</v>
      </c>
      <c r="AC108" s="2">
        <f t="shared" si="208"/>
        <v>136254.29999999999</v>
      </c>
      <c r="AD108" s="8">
        <f t="shared" si="178"/>
        <v>4.65E-2</v>
      </c>
      <c r="AE108" s="2">
        <f t="shared" si="179"/>
        <v>139422.21247499998</v>
      </c>
      <c r="AF108" s="2" t="str">
        <f t="shared" si="180"/>
        <v>nie</v>
      </c>
      <c r="AG108" s="2">
        <f t="shared" si="181"/>
        <v>1302</v>
      </c>
      <c r="AH108" s="1">
        <f t="shared" si="233"/>
        <v>1</v>
      </c>
      <c r="AI108" s="1">
        <f t="shared" si="265"/>
        <v>1</v>
      </c>
      <c r="AJ108" s="1">
        <f t="shared" si="228"/>
        <v>0</v>
      </c>
      <c r="AK108" s="1">
        <f t="shared" si="254"/>
        <v>0</v>
      </c>
      <c r="AL108" s="2">
        <f t="shared" si="243"/>
        <v>100</v>
      </c>
      <c r="AM108" s="8">
        <f t="shared" si="234"/>
        <v>4.65E-2</v>
      </c>
      <c r="AN108" s="2">
        <f t="shared" si="244"/>
        <v>102.325</v>
      </c>
      <c r="AO108" s="2">
        <f t="shared" si="235"/>
        <v>1</v>
      </c>
      <c r="AP108" s="2">
        <f t="shared" ref="AP108:AP162" si="272">SUM(AI108:AK108)*100</f>
        <v>100</v>
      </c>
      <c r="AQ108" s="8">
        <f t="shared" si="266"/>
        <v>4.1300000000000003E-2</v>
      </c>
      <c r="AR108" s="2">
        <f t="shared" si="267"/>
        <v>102.06500000000001</v>
      </c>
      <c r="AS108" s="2">
        <f t="shared" si="268"/>
        <v>1</v>
      </c>
      <c r="AT108" s="2">
        <f t="shared" si="209"/>
        <v>0</v>
      </c>
      <c r="AU108" s="2">
        <f t="shared" si="245"/>
        <v>0</v>
      </c>
      <c r="AV108" s="2">
        <f t="shared" si="236"/>
        <v>6.9737430424924298</v>
      </c>
      <c r="AW108" s="1">
        <f t="shared" si="231"/>
        <v>0</v>
      </c>
      <c r="AX108" s="2">
        <f t="shared" si="182"/>
        <v>6.9737430424924298</v>
      </c>
      <c r="AY108" s="1">
        <f t="shared" si="237"/>
        <v>0</v>
      </c>
      <c r="AZ108" s="2">
        <f t="shared" si="210"/>
        <v>6.9737430424924298</v>
      </c>
      <c r="BA108" s="2">
        <f t="shared" si="246"/>
        <v>139633.57621804249</v>
      </c>
      <c r="BB108" s="2">
        <f t="shared" si="183"/>
        <v>0</v>
      </c>
      <c r="BC108" s="2">
        <f t="shared" si="211"/>
        <v>982.24613553999768</v>
      </c>
      <c r="BD108" s="2">
        <f t="shared" si="184"/>
        <v>138651.33008250251</v>
      </c>
      <c r="BE108" s="2">
        <f t="shared" si="212"/>
        <v>1304</v>
      </c>
      <c r="BF108" s="2">
        <f t="shared" si="185"/>
        <v>7282.6194814280734</v>
      </c>
      <c r="BG108" s="2">
        <f t="shared" si="186"/>
        <v>130064.71060107443</v>
      </c>
      <c r="BI108" s="8">
        <f t="shared" si="238"/>
        <v>2.8000000000000001E-2</v>
      </c>
      <c r="BJ108" s="5">
        <f t="shared" si="213"/>
        <v>1044</v>
      </c>
      <c r="BK108" s="2">
        <f t="shared" si="214"/>
        <v>104295.6</v>
      </c>
      <c r="BL108" s="2">
        <f t="shared" si="215"/>
        <v>104400</v>
      </c>
      <c r="BM108" s="2">
        <f t="shared" si="187"/>
        <v>104400</v>
      </c>
      <c r="BN108" s="8">
        <f t="shared" si="188"/>
        <v>4.2999999999999997E-2</v>
      </c>
      <c r="BO108" s="2">
        <f t="shared" si="189"/>
        <v>106644.6</v>
      </c>
      <c r="BP108" s="2" t="str">
        <f t="shared" si="190"/>
        <v>nie</v>
      </c>
      <c r="BQ108" s="2">
        <f t="shared" si="191"/>
        <v>2088</v>
      </c>
      <c r="BR108" s="1">
        <f t="shared" si="239"/>
        <v>104</v>
      </c>
      <c r="BS108" s="1">
        <f t="shared" si="269"/>
        <v>99</v>
      </c>
      <c r="BT108" s="1">
        <f t="shared" si="229"/>
        <v>109</v>
      </c>
      <c r="BU108" s="1">
        <f t="shared" si="255"/>
        <v>7</v>
      </c>
      <c r="BV108" s="2">
        <f t="shared" si="247"/>
        <v>10400</v>
      </c>
      <c r="BW108" s="8">
        <f t="shared" si="240"/>
        <v>0.05</v>
      </c>
      <c r="BX108" s="2">
        <f t="shared" si="248"/>
        <v>10659.999999999998</v>
      </c>
      <c r="BY108" s="2">
        <f t="shared" si="241"/>
        <v>208</v>
      </c>
      <c r="BZ108" s="2">
        <f t="shared" ref="BZ108:BZ162" si="273">SUM(BS108:BU108)*100</f>
        <v>21500</v>
      </c>
      <c r="CA108" s="8">
        <f t="shared" si="270"/>
        <v>4.2999999999999997E-2</v>
      </c>
      <c r="CB108" s="2">
        <f t="shared" si="249"/>
        <v>21962.25</v>
      </c>
      <c r="CC108" s="2">
        <f t="shared" si="271"/>
        <v>430</v>
      </c>
      <c r="CD108" s="2">
        <f t="shared" si="192"/>
        <v>0</v>
      </c>
      <c r="CE108" s="2">
        <f t="shared" si="250"/>
        <v>0</v>
      </c>
      <c r="CF108" s="2">
        <f t="shared" si="251"/>
        <v>62.699999999939791</v>
      </c>
      <c r="CG108" s="1">
        <f t="shared" si="232"/>
        <v>0</v>
      </c>
      <c r="CH108" s="2">
        <f t="shared" si="193"/>
        <v>62.699999999939791</v>
      </c>
      <c r="CI108" s="1">
        <f t="shared" si="242"/>
        <v>0</v>
      </c>
      <c r="CJ108" s="2">
        <f t="shared" si="252"/>
        <v>62.699999999939791</v>
      </c>
      <c r="CK108" s="2">
        <f t="shared" si="253"/>
        <v>139329.54999999996</v>
      </c>
      <c r="CL108" s="2">
        <f t="shared" si="194"/>
        <v>0</v>
      </c>
      <c r="CM108" s="2">
        <f t="shared" si="216"/>
        <v>983.20232999999962</v>
      </c>
      <c r="CN108" s="2">
        <f t="shared" si="195"/>
        <v>138346.34766999996</v>
      </c>
      <c r="CO108" s="2">
        <f t="shared" si="217"/>
        <v>2726</v>
      </c>
      <c r="CP108" s="2">
        <f t="shared" si="196"/>
        <v>6954.6744999999919</v>
      </c>
      <c r="CQ108" s="2">
        <f t="shared" si="197"/>
        <v>128665.67316999997</v>
      </c>
      <c r="CS108" s="5">
        <f t="shared" si="218"/>
        <v>1000</v>
      </c>
      <c r="CT108" s="2">
        <f t="shared" si="219"/>
        <v>100000</v>
      </c>
      <c r="CU108" s="2">
        <f t="shared" si="220"/>
        <v>100000</v>
      </c>
      <c r="CV108" s="2">
        <f t="shared" si="221"/>
        <v>139904.47757028849</v>
      </c>
      <c r="CW108" s="8">
        <f t="shared" si="198"/>
        <v>4.8000000000000001E-2</v>
      </c>
      <c r="CX108" s="2">
        <f t="shared" si="199"/>
        <v>143262.18503197542</v>
      </c>
      <c r="CY108" s="2" t="str">
        <f t="shared" si="200"/>
        <v>nie</v>
      </c>
      <c r="CZ108" s="2">
        <f t="shared" si="222"/>
        <v>0</v>
      </c>
      <c r="DA108" s="2">
        <f t="shared" si="223"/>
        <v>0</v>
      </c>
      <c r="DB108" s="2">
        <f t="shared" si="224"/>
        <v>143262.18503197542</v>
      </c>
      <c r="DC108" s="2">
        <f t="shared" si="201"/>
        <v>0</v>
      </c>
      <c r="DD108" s="2">
        <f t="shared" si="225"/>
        <v>1000.8964813505224</v>
      </c>
      <c r="DE108" s="2">
        <f t="shared" si="226"/>
        <v>142261.28855062489</v>
      </c>
      <c r="DF108" s="2">
        <f t="shared" si="202"/>
        <v>3000</v>
      </c>
      <c r="DG108" s="2">
        <f t="shared" si="203"/>
        <v>7649.8151560753295</v>
      </c>
      <c r="DH108" s="2">
        <f t="shared" si="227"/>
        <v>131611.47339454957</v>
      </c>
    </row>
    <row r="109" spans="2:112">
      <c r="B109" s="227">
        <f>ROUNDUP(C110/12,0)</f>
        <v>7</v>
      </c>
      <c r="C109" s="3">
        <f t="shared" si="256"/>
        <v>72</v>
      </c>
      <c r="D109" s="10">
        <f t="shared" si="259"/>
        <v>129339.87500861984</v>
      </c>
      <c r="E109" s="10">
        <f t="shared" si="260"/>
        <v>123607.17149744177</v>
      </c>
      <c r="F109" s="10">
        <f t="shared" si="261"/>
        <v>129835.19146999993</v>
      </c>
      <c r="G109" s="10">
        <f t="shared" si="262"/>
        <v>121979.95546999994</v>
      </c>
      <c r="H109" s="10">
        <f t="shared" si="263"/>
        <v>132649.63734692385</v>
      </c>
      <c r="I109" s="10">
        <f t="shared" si="264"/>
        <v>123855.2759553639</v>
      </c>
      <c r="J109" s="10">
        <f t="shared" si="257"/>
        <v>122906.57098239519</v>
      </c>
      <c r="K109" s="10">
        <f t="shared" si="258"/>
        <v>118020.83635840983</v>
      </c>
      <c r="W109" s="1">
        <f t="shared" si="204"/>
        <v>91</v>
      </c>
      <c r="X109" s="2">
        <f t="shared" si="177"/>
        <v>123307.06829946059</v>
      </c>
      <c r="Y109" s="8">
        <f t="shared" si="230"/>
        <v>4.1300000000000003E-2</v>
      </c>
      <c r="Z109" s="5">
        <f t="shared" si="205"/>
        <v>1302</v>
      </c>
      <c r="AA109" s="2">
        <f t="shared" si="206"/>
        <v>130069.8</v>
      </c>
      <c r="AB109" s="2">
        <f t="shared" si="207"/>
        <v>130200</v>
      </c>
      <c r="AC109" s="2">
        <f t="shared" si="208"/>
        <v>136254.29999999999</v>
      </c>
      <c r="AD109" s="8">
        <f t="shared" si="178"/>
        <v>4.65E-2</v>
      </c>
      <c r="AE109" s="2">
        <f t="shared" si="179"/>
        <v>139950.19788749999</v>
      </c>
      <c r="AF109" s="2" t="str">
        <f t="shared" si="180"/>
        <v>nie</v>
      </c>
      <c r="AG109" s="2">
        <f t="shared" si="181"/>
        <v>1302</v>
      </c>
      <c r="AH109" s="1">
        <f t="shared" si="233"/>
        <v>1</v>
      </c>
      <c r="AI109" s="1">
        <f t="shared" si="265"/>
        <v>1</v>
      </c>
      <c r="AJ109" s="1">
        <f t="shared" si="228"/>
        <v>0</v>
      </c>
      <c r="AK109" s="1">
        <f t="shared" si="254"/>
        <v>0</v>
      </c>
      <c r="AL109" s="2">
        <f t="shared" si="243"/>
        <v>100</v>
      </c>
      <c r="AM109" s="8">
        <f t="shared" si="234"/>
        <v>4.65E-2</v>
      </c>
      <c r="AN109" s="2">
        <f t="shared" si="244"/>
        <v>102.71250000000001</v>
      </c>
      <c r="AO109" s="2">
        <f t="shared" si="235"/>
        <v>1</v>
      </c>
      <c r="AP109" s="2">
        <f t="shared" si="272"/>
        <v>100</v>
      </c>
      <c r="AQ109" s="8">
        <f t="shared" si="266"/>
        <v>4.1300000000000003E-2</v>
      </c>
      <c r="AR109" s="2">
        <f t="shared" si="267"/>
        <v>102.40916666666666</v>
      </c>
      <c r="AS109" s="2">
        <f t="shared" si="268"/>
        <v>1</v>
      </c>
      <c r="AT109" s="2">
        <f t="shared" si="209"/>
        <v>0</v>
      </c>
      <c r="AU109" s="2">
        <f t="shared" si="245"/>
        <v>0</v>
      </c>
      <c r="AV109" s="2">
        <f t="shared" si="236"/>
        <v>6.9737430424924298</v>
      </c>
      <c r="AW109" s="1">
        <f t="shared" si="231"/>
        <v>0</v>
      </c>
      <c r="AX109" s="2">
        <f t="shared" si="182"/>
        <v>6.9737430424924298</v>
      </c>
      <c r="AY109" s="1">
        <f t="shared" si="237"/>
        <v>0</v>
      </c>
      <c r="AZ109" s="2">
        <f t="shared" si="210"/>
        <v>6.9737430424924298</v>
      </c>
      <c r="BA109" s="2">
        <f t="shared" si="246"/>
        <v>140162.29329720917</v>
      </c>
      <c r="BB109" s="2">
        <f t="shared" si="183"/>
        <v>0</v>
      </c>
      <c r="BC109" s="2">
        <f t="shared" si="211"/>
        <v>982.24613553999768</v>
      </c>
      <c r="BD109" s="2">
        <f t="shared" si="184"/>
        <v>139180.04716166918</v>
      </c>
      <c r="BE109" s="2">
        <f t="shared" si="212"/>
        <v>1304</v>
      </c>
      <c r="BF109" s="2">
        <f t="shared" si="185"/>
        <v>7383.0757264697413</v>
      </c>
      <c r="BG109" s="2">
        <f t="shared" si="186"/>
        <v>130492.97143519943</v>
      </c>
      <c r="BI109" s="8">
        <f t="shared" si="238"/>
        <v>2.8000000000000001E-2</v>
      </c>
      <c r="BJ109" s="5">
        <f t="shared" si="213"/>
        <v>1044</v>
      </c>
      <c r="BK109" s="2">
        <f t="shared" si="214"/>
        <v>104295.6</v>
      </c>
      <c r="BL109" s="2">
        <f t="shared" si="215"/>
        <v>104400</v>
      </c>
      <c r="BM109" s="2">
        <f t="shared" si="187"/>
        <v>104400</v>
      </c>
      <c r="BN109" s="8">
        <f t="shared" si="188"/>
        <v>4.2999999999999997E-2</v>
      </c>
      <c r="BO109" s="2">
        <f t="shared" si="189"/>
        <v>107018.7</v>
      </c>
      <c r="BP109" s="2" t="str">
        <f t="shared" si="190"/>
        <v>nie</v>
      </c>
      <c r="BQ109" s="2">
        <f t="shared" si="191"/>
        <v>2088</v>
      </c>
      <c r="BR109" s="1">
        <f t="shared" si="239"/>
        <v>104</v>
      </c>
      <c r="BS109" s="1">
        <f t="shared" si="269"/>
        <v>99</v>
      </c>
      <c r="BT109" s="1">
        <f t="shared" si="229"/>
        <v>109</v>
      </c>
      <c r="BU109" s="1">
        <f t="shared" si="255"/>
        <v>7</v>
      </c>
      <c r="BV109" s="2">
        <f t="shared" si="247"/>
        <v>10400</v>
      </c>
      <c r="BW109" s="8">
        <f t="shared" si="240"/>
        <v>0.05</v>
      </c>
      <c r="BX109" s="2">
        <f t="shared" si="248"/>
        <v>10703.333333333332</v>
      </c>
      <c r="BY109" s="2">
        <f t="shared" si="241"/>
        <v>208</v>
      </c>
      <c r="BZ109" s="2">
        <f t="shared" si="273"/>
        <v>21500</v>
      </c>
      <c r="CA109" s="8">
        <f t="shared" si="270"/>
        <v>4.2999999999999997E-2</v>
      </c>
      <c r="CB109" s="2">
        <f t="shared" si="249"/>
        <v>22039.291666666668</v>
      </c>
      <c r="CC109" s="2">
        <f t="shared" si="271"/>
        <v>430</v>
      </c>
      <c r="CD109" s="2">
        <f t="shared" si="192"/>
        <v>0</v>
      </c>
      <c r="CE109" s="2">
        <f t="shared" si="250"/>
        <v>0</v>
      </c>
      <c r="CF109" s="2">
        <f t="shared" si="251"/>
        <v>62.699999999939791</v>
      </c>
      <c r="CG109" s="1">
        <f t="shared" si="232"/>
        <v>0</v>
      </c>
      <c r="CH109" s="2">
        <f t="shared" si="193"/>
        <v>62.699999999939791</v>
      </c>
      <c r="CI109" s="1">
        <f t="shared" si="242"/>
        <v>0</v>
      </c>
      <c r="CJ109" s="2">
        <f t="shared" si="252"/>
        <v>62.699999999939791</v>
      </c>
      <c r="CK109" s="2">
        <f t="shared" si="253"/>
        <v>139824.02499999994</v>
      </c>
      <c r="CL109" s="2">
        <f t="shared" si="194"/>
        <v>0</v>
      </c>
      <c r="CM109" s="2">
        <f t="shared" si="216"/>
        <v>983.20232999999962</v>
      </c>
      <c r="CN109" s="2">
        <f t="shared" si="195"/>
        <v>138840.82266999994</v>
      </c>
      <c r="CO109" s="2">
        <f t="shared" si="217"/>
        <v>2726</v>
      </c>
      <c r="CP109" s="2">
        <f t="shared" si="196"/>
        <v>7048.6247499999881</v>
      </c>
      <c r="CQ109" s="2">
        <f t="shared" si="197"/>
        <v>129066.19791999995</v>
      </c>
      <c r="CS109" s="5">
        <f t="shared" si="218"/>
        <v>1000</v>
      </c>
      <c r="CT109" s="2">
        <f t="shared" si="219"/>
        <v>100000</v>
      </c>
      <c r="CU109" s="2">
        <f t="shared" si="220"/>
        <v>100000</v>
      </c>
      <c r="CV109" s="2">
        <f t="shared" si="221"/>
        <v>139904.47757028849</v>
      </c>
      <c r="CW109" s="8">
        <f t="shared" si="198"/>
        <v>4.8000000000000001E-2</v>
      </c>
      <c r="CX109" s="2">
        <f t="shared" si="199"/>
        <v>143821.80294225659</v>
      </c>
      <c r="CY109" s="2" t="str">
        <f t="shared" si="200"/>
        <v>nie</v>
      </c>
      <c r="CZ109" s="2">
        <f t="shared" si="222"/>
        <v>0</v>
      </c>
      <c r="DA109" s="2">
        <f t="shared" si="223"/>
        <v>0</v>
      </c>
      <c r="DB109" s="2">
        <f t="shared" si="224"/>
        <v>143821.80294225659</v>
      </c>
      <c r="DC109" s="2">
        <f t="shared" si="201"/>
        <v>0</v>
      </c>
      <c r="DD109" s="2">
        <f t="shared" si="225"/>
        <v>1000.8964813505224</v>
      </c>
      <c r="DE109" s="2">
        <f t="shared" si="226"/>
        <v>142820.90646090606</v>
      </c>
      <c r="DF109" s="2">
        <f t="shared" si="202"/>
        <v>3000</v>
      </c>
      <c r="DG109" s="2">
        <f t="shared" si="203"/>
        <v>7756.1425590287517</v>
      </c>
      <c r="DH109" s="2">
        <f t="shared" si="227"/>
        <v>132064.7639018773</v>
      </c>
    </row>
    <row r="110" spans="2:112">
      <c r="B110" s="228"/>
      <c r="C110" s="1">
        <f t="shared" si="256"/>
        <v>73</v>
      </c>
      <c r="D110" s="2">
        <f t="shared" si="259"/>
        <v>129974.98750861984</v>
      </c>
      <c r="E110" s="2">
        <f t="shared" si="260"/>
        <v>123712.63349744177</v>
      </c>
      <c r="F110" s="2">
        <f t="shared" si="261"/>
        <v>130313.44980333326</v>
      </c>
      <c r="G110" s="2">
        <f t="shared" si="262"/>
        <v>122406.83221999994</v>
      </c>
      <c r="H110" s="2">
        <f t="shared" si="263"/>
        <v>133183.62390253565</v>
      </c>
      <c r="I110" s="2">
        <f t="shared" si="264"/>
        <v>124287.80506540947</v>
      </c>
      <c r="J110" s="2">
        <f t="shared" si="257"/>
        <v>123259.15920790093</v>
      </c>
      <c r="K110" s="2">
        <f t="shared" si="258"/>
        <v>118296.21830991277</v>
      </c>
      <c r="W110" s="1">
        <f t="shared" si="204"/>
        <v>92</v>
      </c>
      <c r="X110" s="2">
        <f t="shared" si="177"/>
        <v>123590.16094560562</v>
      </c>
      <c r="Y110" s="8">
        <f t="shared" si="230"/>
        <v>4.1300000000000003E-2</v>
      </c>
      <c r="Z110" s="5">
        <f t="shared" si="205"/>
        <v>1302</v>
      </c>
      <c r="AA110" s="2">
        <f t="shared" si="206"/>
        <v>130069.8</v>
      </c>
      <c r="AB110" s="2">
        <f t="shared" si="207"/>
        <v>130200</v>
      </c>
      <c r="AC110" s="2">
        <f t="shared" si="208"/>
        <v>136254.29999999999</v>
      </c>
      <c r="AD110" s="8">
        <f t="shared" si="178"/>
        <v>4.65E-2</v>
      </c>
      <c r="AE110" s="2">
        <f t="shared" si="179"/>
        <v>140478.18329999998</v>
      </c>
      <c r="AF110" s="2" t="str">
        <f t="shared" si="180"/>
        <v>nie</v>
      </c>
      <c r="AG110" s="2">
        <f t="shared" si="181"/>
        <v>1302</v>
      </c>
      <c r="AH110" s="1">
        <f t="shared" si="233"/>
        <v>1</v>
      </c>
      <c r="AI110" s="1">
        <f t="shared" si="265"/>
        <v>1</v>
      </c>
      <c r="AJ110" s="1">
        <f t="shared" si="228"/>
        <v>0</v>
      </c>
      <c r="AK110" s="1">
        <f t="shared" si="254"/>
        <v>0</v>
      </c>
      <c r="AL110" s="2">
        <f t="shared" si="243"/>
        <v>100</v>
      </c>
      <c r="AM110" s="8">
        <f t="shared" si="234"/>
        <v>4.65E-2</v>
      </c>
      <c r="AN110" s="2">
        <f t="shared" si="244"/>
        <v>103.1</v>
      </c>
      <c r="AO110" s="2">
        <f t="shared" si="235"/>
        <v>1</v>
      </c>
      <c r="AP110" s="2">
        <f t="shared" si="272"/>
        <v>100</v>
      </c>
      <c r="AQ110" s="8">
        <f t="shared" si="266"/>
        <v>4.1300000000000003E-2</v>
      </c>
      <c r="AR110" s="2">
        <f t="shared" si="267"/>
        <v>102.75333333333334</v>
      </c>
      <c r="AS110" s="2">
        <f t="shared" si="268"/>
        <v>1</v>
      </c>
      <c r="AT110" s="2">
        <f t="shared" si="209"/>
        <v>0</v>
      </c>
      <c r="AU110" s="2">
        <f t="shared" si="245"/>
        <v>0</v>
      </c>
      <c r="AV110" s="2">
        <f t="shared" si="236"/>
        <v>6.9737430424924298</v>
      </c>
      <c r="AW110" s="1">
        <f t="shared" si="231"/>
        <v>0</v>
      </c>
      <c r="AX110" s="2">
        <f t="shared" si="182"/>
        <v>6.9737430424924298</v>
      </c>
      <c r="AY110" s="1">
        <f t="shared" si="237"/>
        <v>0</v>
      </c>
      <c r="AZ110" s="2">
        <f t="shared" si="210"/>
        <v>6.9737430424924298</v>
      </c>
      <c r="BA110" s="2">
        <f t="shared" si="246"/>
        <v>140691.01037637581</v>
      </c>
      <c r="BB110" s="2">
        <f t="shared" si="183"/>
        <v>0</v>
      </c>
      <c r="BC110" s="2">
        <f t="shared" si="211"/>
        <v>982.24613553999768</v>
      </c>
      <c r="BD110" s="2">
        <f t="shared" si="184"/>
        <v>139708.76424083582</v>
      </c>
      <c r="BE110" s="2">
        <f t="shared" si="212"/>
        <v>1304</v>
      </c>
      <c r="BF110" s="2">
        <f t="shared" si="185"/>
        <v>7483.5319715114038</v>
      </c>
      <c r="BG110" s="2">
        <f t="shared" si="186"/>
        <v>130921.23226932442</v>
      </c>
      <c r="BI110" s="8">
        <f t="shared" si="238"/>
        <v>2.8000000000000001E-2</v>
      </c>
      <c r="BJ110" s="5">
        <f t="shared" si="213"/>
        <v>1044</v>
      </c>
      <c r="BK110" s="2">
        <f t="shared" si="214"/>
        <v>104295.6</v>
      </c>
      <c r="BL110" s="2">
        <f t="shared" si="215"/>
        <v>104400</v>
      </c>
      <c r="BM110" s="2">
        <f t="shared" si="187"/>
        <v>104400</v>
      </c>
      <c r="BN110" s="8">
        <f t="shared" si="188"/>
        <v>4.2999999999999997E-2</v>
      </c>
      <c r="BO110" s="2">
        <f t="shared" si="189"/>
        <v>107392.79999999999</v>
      </c>
      <c r="BP110" s="2" t="str">
        <f t="shared" si="190"/>
        <v>nie</v>
      </c>
      <c r="BQ110" s="2">
        <f t="shared" si="191"/>
        <v>2088</v>
      </c>
      <c r="BR110" s="1">
        <f t="shared" si="239"/>
        <v>104</v>
      </c>
      <c r="BS110" s="1">
        <f t="shared" si="269"/>
        <v>99</v>
      </c>
      <c r="BT110" s="1">
        <f t="shared" si="229"/>
        <v>109</v>
      </c>
      <c r="BU110" s="1">
        <f t="shared" si="255"/>
        <v>7</v>
      </c>
      <c r="BV110" s="2">
        <f t="shared" si="247"/>
        <v>10400</v>
      </c>
      <c r="BW110" s="8">
        <f t="shared" si="240"/>
        <v>0.05</v>
      </c>
      <c r="BX110" s="2">
        <f t="shared" si="248"/>
        <v>10746.666666666668</v>
      </c>
      <c r="BY110" s="2">
        <f t="shared" si="241"/>
        <v>208</v>
      </c>
      <c r="BZ110" s="2">
        <f t="shared" si="273"/>
        <v>21500</v>
      </c>
      <c r="CA110" s="8">
        <f t="shared" si="270"/>
        <v>4.2999999999999997E-2</v>
      </c>
      <c r="CB110" s="2">
        <f t="shared" si="249"/>
        <v>22116.333333333332</v>
      </c>
      <c r="CC110" s="2">
        <f t="shared" si="271"/>
        <v>430</v>
      </c>
      <c r="CD110" s="2">
        <f t="shared" si="192"/>
        <v>0</v>
      </c>
      <c r="CE110" s="2">
        <f t="shared" si="250"/>
        <v>0</v>
      </c>
      <c r="CF110" s="2">
        <f t="shared" si="251"/>
        <v>62.699999999939791</v>
      </c>
      <c r="CG110" s="1">
        <f t="shared" si="232"/>
        <v>0</v>
      </c>
      <c r="CH110" s="2">
        <f t="shared" si="193"/>
        <v>62.699999999939791</v>
      </c>
      <c r="CI110" s="1">
        <f t="shared" si="242"/>
        <v>0</v>
      </c>
      <c r="CJ110" s="2">
        <f t="shared" si="252"/>
        <v>62.699999999939791</v>
      </c>
      <c r="CK110" s="2">
        <f t="shared" si="253"/>
        <v>140318.49999999994</v>
      </c>
      <c r="CL110" s="2">
        <f t="shared" si="194"/>
        <v>0</v>
      </c>
      <c r="CM110" s="2">
        <f t="shared" si="216"/>
        <v>983.20232999999962</v>
      </c>
      <c r="CN110" s="2">
        <f t="shared" si="195"/>
        <v>139335.29766999994</v>
      </c>
      <c r="CO110" s="2">
        <f t="shared" si="217"/>
        <v>2726</v>
      </c>
      <c r="CP110" s="2">
        <f t="shared" si="196"/>
        <v>7142.5749999999889</v>
      </c>
      <c r="CQ110" s="2">
        <f t="shared" si="197"/>
        <v>129466.72266999996</v>
      </c>
      <c r="CS110" s="5">
        <f t="shared" si="218"/>
        <v>1000</v>
      </c>
      <c r="CT110" s="2">
        <f t="shared" si="219"/>
        <v>100000</v>
      </c>
      <c r="CU110" s="2">
        <f t="shared" si="220"/>
        <v>100000</v>
      </c>
      <c r="CV110" s="2">
        <f t="shared" si="221"/>
        <v>139904.47757028849</v>
      </c>
      <c r="CW110" s="8">
        <f t="shared" si="198"/>
        <v>4.8000000000000001E-2</v>
      </c>
      <c r="CX110" s="2">
        <f t="shared" si="199"/>
        <v>144381.42085253773</v>
      </c>
      <c r="CY110" s="2" t="str">
        <f t="shared" si="200"/>
        <v>nie</v>
      </c>
      <c r="CZ110" s="2">
        <f t="shared" si="222"/>
        <v>0</v>
      </c>
      <c r="DA110" s="2">
        <f t="shared" si="223"/>
        <v>0</v>
      </c>
      <c r="DB110" s="2">
        <f t="shared" si="224"/>
        <v>144381.42085253773</v>
      </c>
      <c r="DC110" s="2">
        <f t="shared" si="201"/>
        <v>0</v>
      </c>
      <c r="DD110" s="2">
        <f t="shared" si="225"/>
        <v>1000.8964813505224</v>
      </c>
      <c r="DE110" s="2">
        <f t="shared" si="226"/>
        <v>143380.5243711872</v>
      </c>
      <c r="DF110" s="2">
        <f t="shared" si="202"/>
        <v>3000</v>
      </c>
      <c r="DG110" s="2">
        <f t="shared" si="203"/>
        <v>7862.4699619821695</v>
      </c>
      <c r="DH110" s="2">
        <f t="shared" si="227"/>
        <v>132518.05440920504</v>
      </c>
    </row>
    <row r="111" spans="2:112">
      <c r="B111" s="228"/>
      <c r="C111" s="1">
        <f t="shared" si="256"/>
        <v>74</v>
      </c>
      <c r="D111" s="2">
        <f t="shared" si="259"/>
        <v>130479.90000861984</v>
      </c>
      <c r="E111" s="2">
        <f t="shared" si="260"/>
        <v>123712.63349744177</v>
      </c>
      <c r="F111" s="2">
        <f t="shared" si="261"/>
        <v>130787.20813666662</v>
      </c>
      <c r="G111" s="2">
        <f t="shared" si="262"/>
        <v>122757.16396999997</v>
      </c>
      <c r="H111" s="2">
        <f t="shared" si="263"/>
        <v>133717.61045814742</v>
      </c>
      <c r="I111" s="2">
        <f t="shared" si="264"/>
        <v>124720.33417545501</v>
      </c>
      <c r="J111" s="2">
        <f t="shared" si="257"/>
        <v>123612.75892087859</v>
      </c>
      <c r="K111" s="2">
        <f t="shared" si="258"/>
        <v>118571.60026141573</v>
      </c>
      <c r="W111" s="1">
        <f t="shared" si="204"/>
        <v>93</v>
      </c>
      <c r="X111" s="2">
        <f t="shared" si="177"/>
        <v>123873.25359175065</v>
      </c>
      <c r="Y111" s="8">
        <f t="shared" si="230"/>
        <v>4.1300000000000003E-2</v>
      </c>
      <c r="Z111" s="5">
        <f t="shared" si="205"/>
        <v>1302</v>
      </c>
      <c r="AA111" s="2">
        <f t="shared" si="206"/>
        <v>130069.8</v>
      </c>
      <c r="AB111" s="2">
        <f t="shared" si="207"/>
        <v>130200</v>
      </c>
      <c r="AC111" s="2">
        <f t="shared" si="208"/>
        <v>136254.29999999999</v>
      </c>
      <c r="AD111" s="8">
        <f t="shared" si="178"/>
        <v>4.65E-2</v>
      </c>
      <c r="AE111" s="2">
        <f t="shared" si="179"/>
        <v>141006.16871249999</v>
      </c>
      <c r="AF111" s="2" t="str">
        <f t="shared" si="180"/>
        <v>nie</v>
      </c>
      <c r="AG111" s="2">
        <f t="shared" si="181"/>
        <v>1302</v>
      </c>
      <c r="AH111" s="1">
        <f t="shared" si="233"/>
        <v>1</v>
      </c>
      <c r="AI111" s="1">
        <f t="shared" si="265"/>
        <v>1</v>
      </c>
      <c r="AJ111" s="1">
        <f t="shared" si="228"/>
        <v>0</v>
      </c>
      <c r="AK111" s="1">
        <f t="shared" si="254"/>
        <v>0</v>
      </c>
      <c r="AL111" s="2">
        <f t="shared" si="243"/>
        <v>100</v>
      </c>
      <c r="AM111" s="8">
        <f t="shared" si="234"/>
        <v>4.65E-2</v>
      </c>
      <c r="AN111" s="2">
        <f t="shared" si="244"/>
        <v>103.4875</v>
      </c>
      <c r="AO111" s="2">
        <f t="shared" si="235"/>
        <v>1</v>
      </c>
      <c r="AP111" s="2">
        <f t="shared" si="272"/>
        <v>100</v>
      </c>
      <c r="AQ111" s="8">
        <f t="shared" si="266"/>
        <v>4.1300000000000003E-2</v>
      </c>
      <c r="AR111" s="2">
        <f t="shared" si="267"/>
        <v>103.0975</v>
      </c>
      <c r="AS111" s="2">
        <f t="shared" si="268"/>
        <v>1</v>
      </c>
      <c r="AT111" s="2">
        <f t="shared" si="209"/>
        <v>0</v>
      </c>
      <c r="AU111" s="2">
        <f t="shared" si="245"/>
        <v>0</v>
      </c>
      <c r="AV111" s="2">
        <f t="shared" si="236"/>
        <v>6.9737430424924298</v>
      </c>
      <c r="AW111" s="1">
        <f t="shared" si="231"/>
        <v>0</v>
      </c>
      <c r="AX111" s="2">
        <f t="shared" si="182"/>
        <v>6.9737430424924298</v>
      </c>
      <c r="AY111" s="1">
        <f t="shared" si="237"/>
        <v>0</v>
      </c>
      <c r="AZ111" s="2">
        <f t="shared" si="210"/>
        <v>6.9737430424924298</v>
      </c>
      <c r="BA111" s="2">
        <f t="shared" si="246"/>
        <v>141219.72745554248</v>
      </c>
      <c r="BB111" s="2">
        <f t="shared" si="183"/>
        <v>0</v>
      </c>
      <c r="BC111" s="2">
        <f t="shared" si="211"/>
        <v>982.24613553999768</v>
      </c>
      <c r="BD111" s="2">
        <f t="shared" si="184"/>
        <v>140237.48132000249</v>
      </c>
      <c r="BE111" s="2">
        <f t="shared" si="212"/>
        <v>1304</v>
      </c>
      <c r="BF111" s="2">
        <f t="shared" si="185"/>
        <v>7583.9882165530717</v>
      </c>
      <c r="BG111" s="2">
        <f t="shared" si="186"/>
        <v>131349.49310344944</v>
      </c>
      <c r="BI111" s="8">
        <f t="shared" si="238"/>
        <v>2.8000000000000001E-2</v>
      </c>
      <c r="BJ111" s="5">
        <f t="shared" si="213"/>
        <v>1044</v>
      </c>
      <c r="BK111" s="2">
        <f t="shared" si="214"/>
        <v>104295.6</v>
      </c>
      <c r="BL111" s="2">
        <f t="shared" si="215"/>
        <v>104400</v>
      </c>
      <c r="BM111" s="2">
        <f t="shared" si="187"/>
        <v>104400</v>
      </c>
      <c r="BN111" s="8">
        <f t="shared" si="188"/>
        <v>4.2999999999999997E-2</v>
      </c>
      <c r="BO111" s="2">
        <f t="shared" si="189"/>
        <v>107766.9</v>
      </c>
      <c r="BP111" s="2" t="str">
        <f t="shared" si="190"/>
        <v>nie</v>
      </c>
      <c r="BQ111" s="2">
        <f t="shared" si="191"/>
        <v>2088</v>
      </c>
      <c r="BR111" s="1">
        <f t="shared" si="239"/>
        <v>104</v>
      </c>
      <c r="BS111" s="1">
        <f t="shared" si="269"/>
        <v>99</v>
      </c>
      <c r="BT111" s="1">
        <f t="shared" si="229"/>
        <v>109</v>
      </c>
      <c r="BU111" s="1">
        <f t="shared" si="255"/>
        <v>7</v>
      </c>
      <c r="BV111" s="2">
        <f t="shared" si="247"/>
        <v>10400</v>
      </c>
      <c r="BW111" s="8">
        <f t="shared" si="240"/>
        <v>0.05</v>
      </c>
      <c r="BX111" s="2">
        <f t="shared" si="248"/>
        <v>10790.000000000002</v>
      </c>
      <c r="BY111" s="2">
        <f t="shared" si="241"/>
        <v>208</v>
      </c>
      <c r="BZ111" s="2">
        <f t="shared" si="273"/>
        <v>21500</v>
      </c>
      <c r="CA111" s="8">
        <f t="shared" si="270"/>
        <v>4.2999999999999997E-2</v>
      </c>
      <c r="CB111" s="2">
        <f t="shared" si="249"/>
        <v>22193.374999999996</v>
      </c>
      <c r="CC111" s="2">
        <f t="shared" si="271"/>
        <v>430</v>
      </c>
      <c r="CD111" s="2">
        <f t="shared" si="192"/>
        <v>0</v>
      </c>
      <c r="CE111" s="2">
        <f t="shared" si="250"/>
        <v>0</v>
      </c>
      <c r="CF111" s="2">
        <f t="shared" si="251"/>
        <v>62.699999999939791</v>
      </c>
      <c r="CG111" s="1">
        <f t="shared" si="232"/>
        <v>0</v>
      </c>
      <c r="CH111" s="2">
        <f t="shared" si="193"/>
        <v>62.699999999939791</v>
      </c>
      <c r="CI111" s="1">
        <f t="shared" si="242"/>
        <v>0</v>
      </c>
      <c r="CJ111" s="2">
        <f t="shared" si="252"/>
        <v>62.699999999939791</v>
      </c>
      <c r="CK111" s="2">
        <f t="shared" si="253"/>
        <v>140812.97499999995</v>
      </c>
      <c r="CL111" s="2">
        <f t="shared" si="194"/>
        <v>0</v>
      </c>
      <c r="CM111" s="2">
        <f t="shared" si="216"/>
        <v>983.20232999999962</v>
      </c>
      <c r="CN111" s="2">
        <f t="shared" si="195"/>
        <v>139829.77266999995</v>
      </c>
      <c r="CO111" s="2">
        <f t="shared" si="217"/>
        <v>2726</v>
      </c>
      <c r="CP111" s="2">
        <f t="shared" si="196"/>
        <v>7236.5252499999897</v>
      </c>
      <c r="CQ111" s="2">
        <f t="shared" si="197"/>
        <v>129867.24741999996</v>
      </c>
      <c r="CS111" s="5">
        <f t="shared" si="218"/>
        <v>1000</v>
      </c>
      <c r="CT111" s="2">
        <f t="shared" si="219"/>
        <v>100000</v>
      </c>
      <c r="CU111" s="2">
        <f t="shared" si="220"/>
        <v>100000</v>
      </c>
      <c r="CV111" s="2">
        <f t="shared" si="221"/>
        <v>139904.47757028849</v>
      </c>
      <c r="CW111" s="8">
        <f t="shared" si="198"/>
        <v>4.8000000000000001E-2</v>
      </c>
      <c r="CX111" s="2">
        <f t="shared" si="199"/>
        <v>144941.03876281888</v>
      </c>
      <c r="CY111" s="2" t="str">
        <f t="shared" si="200"/>
        <v>nie</v>
      </c>
      <c r="CZ111" s="2">
        <f t="shared" si="222"/>
        <v>0</v>
      </c>
      <c r="DA111" s="2">
        <f t="shared" si="223"/>
        <v>0</v>
      </c>
      <c r="DB111" s="2">
        <f t="shared" si="224"/>
        <v>144941.03876281888</v>
      </c>
      <c r="DC111" s="2">
        <f t="shared" si="201"/>
        <v>0</v>
      </c>
      <c r="DD111" s="2">
        <f t="shared" si="225"/>
        <v>1000.8964813505224</v>
      </c>
      <c r="DE111" s="2">
        <f t="shared" si="226"/>
        <v>143940.14228146835</v>
      </c>
      <c r="DF111" s="2">
        <f t="shared" si="202"/>
        <v>3000</v>
      </c>
      <c r="DG111" s="2">
        <f t="shared" si="203"/>
        <v>7968.7973649355863</v>
      </c>
      <c r="DH111" s="2">
        <f t="shared" si="227"/>
        <v>132971.34491653275</v>
      </c>
    </row>
    <row r="112" spans="2:112">
      <c r="B112" s="228"/>
      <c r="C112" s="1">
        <f t="shared" si="256"/>
        <v>75</v>
      </c>
      <c r="D112" s="2">
        <f t="shared" si="259"/>
        <v>130984.81250861987</v>
      </c>
      <c r="E112" s="2">
        <f t="shared" si="260"/>
        <v>123884.14087244179</v>
      </c>
      <c r="F112" s="2">
        <f t="shared" si="261"/>
        <v>131260.96646999993</v>
      </c>
      <c r="G112" s="2">
        <f t="shared" si="262"/>
        <v>123107.49571999993</v>
      </c>
      <c r="H112" s="2">
        <f t="shared" si="263"/>
        <v>134251.59701375922</v>
      </c>
      <c r="I112" s="2">
        <f t="shared" si="264"/>
        <v>125152.86328550056</v>
      </c>
      <c r="J112" s="2">
        <f t="shared" si="257"/>
        <v>123967.37302303287</v>
      </c>
      <c r="K112" s="2">
        <f t="shared" si="258"/>
        <v>118846.98221291868</v>
      </c>
      <c r="W112" s="1">
        <f t="shared" si="204"/>
        <v>94</v>
      </c>
      <c r="X112" s="2">
        <f t="shared" si="177"/>
        <v>124156.34623789572</v>
      </c>
      <c r="Y112" s="8">
        <f t="shared" si="230"/>
        <v>4.1300000000000003E-2</v>
      </c>
      <c r="Z112" s="5">
        <f t="shared" si="205"/>
        <v>1302</v>
      </c>
      <c r="AA112" s="2">
        <f t="shared" si="206"/>
        <v>130069.8</v>
      </c>
      <c r="AB112" s="2">
        <f t="shared" si="207"/>
        <v>130200</v>
      </c>
      <c r="AC112" s="2">
        <f t="shared" si="208"/>
        <v>136254.29999999999</v>
      </c>
      <c r="AD112" s="8">
        <f t="shared" si="178"/>
        <v>4.65E-2</v>
      </c>
      <c r="AE112" s="2">
        <f t="shared" si="179"/>
        <v>141534.154125</v>
      </c>
      <c r="AF112" s="2" t="str">
        <f t="shared" si="180"/>
        <v>nie</v>
      </c>
      <c r="AG112" s="2">
        <f t="shared" si="181"/>
        <v>1302</v>
      </c>
      <c r="AH112" s="1">
        <f t="shared" si="233"/>
        <v>1</v>
      </c>
      <c r="AI112" s="1">
        <f t="shared" si="265"/>
        <v>1</v>
      </c>
      <c r="AJ112" s="1">
        <f t="shared" si="228"/>
        <v>0</v>
      </c>
      <c r="AK112" s="1">
        <f t="shared" si="254"/>
        <v>0</v>
      </c>
      <c r="AL112" s="2">
        <f t="shared" si="243"/>
        <v>100</v>
      </c>
      <c r="AM112" s="8">
        <f t="shared" si="234"/>
        <v>4.65E-2</v>
      </c>
      <c r="AN112" s="2">
        <f t="shared" si="244"/>
        <v>103.875</v>
      </c>
      <c r="AO112" s="2">
        <f t="shared" si="235"/>
        <v>1</v>
      </c>
      <c r="AP112" s="2">
        <f t="shared" si="272"/>
        <v>100</v>
      </c>
      <c r="AQ112" s="8">
        <f t="shared" si="266"/>
        <v>4.1300000000000003E-2</v>
      </c>
      <c r="AR112" s="2">
        <f t="shared" si="267"/>
        <v>103.44166666666668</v>
      </c>
      <c r="AS112" s="2">
        <f t="shared" si="268"/>
        <v>1</v>
      </c>
      <c r="AT112" s="2">
        <f t="shared" si="209"/>
        <v>0</v>
      </c>
      <c r="AU112" s="2">
        <f t="shared" si="245"/>
        <v>0</v>
      </c>
      <c r="AV112" s="2">
        <f t="shared" si="236"/>
        <v>6.9737430424924298</v>
      </c>
      <c r="AW112" s="1">
        <f t="shared" si="231"/>
        <v>0</v>
      </c>
      <c r="AX112" s="2">
        <f t="shared" si="182"/>
        <v>6.9737430424924298</v>
      </c>
      <c r="AY112" s="1">
        <f t="shared" si="237"/>
        <v>0</v>
      </c>
      <c r="AZ112" s="2">
        <f t="shared" si="210"/>
        <v>6.9737430424924298</v>
      </c>
      <c r="BA112" s="2">
        <f t="shared" si="246"/>
        <v>141748.44453470918</v>
      </c>
      <c r="BB112" s="2">
        <f t="shared" si="183"/>
        <v>0</v>
      </c>
      <c r="BC112" s="2">
        <f t="shared" si="211"/>
        <v>982.24613553999768</v>
      </c>
      <c r="BD112" s="2">
        <f t="shared" si="184"/>
        <v>140766.1983991692</v>
      </c>
      <c r="BE112" s="2">
        <f t="shared" si="212"/>
        <v>1304</v>
      </c>
      <c r="BF112" s="2">
        <f t="shared" si="185"/>
        <v>7684.444461594745</v>
      </c>
      <c r="BG112" s="2">
        <f t="shared" si="186"/>
        <v>131777.75393757445</v>
      </c>
      <c r="BI112" s="8">
        <f t="shared" si="238"/>
        <v>2.8000000000000001E-2</v>
      </c>
      <c r="BJ112" s="5">
        <f t="shared" si="213"/>
        <v>1044</v>
      </c>
      <c r="BK112" s="2">
        <f t="shared" si="214"/>
        <v>104295.6</v>
      </c>
      <c r="BL112" s="2">
        <f t="shared" si="215"/>
        <v>104400</v>
      </c>
      <c r="BM112" s="2">
        <f t="shared" si="187"/>
        <v>104400</v>
      </c>
      <c r="BN112" s="8">
        <f t="shared" si="188"/>
        <v>4.2999999999999997E-2</v>
      </c>
      <c r="BO112" s="2">
        <f t="shared" si="189"/>
        <v>108141</v>
      </c>
      <c r="BP112" s="2" t="str">
        <f t="shared" si="190"/>
        <v>nie</v>
      </c>
      <c r="BQ112" s="2">
        <f t="shared" si="191"/>
        <v>2088</v>
      </c>
      <c r="BR112" s="1">
        <f t="shared" si="239"/>
        <v>104</v>
      </c>
      <c r="BS112" s="1">
        <f t="shared" si="269"/>
        <v>99</v>
      </c>
      <c r="BT112" s="1">
        <f t="shared" si="229"/>
        <v>109</v>
      </c>
      <c r="BU112" s="1">
        <f t="shared" si="255"/>
        <v>7</v>
      </c>
      <c r="BV112" s="2">
        <f t="shared" si="247"/>
        <v>10400</v>
      </c>
      <c r="BW112" s="8">
        <f t="shared" si="240"/>
        <v>0.05</v>
      </c>
      <c r="BX112" s="2">
        <f t="shared" si="248"/>
        <v>10833.333333333334</v>
      </c>
      <c r="BY112" s="2">
        <f t="shared" si="241"/>
        <v>208</v>
      </c>
      <c r="BZ112" s="2">
        <f t="shared" si="273"/>
        <v>21500</v>
      </c>
      <c r="CA112" s="8">
        <f t="shared" si="270"/>
        <v>4.2999999999999997E-2</v>
      </c>
      <c r="CB112" s="2">
        <f t="shared" si="249"/>
        <v>22270.416666666668</v>
      </c>
      <c r="CC112" s="2">
        <f t="shared" si="271"/>
        <v>430</v>
      </c>
      <c r="CD112" s="2">
        <f t="shared" si="192"/>
        <v>0</v>
      </c>
      <c r="CE112" s="2">
        <f t="shared" si="250"/>
        <v>0</v>
      </c>
      <c r="CF112" s="2">
        <f t="shared" si="251"/>
        <v>62.699999999939791</v>
      </c>
      <c r="CG112" s="1">
        <f t="shared" si="232"/>
        <v>0</v>
      </c>
      <c r="CH112" s="2">
        <f t="shared" si="193"/>
        <v>62.699999999939791</v>
      </c>
      <c r="CI112" s="1">
        <f t="shared" si="242"/>
        <v>0</v>
      </c>
      <c r="CJ112" s="2">
        <f t="shared" si="252"/>
        <v>62.699999999939791</v>
      </c>
      <c r="CK112" s="2">
        <f t="shared" si="253"/>
        <v>141307.44999999995</v>
      </c>
      <c r="CL112" s="2">
        <f t="shared" si="194"/>
        <v>0</v>
      </c>
      <c r="CM112" s="2">
        <f t="shared" si="216"/>
        <v>983.20232999999962</v>
      </c>
      <c r="CN112" s="2">
        <f t="shared" si="195"/>
        <v>140324.24766999995</v>
      </c>
      <c r="CO112" s="2">
        <f t="shared" si="217"/>
        <v>2726</v>
      </c>
      <c r="CP112" s="2">
        <f t="shared" si="196"/>
        <v>7330.4754999999914</v>
      </c>
      <c r="CQ112" s="2">
        <f t="shared" si="197"/>
        <v>130267.77216999997</v>
      </c>
      <c r="CS112" s="5">
        <f t="shared" si="218"/>
        <v>1000</v>
      </c>
      <c r="CT112" s="2">
        <f t="shared" si="219"/>
        <v>100000</v>
      </c>
      <c r="CU112" s="2">
        <f t="shared" si="220"/>
        <v>100000</v>
      </c>
      <c r="CV112" s="2">
        <f t="shared" si="221"/>
        <v>139904.47757028849</v>
      </c>
      <c r="CW112" s="8">
        <f t="shared" si="198"/>
        <v>4.8000000000000001E-2</v>
      </c>
      <c r="CX112" s="2">
        <f t="shared" si="199"/>
        <v>145500.65667310005</v>
      </c>
      <c r="CY112" s="2" t="str">
        <f t="shared" si="200"/>
        <v>nie</v>
      </c>
      <c r="CZ112" s="2">
        <f t="shared" si="222"/>
        <v>0</v>
      </c>
      <c r="DA112" s="2">
        <f t="shared" si="223"/>
        <v>0</v>
      </c>
      <c r="DB112" s="2">
        <f t="shared" si="224"/>
        <v>145500.65667310005</v>
      </c>
      <c r="DC112" s="2">
        <f t="shared" si="201"/>
        <v>0</v>
      </c>
      <c r="DD112" s="2">
        <f t="shared" si="225"/>
        <v>1000.8964813505224</v>
      </c>
      <c r="DE112" s="2">
        <f t="shared" si="226"/>
        <v>144499.76019174952</v>
      </c>
      <c r="DF112" s="2">
        <f t="shared" si="202"/>
        <v>3000</v>
      </c>
      <c r="DG112" s="2">
        <f t="shared" si="203"/>
        <v>8075.1247678890095</v>
      </c>
      <c r="DH112" s="2">
        <f t="shared" si="227"/>
        <v>133424.63542386051</v>
      </c>
    </row>
    <row r="113" spans="2:112">
      <c r="B113" s="228"/>
      <c r="C113" s="1">
        <f t="shared" si="256"/>
        <v>76</v>
      </c>
      <c r="D113" s="2">
        <f t="shared" si="259"/>
        <v>131489.72500861986</v>
      </c>
      <c r="E113" s="2">
        <f t="shared" si="260"/>
        <v>124293.11999744178</v>
      </c>
      <c r="F113" s="2">
        <f t="shared" si="261"/>
        <v>131734.72480333326</v>
      </c>
      <c r="G113" s="2">
        <f t="shared" si="262"/>
        <v>123457.82746999993</v>
      </c>
      <c r="H113" s="2">
        <f t="shared" si="263"/>
        <v>134785.583569371</v>
      </c>
      <c r="I113" s="2">
        <f t="shared" si="264"/>
        <v>125585.39239554609</v>
      </c>
      <c r="J113" s="2">
        <f t="shared" si="257"/>
        <v>124323.00442439268</v>
      </c>
      <c r="K113" s="2">
        <f t="shared" si="258"/>
        <v>119122.36416442166</v>
      </c>
      <c r="W113" s="1">
        <f t="shared" si="204"/>
        <v>95</v>
      </c>
      <c r="X113" s="2">
        <f t="shared" si="177"/>
        <v>124439.43888404075</v>
      </c>
      <c r="Y113" s="8">
        <f t="shared" si="230"/>
        <v>4.1300000000000003E-2</v>
      </c>
      <c r="Z113" s="5">
        <f t="shared" si="205"/>
        <v>1302</v>
      </c>
      <c r="AA113" s="2">
        <f t="shared" si="206"/>
        <v>130069.8</v>
      </c>
      <c r="AB113" s="2">
        <f t="shared" si="207"/>
        <v>130200</v>
      </c>
      <c r="AC113" s="2">
        <f t="shared" si="208"/>
        <v>136254.29999999999</v>
      </c>
      <c r="AD113" s="8">
        <f t="shared" si="178"/>
        <v>4.65E-2</v>
      </c>
      <c r="AE113" s="2">
        <f t="shared" si="179"/>
        <v>142062.13953749998</v>
      </c>
      <c r="AF113" s="2" t="str">
        <f t="shared" si="180"/>
        <v>nie</v>
      </c>
      <c r="AG113" s="2">
        <f t="shared" si="181"/>
        <v>1302</v>
      </c>
      <c r="AH113" s="1">
        <f t="shared" si="233"/>
        <v>1</v>
      </c>
      <c r="AI113" s="1">
        <f t="shared" si="265"/>
        <v>1</v>
      </c>
      <c r="AJ113" s="1">
        <f t="shared" si="228"/>
        <v>0</v>
      </c>
      <c r="AK113" s="1">
        <f t="shared" si="254"/>
        <v>0</v>
      </c>
      <c r="AL113" s="2">
        <f t="shared" si="243"/>
        <v>100</v>
      </c>
      <c r="AM113" s="8">
        <f t="shared" si="234"/>
        <v>4.65E-2</v>
      </c>
      <c r="AN113" s="2">
        <f t="shared" si="244"/>
        <v>104.26249999999999</v>
      </c>
      <c r="AO113" s="2">
        <f t="shared" si="235"/>
        <v>1</v>
      </c>
      <c r="AP113" s="2">
        <f t="shared" si="272"/>
        <v>100</v>
      </c>
      <c r="AQ113" s="8">
        <f t="shared" si="266"/>
        <v>4.1300000000000003E-2</v>
      </c>
      <c r="AR113" s="2">
        <f t="shared" si="267"/>
        <v>103.78583333333333</v>
      </c>
      <c r="AS113" s="2">
        <f t="shared" si="268"/>
        <v>1</v>
      </c>
      <c r="AT113" s="2">
        <f t="shared" si="209"/>
        <v>0</v>
      </c>
      <c r="AU113" s="2">
        <f t="shared" si="245"/>
        <v>0</v>
      </c>
      <c r="AV113" s="2">
        <f t="shared" si="236"/>
        <v>6.9737430424924298</v>
      </c>
      <c r="AW113" s="1">
        <f t="shared" si="231"/>
        <v>0</v>
      </c>
      <c r="AX113" s="2">
        <f t="shared" si="182"/>
        <v>6.9737430424924298</v>
      </c>
      <c r="AY113" s="1">
        <f t="shared" si="237"/>
        <v>0</v>
      </c>
      <c r="AZ113" s="2">
        <f t="shared" si="210"/>
        <v>6.9737430424924298</v>
      </c>
      <c r="BA113" s="2">
        <f t="shared" si="246"/>
        <v>142277.16161387583</v>
      </c>
      <c r="BB113" s="2">
        <f t="shared" si="183"/>
        <v>0</v>
      </c>
      <c r="BC113" s="2">
        <f t="shared" si="211"/>
        <v>982.24613553999768</v>
      </c>
      <c r="BD113" s="2">
        <f t="shared" si="184"/>
        <v>141294.91547833584</v>
      </c>
      <c r="BE113" s="2">
        <f t="shared" si="212"/>
        <v>1304</v>
      </c>
      <c r="BF113" s="2">
        <f t="shared" si="185"/>
        <v>7784.9007066364065</v>
      </c>
      <c r="BG113" s="2">
        <f t="shared" si="186"/>
        <v>132206.01477169944</v>
      </c>
      <c r="BI113" s="8">
        <f t="shared" si="238"/>
        <v>2.8000000000000001E-2</v>
      </c>
      <c r="BJ113" s="5">
        <f t="shared" si="213"/>
        <v>1044</v>
      </c>
      <c r="BK113" s="2">
        <f t="shared" si="214"/>
        <v>104295.6</v>
      </c>
      <c r="BL113" s="2">
        <f t="shared" si="215"/>
        <v>104400</v>
      </c>
      <c r="BM113" s="2">
        <f t="shared" si="187"/>
        <v>104400</v>
      </c>
      <c r="BN113" s="8">
        <f t="shared" si="188"/>
        <v>4.2999999999999997E-2</v>
      </c>
      <c r="BO113" s="2">
        <f t="shared" si="189"/>
        <v>108515.1</v>
      </c>
      <c r="BP113" s="2" t="str">
        <f t="shared" si="190"/>
        <v>nie</v>
      </c>
      <c r="BQ113" s="2">
        <f t="shared" si="191"/>
        <v>2088</v>
      </c>
      <c r="BR113" s="1">
        <f t="shared" si="239"/>
        <v>104</v>
      </c>
      <c r="BS113" s="1">
        <f t="shared" si="269"/>
        <v>99</v>
      </c>
      <c r="BT113" s="1">
        <f t="shared" si="229"/>
        <v>109</v>
      </c>
      <c r="BU113" s="1">
        <f t="shared" si="255"/>
        <v>7</v>
      </c>
      <c r="BV113" s="2">
        <f t="shared" si="247"/>
        <v>10400</v>
      </c>
      <c r="BW113" s="8">
        <f t="shared" si="240"/>
        <v>0.05</v>
      </c>
      <c r="BX113" s="2">
        <f t="shared" si="248"/>
        <v>10876.666666666668</v>
      </c>
      <c r="BY113" s="2">
        <f t="shared" si="241"/>
        <v>208</v>
      </c>
      <c r="BZ113" s="2">
        <f t="shared" si="273"/>
        <v>21500</v>
      </c>
      <c r="CA113" s="8">
        <f t="shared" si="270"/>
        <v>4.2999999999999997E-2</v>
      </c>
      <c r="CB113" s="2">
        <f t="shared" si="249"/>
        <v>22347.458333333332</v>
      </c>
      <c r="CC113" s="2">
        <f t="shared" si="271"/>
        <v>430</v>
      </c>
      <c r="CD113" s="2">
        <f t="shared" si="192"/>
        <v>0</v>
      </c>
      <c r="CE113" s="2">
        <f t="shared" si="250"/>
        <v>0</v>
      </c>
      <c r="CF113" s="2">
        <f t="shared" si="251"/>
        <v>62.699999999939791</v>
      </c>
      <c r="CG113" s="1">
        <f t="shared" si="232"/>
        <v>0</v>
      </c>
      <c r="CH113" s="2">
        <f t="shared" si="193"/>
        <v>62.699999999939791</v>
      </c>
      <c r="CI113" s="1">
        <f t="shared" si="242"/>
        <v>0</v>
      </c>
      <c r="CJ113" s="2">
        <f t="shared" si="252"/>
        <v>62.699999999939791</v>
      </c>
      <c r="CK113" s="2">
        <f t="shared" si="253"/>
        <v>141801.92499999996</v>
      </c>
      <c r="CL113" s="2">
        <f t="shared" si="194"/>
        <v>0</v>
      </c>
      <c r="CM113" s="2">
        <f t="shared" si="216"/>
        <v>983.20232999999962</v>
      </c>
      <c r="CN113" s="2">
        <f t="shared" si="195"/>
        <v>140818.72266999996</v>
      </c>
      <c r="CO113" s="2">
        <f t="shared" si="217"/>
        <v>2726</v>
      </c>
      <c r="CP113" s="2">
        <f t="shared" si="196"/>
        <v>7424.4257499999921</v>
      </c>
      <c r="CQ113" s="2">
        <f t="shared" si="197"/>
        <v>130668.29691999996</v>
      </c>
      <c r="CS113" s="5">
        <f t="shared" si="218"/>
        <v>1000</v>
      </c>
      <c r="CT113" s="2">
        <f t="shared" si="219"/>
        <v>100000</v>
      </c>
      <c r="CU113" s="2">
        <f t="shared" si="220"/>
        <v>100000</v>
      </c>
      <c r="CV113" s="2">
        <f t="shared" si="221"/>
        <v>139904.47757028849</v>
      </c>
      <c r="CW113" s="8">
        <f t="shared" si="198"/>
        <v>4.8000000000000001E-2</v>
      </c>
      <c r="CX113" s="2">
        <f t="shared" si="199"/>
        <v>146060.27458338119</v>
      </c>
      <c r="CY113" s="2" t="str">
        <f t="shared" si="200"/>
        <v>nie</v>
      </c>
      <c r="CZ113" s="2">
        <f t="shared" si="222"/>
        <v>0</v>
      </c>
      <c r="DA113" s="2">
        <f t="shared" si="223"/>
        <v>0</v>
      </c>
      <c r="DB113" s="2">
        <f t="shared" si="224"/>
        <v>146060.27458338119</v>
      </c>
      <c r="DC113" s="2">
        <f t="shared" si="201"/>
        <v>0</v>
      </c>
      <c r="DD113" s="2">
        <f t="shared" si="225"/>
        <v>1000.8964813505224</v>
      </c>
      <c r="DE113" s="2">
        <f t="shared" si="226"/>
        <v>145059.37810203066</v>
      </c>
      <c r="DF113" s="2">
        <f t="shared" si="202"/>
        <v>3000</v>
      </c>
      <c r="DG113" s="2">
        <f t="shared" si="203"/>
        <v>8181.4521708424272</v>
      </c>
      <c r="DH113" s="2">
        <f t="shared" si="227"/>
        <v>133877.92593118825</v>
      </c>
    </row>
    <row r="114" spans="2:112">
      <c r="B114" s="228"/>
      <c r="C114" s="1">
        <f t="shared" si="256"/>
        <v>77</v>
      </c>
      <c r="D114" s="2">
        <f t="shared" si="259"/>
        <v>131994.63750861984</v>
      </c>
      <c r="E114" s="2">
        <f t="shared" si="260"/>
        <v>124702.09912244177</v>
      </c>
      <c r="F114" s="2">
        <f t="shared" si="261"/>
        <v>132208.48313666659</v>
      </c>
      <c r="G114" s="2">
        <f t="shared" si="262"/>
        <v>123814.84171999994</v>
      </c>
      <c r="H114" s="2">
        <f t="shared" si="263"/>
        <v>135319.5701249828</v>
      </c>
      <c r="I114" s="2">
        <f t="shared" si="264"/>
        <v>126017.92150559166</v>
      </c>
      <c r="J114" s="2">
        <f t="shared" si="257"/>
        <v>124679.65604333516</v>
      </c>
      <c r="K114" s="2">
        <f t="shared" si="258"/>
        <v>119397.74611592462</v>
      </c>
      <c r="W114" s="1">
        <f t="shared" si="204"/>
        <v>96</v>
      </c>
      <c r="X114" s="2">
        <f t="shared" si="177"/>
        <v>124722.53153018578</v>
      </c>
      <c r="Y114" s="8">
        <f t="shared" si="230"/>
        <v>4.1300000000000003E-2</v>
      </c>
      <c r="Z114" s="5">
        <f t="shared" si="205"/>
        <v>1302</v>
      </c>
      <c r="AA114" s="2">
        <f t="shared" si="206"/>
        <v>130069.8</v>
      </c>
      <c r="AB114" s="2">
        <f t="shared" si="207"/>
        <v>130200</v>
      </c>
      <c r="AC114" s="2">
        <f t="shared" si="208"/>
        <v>136254.29999999999</v>
      </c>
      <c r="AD114" s="8">
        <f t="shared" si="178"/>
        <v>4.65E-2</v>
      </c>
      <c r="AE114" s="2">
        <f t="shared" si="179"/>
        <v>142590.12495</v>
      </c>
      <c r="AF114" s="2" t="str">
        <f t="shared" si="180"/>
        <v>nie</v>
      </c>
      <c r="AG114" s="2">
        <f t="shared" si="181"/>
        <v>1302</v>
      </c>
      <c r="AH114" s="1">
        <f t="shared" si="233"/>
        <v>1</v>
      </c>
      <c r="AI114" s="1">
        <f t="shared" si="265"/>
        <v>1</v>
      </c>
      <c r="AJ114" s="1">
        <f t="shared" si="228"/>
        <v>0</v>
      </c>
      <c r="AK114" s="1">
        <f t="shared" si="254"/>
        <v>0</v>
      </c>
      <c r="AL114" s="2">
        <f t="shared" si="243"/>
        <v>100</v>
      </c>
      <c r="AM114" s="8">
        <f t="shared" si="234"/>
        <v>4.65E-2</v>
      </c>
      <c r="AN114" s="2">
        <f t="shared" si="244"/>
        <v>104.65</v>
      </c>
      <c r="AO114" s="2">
        <f t="shared" si="235"/>
        <v>1</v>
      </c>
      <c r="AP114" s="2">
        <f t="shared" si="272"/>
        <v>100</v>
      </c>
      <c r="AQ114" s="8">
        <f t="shared" si="266"/>
        <v>4.1300000000000003E-2</v>
      </c>
      <c r="AR114" s="2">
        <f t="shared" si="267"/>
        <v>104.13000000000001</v>
      </c>
      <c r="AS114" s="2">
        <f t="shared" si="268"/>
        <v>1</v>
      </c>
      <c r="AT114" s="2">
        <f t="shared" si="209"/>
        <v>0</v>
      </c>
      <c r="AU114" s="2">
        <f t="shared" si="245"/>
        <v>8.7800000000000153</v>
      </c>
      <c r="AV114" s="2">
        <f t="shared" si="236"/>
        <v>15.753743042492445</v>
      </c>
      <c r="AW114" s="1">
        <f t="shared" si="231"/>
        <v>0</v>
      </c>
      <c r="AX114" s="2">
        <f t="shared" si="182"/>
        <v>15.753743042492445</v>
      </c>
      <c r="AY114" s="1">
        <f t="shared" si="237"/>
        <v>0</v>
      </c>
      <c r="AZ114" s="2">
        <f t="shared" si="210"/>
        <v>15.753743042492445</v>
      </c>
      <c r="BA114" s="2">
        <f t="shared" si="246"/>
        <v>142805.8786930425</v>
      </c>
      <c r="BB114" s="2">
        <f t="shared" si="183"/>
        <v>142.8058786930425</v>
      </c>
      <c r="BC114" s="2">
        <f t="shared" si="211"/>
        <v>1125.0520142330402</v>
      </c>
      <c r="BD114" s="2">
        <f t="shared" si="184"/>
        <v>141680.82667880945</v>
      </c>
      <c r="BE114" s="2">
        <f t="shared" si="212"/>
        <v>1304</v>
      </c>
      <c r="BF114" s="2">
        <f t="shared" si="185"/>
        <v>7885.3569516780744</v>
      </c>
      <c r="BG114" s="2">
        <f t="shared" si="186"/>
        <v>132491.46972713136</v>
      </c>
      <c r="BI114" s="8">
        <f t="shared" si="238"/>
        <v>2.8000000000000001E-2</v>
      </c>
      <c r="BJ114" s="5">
        <f t="shared" si="213"/>
        <v>1044</v>
      </c>
      <c r="BK114" s="2">
        <f t="shared" si="214"/>
        <v>104295.6</v>
      </c>
      <c r="BL114" s="2">
        <f t="shared" si="215"/>
        <v>104400</v>
      </c>
      <c r="BM114" s="2">
        <f t="shared" si="187"/>
        <v>104400</v>
      </c>
      <c r="BN114" s="8">
        <f t="shared" si="188"/>
        <v>4.2999999999999997E-2</v>
      </c>
      <c r="BO114" s="2">
        <f t="shared" si="189"/>
        <v>108889.2</v>
      </c>
      <c r="BP114" s="2" t="str">
        <f t="shared" si="190"/>
        <v>tak</v>
      </c>
      <c r="BQ114" s="2">
        <f t="shared" si="191"/>
        <v>0</v>
      </c>
      <c r="BR114" s="1">
        <f t="shared" si="239"/>
        <v>104</v>
      </c>
      <c r="BS114" s="1">
        <f t="shared" si="269"/>
        <v>99</v>
      </c>
      <c r="BT114" s="1">
        <f t="shared" si="229"/>
        <v>109</v>
      </c>
      <c r="BU114" s="1">
        <f t="shared" si="255"/>
        <v>7</v>
      </c>
      <c r="BV114" s="2">
        <f t="shared" si="247"/>
        <v>10400</v>
      </c>
      <c r="BW114" s="8">
        <f t="shared" si="240"/>
        <v>0.05</v>
      </c>
      <c r="BX114" s="2">
        <f t="shared" si="248"/>
        <v>10920</v>
      </c>
      <c r="BY114" s="2">
        <f t="shared" si="241"/>
        <v>208</v>
      </c>
      <c r="BZ114" s="2">
        <f t="shared" si="273"/>
        <v>21500</v>
      </c>
      <c r="CA114" s="8">
        <f t="shared" si="270"/>
        <v>4.2999999999999997E-2</v>
      </c>
      <c r="CB114" s="2">
        <f t="shared" si="249"/>
        <v>22424.5</v>
      </c>
      <c r="CC114" s="2">
        <f t="shared" si="271"/>
        <v>430</v>
      </c>
      <c r="CD114" s="2">
        <f t="shared" si="192"/>
        <v>98.099999999991269</v>
      </c>
      <c r="CE114" s="2">
        <f t="shared" si="250"/>
        <v>2144.5</v>
      </c>
      <c r="CF114" s="2">
        <f t="shared" si="251"/>
        <v>2305.2999999999311</v>
      </c>
      <c r="CG114" s="1">
        <f t="shared" si="232"/>
        <v>7</v>
      </c>
      <c r="CH114" s="2">
        <f t="shared" si="193"/>
        <v>1605.9999999999309</v>
      </c>
      <c r="CI114" s="1">
        <f t="shared" si="242"/>
        <v>16</v>
      </c>
      <c r="CJ114" s="2">
        <f t="shared" si="252"/>
        <v>5.9999999999308784</v>
      </c>
      <c r="CK114" s="2">
        <f t="shared" si="253"/>
        <v>142296.39999999997</v>
      </c>
      <c r="CL114" s="2">
        <f t="shared" si="194"/>
        <v>142.29639999999998</v>
      </c>
      <c r="CM114" s="2">
        <f t="shared" si="216"/>
        <v>1125.4987299999996</v>
      </c>
      <c r="CN114" s="2">
        <f t="shared" si="195"/>
        <v>141170.90126999997</v>
      </c>
      <c r="CO114" s="2">
        <f t="shared" si="217"/>
        <v>638</v>
      </c>
      <c r="CP114" s="2">
        <f t="shared" si="196"/>
        <v>7915.0959999999932</v>
      </c>
      <c r="CQ114" s="2">
        <f t="shared" si="197"/>
        <v>132617.80526999998</v>
      </c>
      <c r="CS114" s="5">
        <f t="shared" si="218"/>
        <v>1000</v>
      </c>
      <c r="CT114" s="2">
        <f t="shared" si="219"/>
        <v>100000</v>
      </c>
      <c r="CU114" s="2">
        <f t="shared" si="220"/>
        <v>100000</v>
      </c>
      <c r="CV114" s="2">
        <f t="shared" si="221"/>
        <v>139904.47757028849</v>
      </c>
      <c r="CW114" s="8">
        <f t="shared" si="198"/>
        <v>4.8000000000000001E-2</v>
      </c>
      <c r="CX114" s="2">
        <f t="shared" si="199"/>
        <v>146619.89249366234</v>
      </c>
      <c r="CY114" s="2" t="str">
        <f t="shared" si="200"/>
        <v>nie</v>
      </c>
      <c r="CZ114" s="2">
        <f t="shared" si="222"/>
        <v>0</v>
      </c>
      <c r="DA114" s="2">
        <f t="shared" si="223"/>
        <v>0</v>
      </c>
      <c r="DB114" s="2">
        <f t="shared" si="224"/>
        <v>146619.89249366234</v>
      </c>
      <c r="DC114" s="2">
        <f t="shared" si="201"/>
        <v>146.61989249366235</v>
      </c>
      <c r="DD114" s="2">
        <f t="shared" si="225"/>
        <v>1147.5163738441847</v>
      </c>
      <c r="DE114" s="2">
        <f t="shared" si="226"/>
        <v>145472.37611981816</v>
      </c>
      <c r="DF114" s="2">
        <f t="shared" si="202"/>
        <v>3000</v>
      </c>
      <c r="DG114" s="2">
        <f t="shared" si="203"/>
        <v>8287.779573795844</v>
      </c>
      <c r="DH114" s="2">
        <f t="shared" si="227"/>
        <v>134184.59654602231</v>
      </c>
    </row>
    <row r="115" spans="2:112">
      <c r="B115" s="228"/>
      <c r="C115" s="1">
        <f t="shared" si="256"/>
        <v>78</v>
      </c>
      <c r="D115" s="2">
        <f t="shared" si="259"/>
        <v>132499.55000861987</v>
      </c>
      <c r="E115" s="2">
        <f t="shared" si="260"/>
        <v>125111.07824744179</v>
      </c>
      <c r="F115" s="2">
        <f t="shared" si="261"/>
        <v>132682.24146999995</v>
      </c>
      <c r="G115" s="2">
        <f t="shared" si="262"/>
        <v>124198.58596999996</v>
      </c>
      <c r="H115" s="2">
        <f t="shared" si="263"/>
        <v>135853.55668059457</v>
      </c>
      <c r="I115" s="2">
        <f t="shared" si="264"/>
        <v>126450.45061563719</v>
      </c>
      <c r="J115" s="2">
        <f t="shared" si="257"/>
        <v>125037.33080660948</v>
      </c>
      <c r="K115" s="2">
        <f t="shared" si="258"/>
        <v>119673.12806742756</v>
      </c>
      <c r="W115" s="1">
        <f t="shared" si="204"/>
        <v>97</v>
      </c>
      <c r="X115" s="2">
        <f t="shared" ref="X115:X146" si="274">zakup_domyslny_wartosc*IFERROR((INDEX(scenariusz_I_inflacja_skumulowana,MATCH(ROUNDDOWN(W115/12,0),scenariusz_I_rok,0))+1),1)
*(1+MOD(W115,12)*INDEX(scenariusz_I_inflacja,MATCH(ROUNDUP(W115/12,0),scenariusz_I_rok,0))/12)</f>
        <v>125013.55077042287</v>
      </c>
      <c r="Y115" s="8">
        <f t="shared" si="230"/>
        <v>4.1300000000000003E-2</v>
      </c>
      <c r="Z115" s="5">
        <f t="shared" si="205"/>
        <v>1302</v>
      </c>
      <c r="AA115" s="2">
        <f t="shared" si="206"/>
        <v>130069.8</v>
      </c>
      <c r="AB115" s="2">
        <f t="shared" si="207"/>
        <v>130200</v>
      </c>
      <c r="AC115" s="2">
        <f t="shared" si="208"/>
        <v>142590.12495</v>
      </c>
      <c r="AD115" s="8">
        <f t="shared" ref="AD115:AD146" si="275">IF(AND(MOD($W115,zapadalnosc_TOS)&lt;=zmiana_oprocentowania_co_ile_mc_TOS,MOD($W115,zapadalnosc_TOS)&lt;&gt;0),proc_I_okres_TOS,(marza_TOS+$Y115))</f>
        <v>4.65E-2</v>
      </c>
      <c r="AE115" s="2">
        <f t="shared" si="179"/>
        <v>143142.66168418125</v>
      </c>
      <c r="AF115" s="2" t="str">
        <f t="shared" ref="AF115:AF146" si="276">IF(MOD($W115,zapadalnosc_TOS)=0,"tak","nie")</f>
        <v>nie</v>
      </c>
      <c r="AG115" s="2">
        <f t="shared" ref="AG115:AG146" si="277">IF(MOD($W115,zapadalnosc_TOS)=0,0,
IF(AND(MOD($W115,zapadalnosc_TOS)&lt;zapadalnosc_TOS,MOD($W115,zapadalnosc_TOS)&lt;=koszt_wczesniejszy_wykup_ochrona_TOS),
MIN(AE115-AB115,Z115*koszt_wczesniejszy_wykup_TOS),Z115*koszt_wczesniejszy_wykup_TOS))</f>
        <v>1302</v>
      </c>
      <c r="AH115" s="1">
        <f t="shared" si="233"/>
        <v>1</v>
      </c>
      <c r="AI115" s="1">
        <f t="shared" si="265"/>
        <v>1</v>
      </c>
      <c r="AJ115" s="1">
        <f t="shared" si="228"/>
        <v>1</v>
      </c>
      <c r="AK115" s="1">
        <f t="shared" si="254"/>
        <v>0</v>
      </c>
      <c r="AL115" s="2">
        <f t="shared" si="243"/>
        <v>100</v>
      </c>
      <c r="AM115" s="8">
        <f t="shared" si="234"/>
        <v>4.65E-2</v>
      </c>
      <c r="AN115" s="2">
        <f t="shared" si="244"/>
        <v>100.3875</v>
      </c>
      <c r="AO115" s="2">
        <f t="shared" si="235"/>
        <v>0.38750000000000284</v>
      </c>
      <c r="AP115" s="2">
        <f t="shared" si="272"/>
        <v>200</v>
      </c>
      <c r="AQ115" s="8">
        <f t="shared" si="266"/>
        <v>4.1300000000000003E-2</v>
      </c>
      <c r="AR115" s="2">
        <f t="shared" si="267"/>
        <v>200.6883333333333</v>
      </c>
      <c r="AS115" s="2">
        <f t="shared" si="268"/>
        <v>2</v>
      </c>
      <c r="AT115" s="2">
        <f t="shared" si="209"/>
        <v>0</v>
      </c>
      <c r="AU115" s="2">
        <f t="shared" si="245"/>
        <v>0</v>
      </c>
      <c r="AV115" s="2">
        <f t="shared" si="236"/>
        <v>15.753743042492445</v>
      </c>
      <c r="AW115" s="1">
        <f t="shared" si="231"/>
        <v>0</v>
      </c>
      <c r="AX115" s="2">
        <f t="shared" ref="AX115:AX146" si="278">AV115-AW115*zamiana_TOS</f>
        <v>15.753743042492445</v>
      </c>
      <c r="AY115" s="1">
        <f t="shared" si="237"/>
        <v>0</v>
      </c>
      <c r="AZ115" s="2">
        <f t="shared" si="210"/>
        <v>15.753743042492445</v>
      </c>
      <c r="BA115" s="2">
        <f t="shared" si="246"/>
        <v>143459.49126055709</v>
      </c>
      <c r="BB115" s="2">
        <f t="shared" ref="BB115:BB146" si="279">MIN(IF(MOD($W115,12)=0,INDEX(IKE_oplata_wskaznik,MATCH(ROUNDUP($W115/12,0),IKE_oplata_rok,0)),0)*BA115,200)</f>
        <v>0</v>
      </c>
      <c r="BC115" s="2">
        <f t="shared" si="211"/>
        <v>1125.0520142330402</v>
      </c>
      <c r="BD115" s="2">
        <f t="shared" si="184"/>
        <v>142334.43924632404</v>
      </c>
      <c r="BE115" s="2">
        <f t="shared" si="212"/>
        <v>1304.3875</v>
      </c>
      <c r="BF115" s="2">
        <f t="shared" si="185"/>
        <v>8009.4697145058444</v>
      </c>
      <c r="BG115" s="2">
        <f t="shared" si="186"/>
        <v>133020.58203181819</v>
      </c>
      <c r="BI115" s="8">
        <f t="shared" si="238"/>
        <v>2.8000000000000001E-2</v>
      </c>
      <c r="BJ115" s="5">
        <f t="shared" si="213"/>
        <v>1089</v>
      </c>
      <c r="BK115" s="2">
        <f t="shared" si="214"/>
        <v>108791.1</v>
      </c>
      <c r="BL115" s="2">
        <f t="shared" si="215"/>
        <v>108900</v>
      </c>
      <c r="BM115" s="2">
        <f t="shared" ref="BM115:BM146" si="280">BL115</f>
        <v>108900</v>
      </c>
      <c r="BN115" s="8">
        <f t="shared" ref="BN115:BN146" si="281">IF(AND(MOD($W115,zapadalnosc_COI)&lt;=zmiana_oprocentowania_co_ile_mc_COI,MOD($W115,zapadalnosc_COI)&lt;&gt;0),proc_I_okres_COI,(marza_COI+$BI115))</f>
        <v>0.05</v>
      </c>
      <c r="BO115" s="2">
        <f t="shared" ref="BO115:BO146" si="282">BM115*(1+BN115*IF(MOD($W115,12)&lt;&gt;0,MOD($W115,12),12)/12)</f>
        <v>109353.75</v>
      </c>
      <c r="BP115" s="2" t="str">
        <f t="shared" ref="BP115:BP146" si="283">IF(MOD($W115,zapadalnosc_COI)=0,"tak","nie")</f>
        <v>nie</v>
      </c>
      <c r="BQ115" s="2">
        <f t="shared" ref="BQ115:BQ146" si="284">IF(MOD($W115,zapadalnosc_COI)=0,0,
IF(AND(MOD($W115,zapadalnosc_COI)&lt;zapadalnosc_COI,MOD($W115,zapadalnosc_COI)&lt;=koszt_wczesniejszy_wykup_ochrona_COI),
MIN(BO115-BL115,BJ115*koszt_wczesniejszy_wykup_COI),BJ115*koszt_wczesniejszy_wykup_COI))</f>
        <v>453.75</v>
      </c>
      <c r="BR115" s="1">
        <f t="shared" si="239"/>
        <v>23</v>
      </c>
      <c r="BS115" s="1">
        <f t="shared" si="269"/>
        <v>104</v>
      </c>
      <c r="BT115" s="1">
        <f t="shared" si="229"/>
        <v>99</v>
      </c>
      <c r="BU115" s="1">
        <f t="shared" si="255"/>
        <v>109</v>
      </c>
      <c r="BV115" s="2">
        <f t="shared" si="247"/>
        <v>2300</v>
      </c>
      <c r="BW115" s="8">
        <f t="shared" si="240"/>
        <v>0.05</v>
      </c>
      <c r="BX115" s="2">
        <f t="shared" si="248"/>
        <v>2309.5833333333335</v>
      </c>
      <c r="BY115" s="2">
        <f t="shared" si="241"/>
        <v>9.5833333333334849</v>
      </c>
      <c r="BZ115" s="2">
        <f t="shared" si="273"/>
        <v>31200</v>
      </c>
      <c r="CA115" s="8">
        <f t="shared" si="270"/>
        <v>4.2999999999999997E-2</v>
      </c>
      <c r="CB115" s="2">
        <f t="shared" si="249"/>
        <v>31311.8</v>
      </c>
      <c r="CC115" s="2">
        <f t="shared" si="271"/>
        <v>624</v>
      </c>
      <c r="CD115" s="2">
        <f t="shared" ref="CD115:CD146" si="285">IF(MOD($W115,wyplata_odsetek_COI)=0, (BO115-BL115),0)
-IF(AND(BP115="tak",BK116&lt;&gt;""),BK116-BL115,0)</f>
        <v>0</v>
      </c>
      <c r="CE115" s="2">
        <f t="shared" si="250"/>
        <v>0</v>
      </c>
      <c r="CF115" s="2">
        <f t="shared" si="251"/>
        <v>5.9999999999308784</v>
      </c>
      <c r="CG115" s="1">
        <f t="shared" si="232"/>
        <v>0</v>
      </c>
      <c r="CH115" s="2">
        <f t="shared" ref="CH115:CH146" si="286">CF115-CG115*zamiana_COI</f>
        <v>5.9999999999308784</v>
      </c>
      <c r="CI115" s="1">
        <f t="shared" si="242"/>
        <v>0</v>
      </c>
      <c r="CJ115" s="2">
        <f t="shared" si="252"/>
        <v>5.9999999999308784</v>
      </c>
      <c r="CK115" s="2">
        <f t="shared" si="253"/>
        <v>142981.13333333327</v>
      </c>
      <c r="CL115" s="2">
        <f t="shared" ref="CL115:CL146" si="287">MIN(IF(MOD($W115,12)=0,INDEX(IKE_oplata_wskaznik,MATCH(ROUNDUP($W115/12,0),IKE_oplata_rok,0)),0)*CK115,200)</f>
        <v>0</v>
      </c>
      <c r="CM115" s="2">
        <f t="shared" si="216"/>
        <v>1125.4987299999996</v>
      </c>
      <c r="CN115" s="2">
        <f t="shared" ref="CN115:CN146" si="288">CK115-CM115</f>
        <v>141855.63460333328</v>
      </c>
      <c r="CO115" s="2">
        <f t="shared" si="217"/>
        <v>1087.3333333333335</v>
      </c>
      <c r="CP115" s="2">
        <f t="shared" ref="CP115:CP146" si="289">(CK115-CO115-zakup_domyslny_wartosc)*podatek_Belki</f>
        <v>7959.8219999999865</v>
      </c>
      <c r="CQ115" s="2">
        <f t="shared" ref="CQ115:CQ146" si="290">CK115-CM115-CO115-CP115</f>
        <v>132808.47926999995</v>
      </c>
      <c r="CS115" s="5">
        <f t="shared" si="218"/>
        <v>1000</v>
      </c>
      <c r="CT115" s="2">
        <f t="shared" si="219"/>
        <v>100000</v>
      </c>
      <c r="CU115" s="2">
        <f t="shared" si="220"/>
        <v>100000</v>
      </c>
      <c r="CV115" s="2">
        <f t="shared" si="221"/>
        <v>146619.89249366234</v>
      </c>
      <c r="CW115" s="8">
        <f t="shared" ref="CW115:CW146" si="291">IF(AND(MOD($W115,zapadalnosc_EDO)&lt;=12,MOD($W115,zapadalnosc_EDO)&lt;&gt;0),proc_I_okres_EDO,(marza_EDO+$BI115))</f>
        <v>4.8000000000000001E-2</v>
      </c>
      <c r="CX115" s="2">
        <f t="shared" ref="CX115:CX146" si="292">CV115*(1+CW115*IF(MOD($W115,12)&lt;&gt;0,MOD($W115,12),12)/12)</f>
        <v>147206.37206363698</v>
      </c>
      <c r="CY115" s="2" t="str">
        <f t="shared" ref="CY115:CY146" si="293">IF(MOD($W115,zapadalnosc_EDO)=0,"tak","nie")</f>
        <v>nie</v>
      </c>
      <c r="CZ115" s="2">
        <f t="shared" si="222"/>
        <v>0</v>
      </c>
      <c r="DA115" s="2">
        <f t="shared" si="223"/>
        <v>0</v>
      </c>
      <c r="DB115" s="2">
        <f t="shared" si="224"/>
        <v>147206.37206363698</v>
      </c>
      <c r="DC115" s="2">
        <f t="shared" ref="DC115:DC146" si="294">MIN(IF(MOD(W115,12)=0,INDEX(IKE_oplata_wskaznik,MATCH(ROUNDUP(W115/12,0),IKE_oplata_rok,0)),0)*DB115,200)</f>
        <v>0</v>
      </c>
      <c r="DD115" s="2">
        <f t="shared" si="225"/>
        <v>1147.5163738441847</v>
      </c>
      <c r="DE115" s="2">
        <f t="shared" si="226"/>
        <v>146058.85568979281</v>
      </c>
      <c r="DF115" s="2">
        <f t="shared" ref="DF115:DF146" si="295">IF(AND(MOD($W115,zapadalnosc_EDO)&lt;zapadalnosc_EDO,MOD($W115,zapadalnosc_EDO)&lt;&gt;0),MIN(CX115-CU115,CS115*koszt_wczesniejszy_wykup_EDO),0)</f>
        <v>3000</v>
      </c>
      <c r="DG115" s="2">
        <f t="shared" ref="DG115:DG146" si="296">(CX115-DF115-zakup_domyslny_wartosc)*podatek_Belki</f>
        <v>8399.2106920910264</v>
      </c>
      <c r="DH115" s="2">
        <f t="shared" si="227"/>
        <v>134659.64499770178</v>
      </c>
    </row>
    <row r="116" spans="2:112">
      <c r="B116" s="228"/>
      <c r="C116" s="1">
        <f t="shared" si="256"/>
        <v>79</v>
      </c>
      <c r="D116" s="2">
        <f t="shared" si="259"/>
        <v>133004.46250861985</v>
      </c>
      <c r="E116" s="2">
        <f t="shared" si="260"/>
        <v>125520.05737244178</v>
      </c>
      <c r="F116" s="2">
        <f t="shared" si="261"/>
        <v>133155.99980333325</v>
      </c>
      <c r="G116" s="2">
        <f t="shared" si="262"/>
        <v>124582.33021999993</v>
      </c>
      <c r="H116" s="2">
        <f t="shared" si="263"/>
        <v>136387.54323620637</v>
      </c>
      <c r="I116" s="2">
        <f t="shared" si="264"/>
        <v>126882.97972568276</v>
      </c>
      <c r="J116" s="2">
        <f t="shared" si="257"/>
        <v>125396.03164936093</v>
      </c>
      <c r="K116" s="2">
        <f t="shared" si="258"/>
        <v>119948.51001893052</v>
      </c>
      <c r="W116" s="1">
        <f t="shared" ref="W116:W147" si="297">W115+1</f>
        <v>98</v>
      </c>
      <c r="X116" s="2">
        <f t="shared" si="274"/>
        <v>125304.57001065997</v>
      </c>
      <c r="Y116" s="8">
        <f t="shared" si="230"/>
        <v>4.1300000000000003E-2</v>
      </c>
      <c r="Z116" s="5">
        <f t="shared" ref="Z116:Z147" si="298">IF(AF115="tak",
ROUNDDOWN(AE115/zamiana_TOS,0),
Z115)</f>
        <v>1302</v>
      </c>
      <c r="AA116" s="2">
        <f t="shared" ref="AA116:AA147" si="299">IF(AF115="tak",
Z116*zamiana_TOS,
AA115)</f>
        <v>130069.8</v>
      </c>
      <c r="AB116" s="2">
        <f t="shared" si="207"/>
        <v>130200</v>
      </c>
      <c r="AC116" s="2">
        <f t="shared" ref="AC116:AC147" si="300">IF(AF115="tak",
 AB116,
IF(MOD($W116,kapitalizacja_odsetek_mc_TOS)&lt;&gt;1,AC115,AE115))</f>
        <v>142590.12495</v>
      </c>
      <c r="AD116" s="8">
        <f t="shared" si="275"/>
        <v>4.65E-2</v>
      </c>
      <c r="AE116" s="2">
        <f t="shared" si="179"/>
        <v>143695.19841836247</v>
      </c>
      <c r="AF116" s="2" t="str">
        <f t="shared" si="276"/>
        <v>nie</v>
      </c>
      <c r="AG116" s="2">
        <f t="shared" si="277"/>
        <v>1302</v>
      </c>
      <c r="AH116" s="1">
        <f t="shared" si="233"/>
        <v>1</v>
      </c>
      <c r="AI116" s="1">
        <f t="shared" si="265"/>
        <v>1</v>
      </c>
      <c r="AJ116" s="1">
        <f t="shared" si="228"/>
        <v>1</v>
      </c>
      <c r="AK116" s="1">
        <f t="shared" si="254"/>
        <v>0</v>
      </c>
      <c r="AL116" s="2">
        <f t="shared" si="243"/>
        <v>100</v>
      </c>
      <c r="AM116" s="8">
        <f t="shared" si="234"/>
        <v>4.65E-2</v>
      </c>
      <c r="AN116" s="2">
        <f t="shared" si="244"/>
        <v>100.77499999999999</v>
      </c>
      <c r="AO116" s="2">
        <f t="shared" si="235"/>
        <v>0.77499999999999147</v>
      </c>
      <c r="AP116" s="2">
        <f t="shared" si="272"/>
        <v>200</v>
      </c>
      <c r="AQ116" s="8">
        <f t="shared" si="266"/>
        <v>4.1300000000000003E-2</v>
      </c>
      <c r="AR116" s="2">
        <f t="shared" si="267"/>
        <v>201.37666666666667</v>
      </c>
      <c r="AS116" s="2">
        <f t="shared" si="268"/>
        <v>2</v>
      </c>
      <c r="AT116" s="2">
        <f t="shared" si="209"/>
        <v>0</v>
      </c>
      <c r="AU116" s="2">
        <f t="shared" si="245"/>
        <v>0</v>
      </c>
      <c r="AV116" s="2">
        <f t="shared" si="236"/>
        <v>15.753743042492445</v>
      </c>
      <c r="AW116" s="1">
        <f t="shared" si="231"/>
        <v>0</v>
      </c>
      <c r="AX116" s="2">
        <f t="shared" si="278"/>
        <v>15.753743042492445</v>
      </c>
      <c r="AY116" s="1">
        <f t="shared" si="237"/>
        <v>0</v>
      </c>
      <c r="AZ116" s="2">
        <f t="shared" si="210"/>
        <v>15.753743042492445</v>
      </c>
      <c r="BA116" s="2">
        <f t="shared" si="246"/>
        <v>144013.10382807165</v>
      </c>
      <c r="BB116" s="2">
        <f t="shared" si="279"/>
        <v>0</v>
      </c>
      <c r="BC116" s="2">
        <f t="shared" si="211"/>
        <v>1125.0520142330402</v>
      </c>
      <c r="BD116" s="2">
        <f t="shared" si="184"/>
        <v>142888.0518138386</v>
      </c>
      <c r="BE116" s="2">
        <f t="shared" si="212"/>
        <v>1304.7750000000001</v>
      </c>
      <c r="BF116" s="2">
        <f t="shared" si="185"/>
        <v>8114.5824773336135</v>
      </c>
      <c r="BG116" s="2">
        <f t="shared" si="186"/>
        <v>133468.694336505</v>
      </c>
      <c r="BI116" s="8">
        <f t="shared" si="238"/>
        <v>2.8000000000000001E-2</v>
      </c>
      <c r="BJ116" s="5">
        <f t="shared" ref="BJ116:BJ147" si="301">IF(BP115="tak",
ROUNDDOWN(BO115/zamiana_COI,0),
BJ115)</f>
        <v>1089</v>
      </c>
      <c r="BK116" s="2">
        <f t="shared" ref="BK116:BK147" si="302">IF(BP115="tak",
BJ116*zamiana_COI,
BK115)</f>
        <v>108791.1</v>
      </c>
      <c r="BL116" s="2">
        <f t="shared" ref="BL116:BL147" si="303">IF(BP115="tak",
BJ116*100,
BL115)</f>
        <v>108900</v>
      </c>
      <c r="BM116" s="2">
        <f t="shared" si="280"/>
        <v>108900</v>
      </c>
      <c r="BN116" s="8">
        <f t="shared" si="281"/>
        <v>0.05</v>
      </c>
      <c r="BO116" s="2">
        <f t="shared" si="282"/>
        <v>109807.5</v>
      </c>
      <c r="BP116" s="2" t="str">
        <f t="shared" si="283"/>
        <v>nie</v>
      </c>
      <c r="BQ116" s="2">
        <f t="shared" si="284"/>
        <v>907.5</v>
      </c>
      <c r="BR116" s="1">
        <f t="shared" si="239"/>
        <v>23</v>
      </c>
      <c r="BS116" s="1">
        <f t="shared" si="269"/>
        <v>104</v>
      </c>
      <c r="BT116" s="1">
        <f t="shared" si="229"/>
        <v>99</v>
      </c>
      <c r="BU116" s="1">
        <f t="shared" si="255"/>
        <v>109</v>
      </c>
      <c r="BV116" s="2">
        <f t="shared" si="247"/>
        <v>2300</v>
      </c>
      <c r="BW116" s="8">
        <f t="shared" si="240"/>
        <v>0.05</v>
      </c>
      <c r="BX116" s="2">
        <f t="shared" si="248"/>
        <v>2319.1666666666665</v>
      </c>
      <c r="BY116" s="2">
        <f t="shared" si="241"/>
        <v>19.166666666666515</v>
      </c>
      <c r="BZ116" s="2">
        <f t="shared" si="273"/>
        <v>31200</v>
      </c>
      <c r="CA116" s="8">
        <f t="shared" si="270"/>
        <v>4.2999999999999997E-2</v>
      </c>
      <c r="CB116" s="2">
        <f t="shared" si="249"/>
        <v>31423.600000000002</v>
      </c>
      <c r="CC116" s="2">
        <f t="shared" si="271"/>
        <v>624</v>
      </c>
      <c r="CD116" s="2">
        <f t="shared" si="285"/>
        <v>0</v>
      </c>
      <c r="CE116" s="2">
        <f t="shared" si="250"/>
        <v>0</v>
      </c>
      <c r="CF116" s="2">
        <f t="shared" si="251"/>
        <v>5.9999999999308784</v>
      </c>
      <c r="CG116" s="1">
        <f t="shared" si="232"/>
        <v>0</v>
      </c>
      <c r="CH116" s="2">
        <f t="shared" si="286"/>
        <v>5.9999999999308784</v>
      </c>
      <c r="CI116" s="1">
        <f t="shared" si="242"/>
        <v>0</v>
      </c>
      <c r="CJ116" s="2">
        <f t="shared" si="252"/>
        <v>5.9999999999308784</v>
      </c>
      <c r="CK116" s="2">
        <f t="shared" si="253"/>
        <v>143556.2666666666</v>
      </c>
      <c r="CL116" s="2">
        <f t="shared" si="287"/>
        <v>0</v>
      </c>
      <c r="CM116" s="2">
        <f t="shared" si="216"/>
        <v>1125.4987299999996</v>
      </c>
      <c r="CN116" s="2">
        <f t="shared" si="288"/>
        <v>142430.76793666661</v>
      </c>
      <c r="CO116" s="2">
        <f t="shared" si="217"/>
        <v>1550.6666666666665</v>
      </c>
      <c r="CP116" s="2">
        <f t="shared" si="289"/>
        <v>7981.0639999999903</v>
      </c>
      <c r="CQ116" s="2">
        <f t="shared" si="290"/>
        <v>132899.03726999997</v>
      </c>
      <c r="CS116" s="5">
        <f t="shared" ref="CS116:CS147" si="304">IF(CY115="tak",
ROUNDDOWN(CX115/zamiana_EDO,0),
CS115)</f>
        <v>1000</v>
      </c>
      <c r="CT116" s="2">
        <f t="shared" ref="CT116:CT147" si="305">IF(CY115="tak",
CS116*zamiana_EDO,
CT115)</f>
        <v>100000</v>
      </c>
      <c r="CU116" s="2">
        <f t="shared" ref="CU116:CU147" si="306">IF(CY115="tak",
CS116*100,
CU115)</f>
        <v>100000</v>
      </c>
      <c r="CV116" s="2">
        <f t="shared" ref="CV116:CV147" si="307">IF(CY115="tak",
 CU116,
IF(MOD($W116,kapitalizacja_odsetek_mc_EDO)&lt;&gt;1,CV115,CX115))</f>
        <v>146619.89249366234</v>
      </c>
      <c r="CW116" s="8">
        <f t="shared" si="291"/>
        <v>4.8000000000000001E-2</v>
      </c>
      <c r="CX116" s="2">
        <f t="shared" si="292"/>
        <v>147792.85163361163</v>
      </c>
      <c r="CY116" s="2" t="str">
        <f t="shared" si="293"/>
        <v>nie</v>
      </c>
      <c r="CZ116" s="2">
        <f t="shared" si="222"/>
        <v>0</v>
      </c>
      <c r="DA116" s="2">
        <f t="shared" si="223"/>
        <v>0</v>
      </c>
      <c r="DB116" s="2">
        <f t="shared" si="224"/>
        <v>147792.85163361163</v>
      </c>
      <c r="DC116" s="2">
        <f t="shared" si="294"/>
        <v>0</v>
      </c>
      <c r="DD116" s="2">
        <f t="shared" si="225"/>
        <v>1147.5163738441847</v>
      </c>
      <c r="DE116" s="2">
        <f t="shared" si="226"/>
        <v>146645.33525976745</v>
      </c>
      <c r="DF116" s="2">
        <f t="shared" si="295"/>
        <v>3000</v>
      </c>
      <c r="DG116" s="2">
        <f t="shared" si="296"/>
        <v>8510.6418103862106</v>
      </c>
      <c r="DH116" s="2">
        <f t="shared" si="227"/>
        <v>135134.69344938124</v>
      </c>
    </row>
    <row r="117" spans="2:112">
      <c r="B117" s="228"/>
      <c r="C117" s="1">
        <f t="shared" si="256"/>
        <v>80</v>
      </c>
      <c r="D117" s="2">
        <f t="shared" si="259"/>
        <v>133509.37500861983</v>
      </c>
      <c r="E117" s="2">
        <f t="shared" si="260"/>
        <v>125929.03649744176</v>
      </c>
      <c r="F117" s="2">
        <f t="shared" si="261"/>
        <v>133629.75813666658</v>
      </c>
      <c r="G117" s="2">
        <f t="shared" si="262"/>
        <v>124966.07446999993</v>
      </c>
      <c r="H117" s="2">
        <f t="shared" si="263"/>
        <v>136921.52979181815</v>
      </c>
      <c r="I117" s="2">
        <f t="shared" si="264"/>
        <v>127315.50883572829</v>
      </c>
      <c r="J117" s="2">
        <f t="shared" si="257"/>
        <v>125755.76151515503</v>
      </c>
      <c r="K117" s="2">
        <f t="shared" si="258"/>
        <v>120223.89197043347</v>
      </c>
      <c r="W117" s="1">
        <f t="shared" si="297"/>
        <v>99</v>
      </c>
      <c r="X117" s="2">
        <f t="shared" si="274"/>
        <v>125595.58925089706</v>
      </c>
      <c r="Y117" s="8">
        <f t="shared" si="230"/>
        <v>4.1300000000000003E-2</v>
      </c>
      <c r="Z117" s="5">
        <f t="shared" si="298"/>
        <v>1302</v>
      </c>
      <c r="AA117" s="2">
        <f t="shared" si="299"/>
        <v>130069.8</v>
      </c>
      <c r="AB117" s="2">
        <f t="shared" si="207"/>
        <v>130200</v>
      </c>
      <c r="AC117" s="2">
        <f t="shared" si="300"/>
        <v>142590.12495</v>
      </c>
      <c r="AD117" s="8">
        <f t="shared" si="275"/>
        <v>4.65E-2</v>
      </c>
      <c r="AE117" s="2">
        <f t="shared" si="179"/>
        <v>144247.73515254376</v>
      </c>
      <c r="AF117" s="2" t="str">
        <f t="shared" si="276"/>
        <v>nie</v>
      </c>
      <c r="AG117" s="2">
        <f t="shared" si="277"/>
        <v>1302</v>
      </c>
      <c r="AH117" s="1">
        <f t="shared" si="233"/>
        <v>1</v>
      </c>
      <c r="AI117" s="1">
        <f t="shared" si="265"/>
        <v>1</v>
      </c>
      <c r="AJ117" s="1">
        <f t="shared" si="228"/>
        <v>1</v>
      </c>
      <c r="AK117" s="1">
        <f t="shared" si="254"/>
        <v>0</v>
      </c>
      <c r="AL117" s="2">
        <f t="shared" si="243"/>
        <v>100</v>
      </c>
      <c r="AM117" s="8">
        <f t="shared" si="234"/>
        <v>4.65E-2</v>
      </c>
      <c r="AN117" s="2">
        <f t="shared" si="244"/>
        <v>101.16249999999999</v>
      </c>
      <c r="AO117" s="2">
        <f t="shared" si="235"/>
        <v>1</v>
      </c>
      <c r="AP117" s="2">
        <f t="shared" si="272"/>
        <v>200</v>
      </c>
      <c r="AQ117" s="8">
        <f t="shared" si="266"/>
        <v>4.1300000000000003E-2</v>
      </c>
      <c r="AR117" s="2">
        <f t="shared" si="267"/>
        <v>202.065</v>
      </c>
      <c r="AS117" s="2">
        <f t="shared" si="268"/>
        <v>2</v>
      </c>
      <c r="AT117" s="2">
        <f t="shared" si="209"/>
        <v>0</v>
      </c>
      <c r="AU117" s="2">
        <f t="shared" si="245"/>
        <v>0</v>
      </c>
      <c r="AV117" s="2">
        <f t="shared" si="236"/>
        <v>15.753743042492445</v>
      </c>
      <c r="AW117" s="1">
        <f t="shared" si="231"/>
        <v>0</v>
      </c>
      <c r="AX117" s="2">
        <f t="shared" si="278"/>
        <v>15.753743042492445</v>
      </c>
      <c r="AY117" s="1">
        <f t="shared" si="237"/>
        <v>0</v>
      </c>
      <c r="AZ117" s="2">
        <f t="shared" si="210"/>
        <v>15.753743042492445</v>
      </c>
      <c r="BA117" s="2">
        <f t="shared" si="246"/>
        <v>144566.71639558626</v>
      </c>
      <c r="BB117" s="2">
        <f t="shared" si="279"/>
        <v>0</v>
      </c>
      <c r="BC117" s="2">
        <f t="shared" si="211"/>
        <v>1125.0520142330402</v>
      </c>
      <c r="BD117" s="2">
        <f t="shared" si="184"/>
        <v>143441.66438135321</v>
      </c>
      <c r="BE117" s="2">
        <f t="shared" si="212"/>
        <v>1305</v>
      </c>
      <c r="BF117" s="2">
        <f t="shared" si="185"/>
        <v>8219.7261151613893</v>
      </c>
      <c r="BG117" s="2">
        <f t="shared" si="186"/>
        <v>133916.93826619184</v>
      </c>
      <c r="BI117" s="8">
        <f t="shared" si="238"/>
        <v>2.8000000000000001E-2</v>
      </c>
      <c r="BJ117" s="5">
        <f t="shared" si="301"/>
        <v>1089</v>
      </c>
      <c r="BK117" s="2">
        <f t="shared" si="302"/>
        <v>108791.1</v>
      </c>
      <c r="BL117" s="2">
        <f t="shared" si="303"/>
        <v>108900</v>
      </c>
      <c r="BM117" s="2">
        <f t="shared" si="280"/>
        <v>108900</v>
      </c>
      <c r="BN117" s="8">
        <f t="shared" si="281"/>
        <v>0.05</v>
      </c>
      <c r="BO117" s="2">
        <f t="shared" si="282"/>
        <v>110261.25</v>
      </c>
      <c r="BP117" s="2" t="str">
        <f t="shared" si="283"/>
        <v>nie</v>
      </c>
      <c r="BQ117" s="2">
        <f t="shared" si="284"/>
        <v>1361.25</v>
      </c>
      <c r="BR117" s="1">
        <f t="shared" si="239"/>
        <v>23</v>
      </c>
      <c r="BS117" s="1">
        <f t="shared" si="269"/>
        <v>104</v>
      </c>
      <c r="BT117" s="1">
        <f t="shared" si="229"/>
        <v>99</v>
      </c>
      <c r="BU117" s="1">
        <f t="shared" si="255"/>
        <v>109</v>
      </c>
      <c r="BV117" s="2">
        <f t="shared" si="247"/>
        <v>2300</v>
      </c>
      <c r="BW117" s="8">
        <f t="shared" si="240"/>
        <v>0.05</v>
      </c>
      <c r="BX117" s="2">
        <f t="shared" si="248"/>
        <v>2328.75</v>
      </c>
      <c r="BY117" s="2">
        <f t="shared" si="241"/>
        <v>28.75</v>
      </c>
      <c r="BZ117" s="2">
        <f t="shared" si="273"/>
        <v>31200</v>
      </c>
      <c r="CA117" s="8">
        <f t="shared" si="270"/>
        <v>4.2999999999999997E-2</v>
      </c>
      <c r="CB117" s="2">
        <f t="shared" si="249"/>
        <v>31535.4</v>
      </c>
      <c r="CC117" s="2">
        <f t="shared" si="271"/>
        <v>624</v>
      </c>
      <c r="CD117" s="2">
        <f t="shared" si="285"/>
        <v>0</v>
      </c>
      <c r="CE117" s="2">
        <f t="shared" si="250"/>
        <v>0</v>
      </c>
      <c r="CF117" s="2">
        <f t="shared" si="251"/>
        <v>5.9999999999308784</v>
      </c>
      <c r="CG117" s="1">
        <f t="shared" si="232"/>
        <v>0</v>
      </c>
      <c r="CH117" s="2">
        <f t="shared" si="286"/>
        <v>5.9999999999308784</v>
      </c>
      <c r="CI117" s="1">
        <f t="shared" si="242"/>
        <v>0</v>
      </c>
      <c r="CJ117" s="2">
        <f t="shared" si="252"/>
        <v>5.9999999999308784</v>
      </c>
      <c r="CK117" s="2">
        <f t="shared" si="253"/>
        <v>144131.39999999994</v>
      </c>
      <c r="CL117" s="2">
        <f t="shared" si="287"/>
        <v>0</v>
      </c>
      <c r="CM117" s="2">
        <f t="shared" si="216"/>
        <v>1125.4987299999996</v>
      </c>
      <c r="CN117" s="2">
        <f t="shared" si="288"/>
        <v>143005.90126999994</v>
      </c>
      <c r="CO117" s="2">
        <f t="shared" si="217"/>
        <v>2014</v>
      </c>
      <c r="CP117" s="2">
        <f t="shared" si="289"/>
        <v>8002.3059999999878</v>
      </c>
      <c r="CQ117" s="2">
        <f t="shared" si="290"/>
        <v>132989.59526999996</v>
      </c>
      <c r="CS117" s="5">
        <f t="shared" si="304"/>
        <v>1000</v>
      </c>
      <c r="CT117" s="2">
        <f t="shared" si="305"/>
        <v>100000</v>
      </c>
      <c r="CU117" s="2">
        <f t="shared" si="306"/>
        <v>100000</v>
      </c>
      <c r="CV117" s="2">
        <f t="shared" si="307"/>
        <v>146619.89249366234</v>
      </c>
      <c r="CW117" s="8">
        <f t="shared" si="291"/>
        <v>4.8000000000000001E-2</v>
      </c>
      <c r="CX117" s="2">
        <f t="shared" si="292"/>
        <v>148379.33120358628</v>
      </c>
      <c r="CY117" s="2" t="str">
        <f t="shared" si="293"/>
        <v>nie</v>
      </c>
      <c r="CZ117" s="2">
        <f t="shared" si="222"/>
        <v>0</v>
      </c>
      <c r="DA117" s="2">
        <f t="shared" si="223"/>
        <v>0</v>
      </c>
      <c r="DB117" s="2">
        <f t="shared" si="224"/>
        <v>148379.33120358628</v>
      </c>
      <c r="DC117" s="2">
        <f t="shared" si="294"/>
        <v>0</v>
      </c>
      <c r="DD117" s="2">
        <f t="shared" si="225"/>
        <v>1147.5163738441847</v>
      </c>
      <c r="DE117" s="2">
        <f t="shared" si="226"/>
        <v>147231.8148297421</v>
      </c>
      <c r="DF117" s="2">
        <f t="shared" si="295"/>
        <v>3000</v>
      </c>
      <c r="DG117" s="2">
        <f t="shared" si="296"/>
        <v>8622.072928681393</v>
      </c>
      <c r="DH117" s="2">
        <f t="shared" si="227"/>
        <v>135609.74190106071</v>
      </c>
    </row>
    <row r="118" spans="2:112">
      <c r="B118" s="228"/>
      <c r="C118" s="1">
        <f t="shared" si="256"/>
        <v>81</v>
      </c>
      <c r="D118" s="2">
        <f t="shared" si="259"/>
        <v>134014.28750861986</v>
      </c>
      <c r="E118" s="2">
        <f t="shared" si="260"/>
        <v>126338.01562244179</v>
      </c>
      <c r="F118" s="2">
        <f t="shared" si="261"/>
        <v>134103.51646999991</v>
      </c>
      <c r="G118" s="2">
        <f t="shared" si="262"/>
        <v>125349.81871999992</v>
      </c>
      <c r="H118" s="2">
        <f t="shared" si="263"/>
        <v>137455.51634742995</v>
      </c>
      <c r="I118" s="2">
        <f t="shared" si="264"/>
        <v>127748.03794577385</v>
      </c>
      <c r="J118" s="2">
        <f t="shared" si="257"/>
        <v>126116.52335600162</v>
      </c>
      <c r="K118" s="2">
        <f t="shared" si="258"/>
        <v>120499.27392193642</v>
      </c>
      <c r="W118" s="1">
        <f t="shared" si="297"/>
        <v>100</v>
      </c>
      <c r="X118" s="2">
        <f t="shared" si="274"/>
        <v>125886.60849113419</v>
      </c>
      <c r="Y118" s="8">
        <f t="shared" si="230"/>
        <v>4.1300000000000003E-2</v>
      </c>
      <c r="Z118" s="5">
        <f t="shared" si="298"/>
        <v>1302</v>
      </c>
      <c r="AA118" s="2">
        <f t="shared" si="299"/>
        <v>130069.8</v>
      </c>
      <c r="AB118" s="2">
        <f t="shared" si="207"/>
        <v>130200</v>
      </c>
      <c r="AC118" s="2">
        <f t="shared" si="300"/>
        <v>142590.12495</v>
      </c>
      <c r="AD118" s="8">
        <f t="shared" si="275"/>
        <v>4.65E-2</v>
      </c>
      <c r="AE118" s="2">
        <f t="shared" si="179"/>
        <v>144800.27188672501</v>
      </c>
      <c r="AF118" s="2" t="str">
        <f t="shared" si="276"/>
        <v>nie</v>
      </c>
      <c r="AG118" s="2">
        <f t="shared" si="277"/>
        <v>1302</v>
      </c>
      <c r="AH118" s="1">
        <f t="shared" si="233"/>
        <v>1</v>
      </c>
      <c r="AI118" s="1">
        <f t="shared" si="265"/>
        <v>1</v>
      </c>
      <c r="AJ118" s="1">
        <f t="shared" si="228"/>
        <v>1</v>
      </c>
      <c r="AK118" s="1">
        <f t="shared" si="254"/>
        <v>0</v>
      </c>
      <c r="AL118" s="2">
        <f t="shared" si="243"/>
        <v>100</v>
      </c>
      <c r="AM118" s="8">
        <f t="shared" si="234"/>
        <v>4.65E-2</v>
      </c>
      <c r="AN118" s="2">
        <f t="shared" si="244"/>
        <v>101.55000000000001</v>
      </c>
      <c r="AO118" s="2">
        <f t="shared" si="235"/>
        <v>1</v>
      </c>
      <c r="AP118" s="2">
        <f t="shared" si="272"/>
        <v>200</v>
      </c>
      <c r="AQ118" s="8">
        <f t="shared" si="266"/>
        <v>4.1300000000000003E-2</v>
      </c>
      <c r="AR118" s="2">
        <f t="shared" si="267"/>
        <v>202.75333333333333</v>
      </c>
      <c r="AS118" s="2">
        <f t="shared" si="268"/>
        <v>2</v>
      </c>
      <c r="AT118" s="2">
        <f t="shared" si="209"/>
        <v>0</v>
      </c>
      <c r="AU118" s="2">
        <f t="shared" si="245"/>
        <v>0</v>
      </c>
      <c r="AV118" s="2">
        <f t="shared" si="236"/>
        <v>15.753743042492445</v>
      </c>
      <c r="AW118" s="1">
        <f t="shared" si="231"/>
        <v>0</v>
      </c>
      <c r="AX118" s="2">
        <f t="shared" si="278"/>
        <v>15.753743042492445</v>
      </c>
      <c r="AY118" s="1">
        <f t="shared" si="237"/>
        <v>0</v>
      </c>
      <c r="AZ118" s="2">
        <f t="shared" si="210"/>
        <v>15.753743042492445</v>
      </c>
      <c r="BA118" s="2">
        <f t="shared" si="246"/>
        <v>145120.32896310082</v>
      </c>
      <c r="BB118" s="2">
        <f t="shared" si="279"/>
        <v>0</v>
      </c>
      <c r="BC118" s="2">
        <f t="shared" si="211"/>
        <v>1125.0520142330402</v>
      </c>
      <c r="BD118" s="2">
        <f t="shared" si="184"/>
        <v>143995.27694886777</v>
      </c>
      <c r="BE118" s="2">
        <f t="shared" si="212"/>
        <v>1305</v>
      </c>
      <c r="BF118" s="2">
        <f t="shared" si="185"/>
        <v>8324.9125029891566</v>
      </c>
      <c r="BG118" s="2">
        <f t="shared" si="186"/>
        <v>134365.36444587863</v>
      </c>
      <c r="BI118" s="8">
        <f t="shared" si="238"/>
        <v>2.8000000000000001E-2</v>
      </c>
      <c r="BJ118" s="5">
        <f t="shared" si="301"/>
        <v>1089</v>
      </c>
      <c r="BK118" s="2">
        <f t="shared" si="302"/>
        <v>108791.1</v>
      </c>
      <c r="BL118" s="2">
        <f t="shared" si="303"/>
        <v>108900</v>
      </c>
      <c r="BM118" s="2">
        <f t="shared" si="280"/>
        <v>108900</v>
      </c>
      <c r="BN118" s="8">
        <f t="shared" si="281"/>
        <v>0.05</v>
      </c>
      <c r="BO118" s="2">
        <f t="shared" si="282"/>
        <v>110715</v>
      </c>
      <c r="BP118" s="2" t="str">
        <f t="shared" si="283"/>
        <v>nie</v>
      </c>
      <c r="BQ118" s="2">
        <f t="shared" si="284"/>
        <v>1815</v>
      </c>
      <c r="BR118" s="1">
        <f t="shared" si="239"/>
        <v>23</v>
      </c>
      <c r="BS118" s="1">
        <f t="shared" si="269"/>
        <v>104</v>
      </c>
      <c r="BT118" s="1">
        <f t="shared" si="229"/>
        <v>99</v>
      </c>
      <c r="BU118" s="1">
        <f t="shared" si="255"/>
        <v>109</v>
      </c>
      <c r="BV118" s="2">
        <f t="shared" si="247"/>
        <v>2300</v>
      </c>
      <c r="BW118" s="8">
        <f t="shared" si="240"/>
        <v>0.05</v>
      </c>
      <c r="BX118" s="2">
        <f t="shared" si="248"/>
        <v>2338.333333333333</v>
      </c>
      <c r="BY118" s="2">
        <f t="shared" si="241"/>
        <v>38.33333333333303</v>
      </c>
      <c r="BZ118" s="2">
        <f t="shared" si="273"/>
        <v>31200</v>
      </c>
      <c r="CA118" s="8">
        <f t="shared" si="270"/>
        <v>4.2999999999999997E-2</v>
      </c>
      <c r="CB118" s="2">
        <f t="shared" si="249"/>
        <v>31647.200000000001</v>
      </c>
      <c r="CC118" s="2">
        <f t="shared" si="271"/>
        <v>624</v>
      </c>
      <c r="CD118" s="2">
        <f t="shared" si="285"/>
        <v>0</v>
      </c>
      <c r="CE118" s="2">
        <f t="shared" si="250"/>
        <v>0</v>
      </c>
      <c r="CF118" s="2">
        <f t="shared" si="251"/>
        <v>5.9999999999308784</v>
      </c>
      <c r="CG118" s="1">
        <f t="shared" si="232"/>
        <v>0</v>
      </c>
      <c r="CH118" s="2">
        <f t="shared" si="286"/>
        <v>5.9999999999308784</v>
      </c>
      <c r="CI118" s="1">
        <f t="shared" si="242"/>
        <v>0</v>
      </c>
      <c r="CJ118" s="2">
        <f t="shared" si="252"/>
        <v>5.9999999999308784</v>
      </c>
      <c r="CK118" s="2">
        <f t="shared" si="253"/>
        <v>144706.53333333327</v>
      </c>
      <c r="CL118" s="2">
        <f t="shared" si="287"/>
        <v>0</v>
      </c>
      <c r="CM118" s="2">
        <f t="shared" si="216"/>
        <v>1125.4987299999996</v>
      </c>
      <c r="CN118" s="2">
        <f t="shared" si="288"/>
        <v>143581.03460333328</v>
      </c>
      <c r="CO118" s="2">
        <f t="shared" si="217"/>
        <v>2477.333333333333</v>
      </c>
      <c r="CP118" s="2">
        <f t="shared" si="289"/>
        <v>8023.5479999999861</v>
      </c>
      <c r="CQ118" s="2">
        <f t="shared" si="290"/>
        <v>133080.15326999995</v>
      </c>
      <c r="CS118" s="5">
        <f t="shared" si="304"/>
        <v>1000</v>
      </c>
      <c r="CT118" s="2">
        <f t="shared" si="305"/>
        <v>100000</v>
      </c>
      <c r="CU118" s="2">
        <f t="shared" si="306"/>
        <v>100000</v>
      </c>
      <c r="CV118" s="2">
        <f t="shared" si="307"/>
        <v>146619.89249366234</v>
      </c>
      <c r="CW118" s="8">
        <f t="shared" si="291"/>
        <v>4.8000000000000001E-2</v>
      </c>
      <c r="CX118" s="2">
        <f t="shared" si="292"/>
        <v>148965.81077356092</v>
      </c>
      <c r="CY118" s="2" t="str">
        <f t="shared" si="293"/>
        <v>nie</v>
      </c>
      <c r="CZ118" s="2">
        <f t="shared" si="222"/>
        <v>0</v>
      </c>
      <c r="DA118" s="2">
        <f t="shared" si="223"/>
        <v>0</v>
      </c>
      <c r="DB118" s="2">
        <f t="shared" si="224"/>
        <v>148965.81077356092</v>
      </c>
      <c r="DC118" s="2">
        <f t="shared" si="294"/>
        <v>0</v>
      </c>
      <c r="DD118" s="2">
        <f t="shared" si="225"/>
        <v>1147.5163738441847</v>
      </c>
      <c r="DE118" s="2">
        <f t="shared" si="226"/>
        <v>147818.29439971675</v>
      </c>
      <c r="DF118" s="2">
        <f t="shared" si="295"/>
        <v>3000</v>
      </c>
      <c r="DG118" s="2">
        <f t="shared" si="296"/>
        <v>8733.5040469765754</v>
      </c>
      <c r="DH118" s="2">
        <f t="shared" si="227"/>
        <v>136084.79035274018</v>
      </c>
    </row>
    <row r="119" spans="2:112">
      <c r="B119" s="228"/>
      <c r="C119" s="1">
        <f t="shared" si="256"/>
        <v>82</v>
      </c>
      <c r="D119" s="2">
        <f t="shared" si="259"/>
        <v>134519.20000861984</v>
      </c>
      <c r="E119" s="2">
        <f t="shared" si="260"/>
        <v>126746.99474744177</v>
      </c>
      <c r="F119" s="2">
        <f t="shared" si="261"/>
        <v>134577.27480333328</v>
      </c>
      <c r="G119" s="2">
        <f t="shared" si="262"/>
        <v>125733.56296999996</v>
      </c>
      <c r="H119" s="2">
        <f t="shared" si="263"/>
        <v>137989.50290304172</v>
      </c>
      <c r="I119" s="2">
        <f t="shared" si="264"/>
        <v>128180.56705581938</v>
      </c>
      <c r="J119" s="2">
        <f t="shared" si="257"/>
        <v>126478.32013237914</v>
      </c>
      <c r="K119" s="2">
        <f t="shared" si="258"/>
        <v>120774.65587343941</v>
      </c>
      <c r="W119" s="1">
        <f t="shared" si="297"/>
        <v>101</v>
      </c>
      <c r="X119" s="2">
        <f t="shared" si="274"/>
        <v>126177.62773137128</v>
      </c>
      <c r="Y119" s="8">
        <f t="shared" si="230"/>
        <v>4.1300000000000003E-2</v>
      </c>
      <c r="Z119" s="5">
        <f t="shared" si="298"/>
        <v>1302</v>
      </c>
      <c r="AA119" s="2">
        <f t="shared" si="299"/>
        <v>130069.8</v>
      </c>
      <c r="AB119" s="2">
        <f t="shared" si="207"/>
        <v>130200</v>
      </c>
      <c r="AC119" s="2">
        <f t="shared" si="300"/>
        <v>142590.12495</v>
      </c>
      <c r="AD119" s="8">
        <f t="shared" si="275"/>
        <v>4.65E-2</v>
      </c>
      <c r="AE119" s="2">
        <f t="shared" si="179"/>
        <v>145352.80862090623</v>
      </c>
      <c r="AF119" s="2" t="str">
        <f t="shared" si="276"/>
        <v>nie</v>
      </c>
      <c r="AG119" s="2">
        <f t="shared" si="277"/>
        <v>1302</v>
      </c>
      <c r="AH119" s="1">
        <f t="shared" si="233"/>
        <v>1</v>
      </c>
      <c r="AI119" s="1">
        <f t="shared" si="265"/>
        <v>1</v>
      </c>
      <c r="AJ119" s="1">
        <f t="shared" ref="AJ119:AJ150" si="308">IF(zapadalnosc_TOS/12&gt;=AJ$18,AI107,0)</f>
        <v>1</v>
      </c>
      <c r="AK119" s="1">
        <f t="shared" si="254"/>
        <v>0</v>
      </c>
      <c r="AL119" s="2">
        <f t="shared" si="243"/>
        <v>100</v>
      </c>
      <c r="AM119" s="8">
        <f t="shared" si="234"/>
        <v>4.65E-2</v>
      </c>
      <c r="AN119" s="2">
        <f t="shared" si="244"/>
        <v>101.93749999999999</v>
      </c>
      <c r="AO119" s="2">
        <f t="shared" si="235"/>
        <v>1</v>
      </c>
      <c r="AP119" s="2">
        <f t="shared" si="272"/>
        <v>200</v>
      </c>
      <c r="AQ119" s="8">
        <f t="shared" si="266"/>
        <v>4.1300000000000003E-2</v>
      </c>
      <c r="AR119" s="2">
        <f t="shared" si="267"/>
        <v>203.44166666666666</v>
      </c>
      <c r="AS119" s="2">
        <f t="shared" si="268"/>
        <v>2</v>
      </c>
      <c r="AT119" s="2">
        <f t="shared" si="209"/>
        <v>0</v>
      </c>
      <c r="AU119" s="2">
        <f t="shared" si="245"/>
        <v>0</v>
      </c>
      <c r="AV119" s="2">
        <f t="shared" si="236"/>
        <v>15.753743042492445</v>
      </c>
      <c r="AW119" s="1">
        <f t="shared" si="231"/>
        <v>0</v>
      </c>
      <c r="AX119" s="2">
        <f t="shared" si="278"/>
        <v>15.753743042492445</v>
      </c>
      <c r="AY119" s="1">
        <f t="shared" si="237"/>
        <v>0</v>
      </c>
      <c r="AZ119" s="2">
        <f t="shared" si="210"/>
        <v>15.753743042492445</v>
      </c>
      <c r="BA119" s="2">
        <f t="shared" si="246"/>
        <v>145673.94153061541</v>
      </c>
      <c r="BB119" s="2">
        <f t="shared" si="279"/>
        <v>0</v>
      </c>
      <c r="BC119" s="2">
        <f t="shared" si="211"/>
        <v>1125.0520142330402</v>
      </c>
      <c r="BD119" s="2">
        <f t="shared" si="184"/>
        <v>144548.88951638236</v>
      </c>
      <c r="BE119" s="2">
        <f t="shared" si="212"/>
        <v>1305</v>
      </c>
      <c r="BF119" s="2">
        <f t="shared" si="185"/>
        <v>8430.0988908169275</v>
      </c>
      <c r="BG119" s="2">
        <f t="shared" si="186"/>
        <v>134813.79062556542</v>
      </c>
      <c r="BI119" s="8">
        <f t="shared" si="238"/>
        <v>2.8000000000000001E-2</v>
      </c>
      <c r="BJ119" s="5">
        <f t="shared" si="301"/>
        <v>1089</v>
      </c>
      <c r="BK119" s="2">
        <f t="shared" si="302"/>
        <v>108791.1</v>
      </c>
      <c r="BL119" s="2">
        <f t="shared" si="303"/>
        <v>108900</v>
      </c>
      <c r="BM119" s="2">
        <f t="shared" si="280"/>
        <v>108900</v>
      </c>
      <c r="BN119" s="8">
        <f t="shared" si="281"/>
        <v>0.05</v>
      </c>
      <c r="BO119" s="2">
        <f t="shared" si="282"/>
        <v>111168.74999999999</v>
      </c>
      <c r="BP119" s="2" t="str">
        <f t="shared" si="283"/>
        <v>nie</v>
      </c>
      <c r="BQ119" s="2">
        <f t="shared" si="284"/>
        <v>2178</v>
      </c>
      <c r="BR119" s="1">
        <f t="shared" si="239"/>
        <v>23</v>
      </c>
      <c r="BS119" s="1">
        <f t="shared" si="269"/>
        <v>104</v>
      </c>
      <c r="BT119" s="1">
        <f t="shared" ref="BT119:BT150" si="309">IF(zapadalnosc_COI/12&gt;=BT$18,BS107,0)</f>
        <v>99</v>
      </c>
      <c r="BU119" s="1">
        <f t="shared" si="255"/>
        <v>109</v>
      </c>
      <c r="BV119" s="2">
        <f t="shared" si="247"/>
        <v>2300</v>
      </c>
      <c r="BW119" s="8">
        <f t="shared" si="240"/>
        <v>0.05</v>
      </c>
      <c r="BX119" s="2">
        <f t="shared" si="248"/>
        <v>2347.9166666666665</v>
      </c>
      <c r="BY119" s="2">
        <f t="shared" si="241"/>
        <v>46</v>
      </c>
      <c r="BZ119" s="2">
        <f t="shared" si="273"/>
        <v>31200</v>
      </c>
      <c r="CA119" s="8">
        <f t="shared" si="270"/>
        <v>4.2999999999999997E-2</v>
      </c>
      <c r="CB119" s="2">
        <f t="shared" si="249"/>
        <v>31758.999999999996</v>
      </c>
      <c r="CC119" s="2">
        <f t="shared" si="271"/>
        <v>624</v>
      </c>
      <c r="CD119" s="2">
        <f t="shared" si="285"/>
        <v>0</v>
      </c>
      <c r="CE119" s="2">
        <f t="shared" si="250"/>
        <v>0</v>
      </c>
      <c r="CF119" s="2">
        <f t="shared" si="251"/>
        <v>5.9999999999308784</v>
      </c>
      <c r="CG119" s="1">
        <f t="shared" si="232"/>
        <v>0</v>
      </c>
      <c r="CH119" s="2">
        <f t="shared" si="286"/>
        <v>5.9999999999308784</v>
      </c>
      <c r="CI119" s="1">
        <f t="shared" si="242"/>
        <v>0</v>
      </c>
      <c r="CJ119" s="2">
        <f t="shared" si="252"/>
        <v>5.9999999999308784</v>
      </c>
      <c r="CK119" s="2">
        <f t="shared" si="253"/>
        <v>145281.6666666666</v>
      </c>
      <c r="CL119" s="2">
        <f t="shared" si="287"/>
        <v>0</v>
      </c>
      <c r="CM119" s="2">
        <f t="shared" si="216"/>
        <v>1125.4987299999996</v>
      </c>
      <c r="CN119" s="2">
        <f t="shared" si="288"/>
        <v>144156.16793666661</v>
      </c>
      <c r="CO119" s="2">
        <f t="shared" si="217"/>
        <v>2848</v>
      </c>
      <c r="CP119" s="2">
        <f t="shared" si="289"/>
        <v>8062.3966666666538</v>
      </c>
      <c r="CQ119" s="2">
        <f t="shared" si="290"/>
        <v>133245.77126999994</v>
      </c>
      <c r="CS119" s="5">
        <f t="shared" si="304"/>
        <v>1000</v>
      </c>
      <c r="CT119" s="2">
        <f t="shared" si="305"/>
        <v>100000</v>
      </c>
      <c r="CU119" s="2">
        <f t="shared" si="306"/>
        <v>100000</v>
      </c>
      <c r="CV119" s="2">
        <f t="shared" si="307"/>
        <v>146619.89249366234</v>
      </c>
      <c r="CW119" s="8">
        <f t="shared" si="291"/>
        <v>4.8000000000000001E-2</v>
      </c>
      <c r="CX119" s="2">
        <f t="shared" si="292"/>
        <v>149552.2903435356</v>
      </c>
      <c r="CY119" s="2" t="str">
        <f t="shared" si="293"/>
        <v>nie</v>
      </c>
      <c r="CZ119" s="2">
        <f t="shared" si="222"/>
        <v>0</v>
      </c>
      <c r="DA119" s="2">
        <f t="shared" si="223"/>
        <v>0</v>
      </c>
      <c r="DB119" s="2">
        <f t="shared" si="224"/>
        <v>149552.2903435356</v>
      </c>
      <c r="DC119" s="2">
        <f t="shared" si="294"/>
        <v>0</v>
      </c>
      <c r="DD119" s="2">
        <f t="shared" si="225"/>
        <v>1147.5163738441847</v>
      </c>
      <c r="DE119" s="2">
        <f t="shared" si="226"/>
        <v>148404.77396969142</v>
      </c>
      <c r="DF119" s="2">
        <f t="shared" si="295"/>
        <v>3000</v>
      </c>
      <c r="DG119" s="2">
        <f t="shared" si="296"/>
        <v>8844.9351652717633</v>
      </c>
      <c r="DH119" s="2">
        <f t="shared" si="227"/>
        <v>136559.83880441965</v>
      </c>
    </row>
    <row r="120" spans="2:112">
      <c r="B120" s="229"/>
      <c r="C120" s="1">
        <f t="shared" si="256"/>
        <v>83</v>
      </c>
      <c r="D120" s="2">
        <f t="shared" si="259"/>
        <v>135024.11250861987</v>
      </c>
      <c r="E120" s="2">
        <f t="shared" si="260"/>
        <v>127155.9738724418</v>
      </c>
      <c r="F120" s="2">
        <f t="shared" si="261"/>
        <v>135051.03313666661</v>
      </c>
      <c r="G120" s="2">
        <f t="shared" si="262"/>
        <v>126117.30721999994</v>
      </c>
      <c r="H120" s="2">
        <f t="shared" si="263"/>
        <v>138523.48945865352</v>
      </c>
      <c r="I120" s="2">
        <f t="shared" si="264"/>
        <v>128613.09616586495</v>
      </c>
      <c r="J120" s="2">
        <f t="shared" si="257"/>
        <v>126841.15481325891</v>
      </c>
      <c r="K120" s="2">
        <f t="shared" si="258"/>
        <v>121050.03782494235</v>
      </c>
      <c r="W120" s="1">
        <f t="shared" si="297"/>
        <v>102</v>
      </c>
      <c r="X120" s="2">
        <f t="shared" si="274"/>
        <v>126468.64697160838</v>
      </c>
      <c r="Y120" s="8">
        <f t="shared" si="230"/>
        <v>4.1300000000000003E-2</v>
      </c>
      <c r="Z120" s="5">
        <f t="shared" si="298"/>
        <v>1302</v>
      </c>
      <c r="AA120" s="2">
        <f t="shared" si="299"/>
        <v>130069.8</v>
      </c>
      <c r="AB120" s="2">
        <f t="shared" si="207"/>
        <v>130200</v>
      </c>
      <c r="AC120" s="2">
        <f t="shared" si="300"/>
        <v>142590.12495</v>
      </c>
      <c r="AD120" s="8">
        <f t="shared" si="275"/>
        <v>4.65E-2</v>
      </c>
      <c r="AE120" s="2">
        <f t="shared" si="179"/>
        <v>145905.34535508748</v>
      </c>
      <c r="AF120" s="2" t="str">
        <f t="shared" si="276"/>
        <v>nie</v>
      </c>
      <c r="AG120" s="2">
        <f t="shared" si="277"/>
        <v>1302</v>
      </c>
      <c r="AH120" s="1">
        <f t="shared" si="233"/>
        <v>1</v>
      </c>
      <c r="AI120" s="1">
        <f t="shared" si="265"/>
        <v>1</v>
      </c>
      <c r="AJ120" s="1">
        <f t="shared" si="308"/>
        <v>1</v>
      </c>
      <c r="AK120" s="1">
        <f t="shared" si="254"/>
        <v>0</v>
      </c>
      <c r="AL120" s="2">
        <f t="shared" si="243"/>
        <v>100</v>
      </c>
      <c r="AM120" s="8">
        <f t="shared" si="234"/>
        <v>4.65E-2</v>
      </c>
      <c r="AN120" s="2">
        <f t="shared" si="244"/>
        <v>102.325</v>
      </c>
      <c r="AO120" s="2">
        <f t="shared" si="235"/>
        <v>1</v>
      </c>
      <c r="AP120" s="2">
        <f t="shared" si="272"/>
        <v>200</v>
      </c>
      <c r="AQ120" s="8">
        <f t="shared" si="266"/>
        <v>4.1300000000000003E-2</v>
      </c>
      <c r="AR120" s="2">
        <f t="shared" si="267"/>
        <v>204.13000000000002</v>
      </c>
      <c r="AS120" s="2">
        <f t="shared" si="268"/>
        <v>2</v>
      </c>
      <c r="AT120" s="2">
        <f t="shared" si="209"/>
        <v>0</v>
      </c>
      <c r="AU120" s="2">
        <f t="shared" si="245"/>
        <v>0</v>
      </c>
      <c r="AV120" s="2">
        <f t="shared" si="236"/>
        <v>15.753743042492445</v>
      </c>
      <c r="AW120" s="1">
        <f t="shared" si="231"/>
        <v>0</v>
      </c>
      <c r="AX120" s="2">
        <f t="shared" si="278"/>
        <v>15.753743042492445</v>
      </c>
      <c r="AY120" s="1">
        <f t="shared" si="237"/>
        <v>0</v>
      </c>
      <c r="AZ120" s="2">
        <f t="shared" si="210"/>
        <v>15.753743042492445</v>
      </c>
      <c r="BA120" s="2">
        <f t="shared" si="246"/>
        <v>146227.55409813</v>
      </c>
      <c r="BB120" s="2">
        <f t="shared" si="279"/>
        <v>0</v>
      </c>
      <c r="BC120" s="2">
        <f t="shared" si="211"/>
        <v>1125.0520142330402</v>
      </c>
      <c r="BD120" s="2">
        <f t="shared" si="184"/>
        <v>145102.50208389695</v>
      </c>
      <c r="BE120" s="2">
        <f t="shared" si="212"/>
        <v>1305</v>
      </c>
      <c r="BF120" s="2">
        <f t="shared" si="185"/>
        <v>8535.2852786447002</v>
      </c>
      <c r="BG120" s="2">
        <f t="shared" si="186"/>
        <v>135262.21680525225</v>
      </c>
      <c r="BI120" s="8">
        <f t="shared" si="238"/>
        <v>2.8000000000000001E-2</v>
      </c>
      <c r="BJ120" s="5">
        <f t="shared" si="301"/>
        <v>1089</v>
      </c>
      <c r="BK120" s="2">
        <f t="shared" si="302"/>
        <v>108791.1</v>
      </c>
      <c r="BL120" s="2">
        <f t="shared" si="303"/>
        <v>108900</v>
      </c>
      <c r="BM120" s="2">
        <f t="shared" si="280"/>
        <v>108900</v>
      </c>
      <c r="BN120" s="8">
        <f t="shared" si="281"/>
        <v>0.05</v>
      </c>
      <c r="BO120" s="2">
        <f t="shared" si="282"/>
        <v>111622.49999999999</v>
      </c>
      <c r="BP120" s="2" t="str">
        <f t="shared" si="283"/>
        <v>nie</v>
      </c>
      <c r="BQ120" s="2">
        <f t="shared" si="284"/>
        <v>2178</v>
      </c>
      <c r="BR120" s="1">
        <f t="shared" si="239"/>
        <v>23</v>
      </c>
      <c r="BS120" s="1">
        <f t="shared" si="269"/>
        <v>104</v>
      </c>
      <c r="BT120" s="1">
        <f t="shared" si="309"/>
        <v>99</v>
      </c>
      <c r="BU120" s="1">
        <f t="shared" si="255"/>
        <v>109</v>
      </c>
      <c r="BV120" s="2">
        <f t="shared" si="247"/>
        <v>2300</v>
      </c>
      <c r="BW120" s="8">
        <f t="shared" si="240"/>
        <v>0.05</v>
      </c>
      <c r="BX120" s="2">
        <f t="shared" si="248"/>
        <v>2357.5</v>
      </c>
      <c r="BY120" s="2">
        <f t="shared" si="241"/>
        <v>46</v>
      </c>
      <c r="BZ120" s="2">
        <f t="shared" si="273"/>
        <v>31200</v>
      </c>
      <c r="CA120" s="8">
        <f t="shared" si="270"/>
        <v>4.2999999999999997E-2</v>
      </c>
      <c r="CB120" s="2">
        <f t="shared" si="249"/>
        <v>31870.800000000003</v>
      </c>
      <c r="CC120" s="2">
        <f t="shared" si="271"/>
        <v>624</v>
      </c>
      <c r="CD120" s="2">
        <f t="shared" si="285"/>
        <v>0</v>
      </c>
      <c r="CE120" s="2">
        <f t="shared" si="250"/>
        <v>0</v>
      </c>
      <c r="CF120" s="2">
        <f t="shared" si="251"/>
        <v>5.9999999999308784</v>
      </c>
      <c r="CG120" s="1">
        <f t="shared" si="232"/>
        <v>0</v>
      </c>
      <c r="CH120" s="2">
        <f t="shared" si="286"/>
        <v>5.9999999999308784</v>
      </c>
      <c r="CI120" s="1">
        <f t="shared" si="242"/>
        <v>0</v>
      </c>
      <c r="CJ120" s="2">
        <f t="shared" si="252"/>
        <v>5.9999999999308784</v>
      </c>
      <c r="CK120" s="2">
        <f t="shared" si="253"/>
        <v>145856.79999999993</v>
      </c>
      <c r="CL120" s="2">
        <f t="shared" si="287"/>
        <v>0</v>
      </c>
      <c r="CM120" s="2">
        <f t="shared" si="216"/>
        <v>1125.4987299999996</v>
      </c>
      <c r="CN120" s="2">
        <f t="shared" si="288"/>
        <v>144731.30126999994</v>
      </c>
      <c r="CO120" s="2">
        <f t="shared" si="217"/>
        <v>2848</v>
      </c>
      <c r="CP120" s="2">
        <f t="shared" si="289"/>
        <v>8171.6719999999868</v>
      </c>
      <c r="CQ120" s="2">
        <f t="shared" si="290"/>
        <v>133711.62926999995</v>
      </c>
      <c r="CS120" s="5">
        <f t="shared" si="304"/>
        <v>1000</v>
      </c>
      <c r="CT120" s="2">
        <f t="shared" si="305"/>
        <v>100000</v>
      </c>
      <c r="CU120" s="2">
        <f t="shared" si="306"/>
        <v>100000</v>
      </c>
      <c r="CV120" s="2">
        <f t="shared" si="307"/>
        <v>146619.89249366234</v>
      </c>
      <c r="CW120" s="8">
        <f t="shared" si="291"/>
        <v>4.8000000000000001E-2</v>
      </c>
      <c r="CX120" s="2">
        <f t="shared" si="292"/>
        <v>150138.76991351024</v>
      </c>
      <c r="CY120" s="2" t="str">
        <f t="shared" si="293"/>
        <v>nie</v>
      </c>
      <c r="CZ120" s="2">
        <f t="shared" si="222"/>
        <v>0</v>
      </c>
      <c r="DA120" s="2">
        <f t="shared" si="223"/>
        <v>0</v>
      </c>
      <c r="DB120" s="2">
        <f t="shared" si="224"/>
        <v>150138.76991351024</v>
      </c>
      <c r="DC120" s="2">
        <f t="shared" si="294"/>
        <v>0</v>
      </c>
      <c r="DD120" s="2">
        <f t="shared" si="225"/>
        <v>1147.5163738441847</v>
      </c>
      <c r="DE120" s="2">
        <f t="shared" si="226"/>
        <v>148991.25353966607</v>
      </c>
      <c r="DF120" s="2">
        <f t="shared" si="295"/>
        <v>3000</v>
      </c>
      <c r="DG120" s="2">
        <f t="shared" si="296"/>
        <v>8956.3662835669475</v>
      </c>
      <c r="DH120" s="2">
        <f t="shared" si="227"/>
        <v>137034.88725609911</v>
      </c>
    </row>
    <row r="121" spans="2:112">
      <c r="B121" s="227">
        <f>ROUNDUP(C122/12,0)</f>
        <v>8</v>
      </c>
      <c r="C121" s="3">
        <f t="shared" si="256"/>
        <v>84</v>
      </c>
      <c r="D121" s="10">
        <f t="shared" si="259"/>
        <v>135379.0276075025</v>
      </c>
      <c r="E121" s="10">
        <f t="shared" si="260"/>
        <v>127414.95559632443</v>
      </c>
      <c r="F121" s="10">
        <f t="shared" si="261"/>
        <v>135374.79766999994</v>
      </c>
      <c r="G121" s="10">
        <f t="shared" si="262"/>
        <v>126351.05766999995</v>
      </c>
      <c r="H121" s="10">
        <f t="shared" si="263"/>
        <v>138903.58108893796</v>
      </c>
      <c r="I121" s="10">
        <f t="shared" si="264"/>
        <v>128891.73035058315</v>
      </c>
      <c r="J121" s="10">
        <f t="shared" si="257"/>
        <v>127205.03037612945</v>
      </c>
      <c r="K121" s="10">
        <f t="shared" si="258"/>
        <v>121325.41977644531</v>
      </c>
      <c r="W121" s="1">
        <f t="shared" si="297"/>
        <v>103</v>
      </c>
      <c r="X121" s="2">
        <f t="shared" si="274"/>
        <v>126759.66621184547</v>
      </c>
      <c r="Y121" s="8">
        <f t="shared" ref="Y121:Y152" si="310">MAX(INDEX(scenariusz_I_WIBOR6M,MATCH(ROUNDUP(W121/12,0),scenariusz_I_rok,0)),0)</f>
        <v>4.1300000000000003E-2</v>
      </c>
      <c r="Z121" s="5">
        <f t="shared" si="298"/>
        <v>1302</v>
      </c>
      <c r="AA121" s="2">
        <f t="shared" si="299"/>
        <v>130069.8</v>
      </c>
      <c r="AB121" s="2">
        <f t="shared" si="207"/>
        <v>130200</v>
      </c>
      <c r="AC121" s="2">
        <f t="shared" si="300"/>
        <v>142590.12495</v>
      </c>
      <c r="AD121" s="8">
        <f t="shared" si="275"/>
        <v>4.65E-2</v>
      </c>
      <c r="AE121" s="2">
        <f t="shared" si="179"/>
        <v>146457.88208926877</v>
      </c>
      <c r="AF121" s="2" t="str">
        <f t="shared" si="276"/>
        <v>nie</v>
      </c>
      <c r="AG121" s="2">
        <f t="shared" si="277"/>
        <v>1302</v>
      </c>
      <c r="AH121" s="1">
        <f t="shared" si="233"/>
        <v>1</v>
      </c>
      <c r="AI121" s="1">
        <f t="shared" si="265"/>
        <v>1</v>
      </c>
      <c r="AJ121" s="1">
        <f t="shared" si="308"/>
        <v>1</v>
      </c>
      <c r="AK121" s="1">
        <f t="shared" si="254"/>
        <v>0</v>
      </c>
      <c r="AL121" s="2">
        <f t="shared" si="243"/>
        <v>100</v>
      </c>
      <c r="AM121" s="8">
        <f t="shared" si="234"/>
        <v>4.65E-2</v>
      </c>
      <c r="AN121" s="2">
        <f t="shared" si="244"/>
        <v>102.71250000000001</v>
      </c>
      <c r="AO121" s="2">
        <f t="shared" si="235"/>
        <v>1</v>
      </c>
      <c r="AP121" s="2">
        <f t="shared" si="272"/>
        <v>200</v>
      </c>
      <c r="AQ121" s="8">
        <f t="shared" si="266"/>
        <v>4.1300000000000003E-2</v>
      </c>
      <c r="AR121" s="2">
        <f t="shared" si="267"/>
        <v>204.81833333333333</v>
      </c>
      <c r="AS121" s="2">
        <f t="shared" si="268"/>
        <v>2</v>
      </c>
      <c r="AT121" s="2">
        <f t="shared" si="209"/>
        <v>0</v>
      </c>
      <c r="AU121" s="2">
        <f t="shared" si="245"/>
        <v>0</v>
      </c>
      <c r="AV121" s="2">
        <f t="shared" si="236"/>
        <v>15.753743042492445</v>
      </c>
      <c r="AW121" s="1">
        <f t="shared" si="231"/>
        <v>0</v>
      </c>
      <c r="AX121" s="2">
        <f t="shared" si="278"/>
        <v>15.753743042492445</v>
      </c>
      <c r="AY121" s="1">
        <f t="shared" si="237"/>
        <v>0</v>
      </c>
      <c r="AZ121" s="2">
        <f t="shared" si="210"/>
        <v>15.753743042492445</v>
      </c>
      <c r="BA121" s="2">
        <f t="shared" si="246"/>
        <v>146781.16666564459</v>
      </c>
      <c r="BB121" s="2">
        <f t="shared" si="279"/>
        <v>0</v>
      </c>
      <c r="BC121" s="2">
        <f t="shared" si="211"/>
        <v>1125.0520142330402</v>
      </c>
      <c r="BD121" s="2">
        <f t="shared" si="184"/>
        <v>145656.11465141154</v>
      </c>
      <c r="BE121" s="2">
        <f t="shared" si="212"/>
        <v>1305</v>
      </c>
      <c r="BF121" s="2">
        <f t="shared" si="185"/>
        <v>8640.471666472471</v>
      </c>
      <c r="BG121" s="2">
        <f t="shared" si="186"/>
        <v>135710.64298493907</v>
      </c>
      <c r="BI121" s="8">
        <f t="shared" si="238"/>
        <v>2.8000000000000001E-2</v>
      </c>
      <c r="BJ121" s="5">
        <f t="shared" si="301"/>
        <v>1089</v>
      </c>
      <c r="BK121" s="2">
        <f t="shared" si="302"/>
        <v>108791.1</v>
      </c>
      <c r="BL121" s="2">
        <f t="shared" si="303"/>
        <v>108900</v>
      </c>
      <c r="BM121" s="2">
        <f t="shared" si="280"/>
        <v>108900</v>
      </c>
      <c r="BN121" s="8">
        <f t="shared" si="281"/>
        <v>0.05</v>
      </c>
      <c r="BO121" s="2">
        <f t="shared" si="282"/>
        <v>112076.24999999999</v>
      </c>
      <c r="BP121" s="2" t="str">
        <f t="shared" si="283"/>
        <v>nie</v>
      </c>
      <c r="BQ121" s="2">
        <f t="shared" si="284"/>
        <v>2178</v>
      </c>
      <c r="BR121" s="1">
        <f t="shared" si="239"/>
        <v>23</v>
      </c>
      <c r="BS121" s="1">
        <f t="shared" si="269"/>
        <v>104</v>
      </c>
      <c r="BT121" s="1">
        <f t="shared" si="309"/>
        <v>99</v>
      </c>
      <c r="BU121" s="1">
        <f t="shared" si="255"/>
        <v>109</v>
      </c>
      <c r="BV121" s="2">
        <f t="shared" si="247"/>
        <v>2300</v>
      </c>
      <c r="BW121" s="8">
        <f t="shared" si="240"/>
        <v>0.05</v>
      </c>
      <c r="BX121" s="2">
        <f t="shared" si="248"/>
        <v>2367.083333333333</v>
      </c>
      <c r="BY121" s="2">
        <f t="shared" si="241"/>
        <v>46</v>
      </c>
      <c r="BZ121" s="2">
        <f t="shared" si="273"/>
        <v>31200</v>
      </c>
      <c r="CA121" s="8">
        <f t="shared" si="270"/>
        <v>4.2999999999999997E-2</v>
      </c>
      <c r="CB121" s="2">
        <f t="shared" si="249"/>
        <v>31982.600000000002</v>
      </c>
      <c r="CC121" s="2">
        <f t="shared" si="271"/>
        <v>624</v>
      </c>
      <c r="CD121" s="2">
        <f t="shared" si="285"/>
        <v>0</v>
      </c>
      <c r="CE121" s="2">
        <f t="shared" si="250"/>
        <v>0</v>
      </c>
      <c r="CF121" s="2">
        <f t="shared" si="251"/>
        <v>5.9999999999308784</v>
      </c>
      <c r="CG121" s="1">
        <f t="shared" si="232"/>
        <v>0</v>
      </c>
      <c r="CH121" s="2">
        <f t="shared" si="286"/>
        <v>5.9999999999308784</v>
      </c>
      <c r="CI121" s="1">
        <f t="shared" si="242"/>
        <v>0</v>
      </c>
      <c r="CJ121" s="2">
        <f t="shared" si="252"/>
        <v>5.9999999999308784</v>
      </c>
      <c r="CK121" s="2">
        <f t="shared" si="253"/>
        <v>146431.93333333326</v>
      </c>
      <c r="CL121" s="2">
        <f t="shared" si="287"/>
        <v>0</v>
      </c>
      <c r="CM121" s="2">
        <f t="shared" si="216"/>
        <v>1125.4987299999996</v>
      </c>
      <c r="CN121" s="2">
        <f t="shared" si="288"/>
        <v>145306.43460333327</v>
      </c>
      <c r="CO121" s="2">
        <f t="shared" si="217"/>
        <v>2848</v>
      </c>
      <c r="CP121" s="2">
        <f t="shared" si="289"/>
        <v>8280.947333333319</v>
      </c>
      <c r="CQ121" s="2">
        <f t="shared" si="290"/>
        <v>134177.48726999995</v>
      </c>
      <c r="CS121" s="5">
        <f t="shared" si="304"/>
        <v>1000</v>
      </c>
      <c r="CT121" s="2">
        <f t="shared" si="305"/>
        <v>100000</v>
      </c>
      <c r="CU121" s="2">
        <f t="shared" si="306"/>
        <v>100000</v>
      </c>
      <c r="CV121" s="2">
        <f t="shared" si="307"/>
        <v>146619.89249366234</v>
      </c>
      <c r="CW121" s="8">
        <f t="shared" si="291"/>
        <v>4.8000000000000001E-2</v>
      </c>
      <c r="CX121" s="2">
        <f t="shared" si="292"/>
        <v>150725.24948348489</v>
      </c>
      <c r="CY121" s="2" t="str">
        <f t="shared" si="293"/>
        <v>nie</v>
      </c>
      <c r="CZ121" s="2">
        <f t="shared" si="222"/>
        <v>0</v>
      </c>
      <c r="DA121" s="2">
        <f t="shared" si="223"/>
        <v>0</v>
      </c>
      <c r="DB121" s="2">
        <f t="shared" si="224"/>
        <v>150725.24948348489</v>
      </c>
      <c r="DC121" s="2">
        <f t="shared" si="294"/>
        <v>0</v>
      </c>
      <c r="DD121" s="2">
        <f t="shared" si="225"/>
        <v>1147.5163738441847</v>
      </c>
      <c r="DE121" s="2">
        <f t="shared" si="226"/>
        <v>149577.73310964071</v>
      </c>
      <c r="DF121" s="2">
        <f t="shared" si="295"/>
        <v>3000</v>
      </c>
      <c r="DG121" s="2">
        <f t="shared" si="296"/>
        <v>9067.7974018621298</v>
      </c>
      <c r="DH121" s="2">
        <f t="shared" si="227"/>
        <v>137509.93570777858</v>
      </c>
    </row>
    <row r="122" spans="2:112">
      <c r="B122" s="228"/>
      <c r="C122" s="1">
        <f t="shared" si="256"/>
        <v>85</v>
      </c>
      <c r="D122" s="2">
        <f t="shared" si="259"/>
        <v>136007.7446866692</v>
      </c>
      <c r="E122" s="2">
        <f t="shared" si="260"/>
        <v>127923.90255544944</v>
      </c>
      <c r="F122" s="2">
        <f t="shared" si="261"/>
        <v>135873.97266999993</v>
      </c>
      <c r="G122" s="2">
        <f t="shared" si="262"/>
        <v>126796.42941999994</v>
      </c>
      <c r="H122" s="2">
        <f t="shared" si="263"/>
        <v>139463.19899921911</v>
      </c>
      <c r="I122" s="2">
        <f t="shared" si="264"/>
        <v>129345.02085791087</v>
      </c>
      <c r="J122" s="2">
        <f t="shared" si="257"/>
        <v>127569.94980702097</v>
      </c>
      <c r="K122" s="2">
        <f t="shared" si="258"/>
        <v>121608.51242259034</v>
      </c>
      <c r="W122" s="1">
        <f t="shared" si="297"/>
        <v>104</v>
      </c>
      <c r="X122" s="2">
        <f t="shared" si="274"/>
        <v>127050.68545208257</v>
      </c>
      <c r="Y122" s="8">
        <f t="shared" si="310"/>
        <v>4.1300000000000003E-2</v>
      </c>
      <c r="Z122" s="5">
        <f t="shared" si="298"/>
        <v>1302</v>
      </c>
      <c r="AA122" s="2">
        <f t="shared" si="299"/>
        <v>130069.8</v>
      </c>
      <c r="AB122" s="2">
        <f t="shared" si="207"/>
        <v>130200</v>
      </c>
      <c r="AC122" s="2">
        <f t="shared" si="300"/>
        <v>142590.12495</v>
      </c>
      <c r="AD122" s="8">
        <f t="shared" si="275"/>
        <v>4.65E-2</v>
      </c>
      <c r="AE122" s="2">
        <f t="shared" si="179"/>
        <v>147010.41882344999</v>
      </c>
      <c r="AF122" s="2" t="str">
        <f t="shared" si="276"/>
        <v>nie</v>
      </c>
      <c r="AG122" s="2">
        <f t="shared" si="277"/>
        <v>1302</v>
      </c>
      <c r="AH122" s="1">
        <f t="shared" si="233"/>
        <v>1</v>
      </c>
      <c r="AI122" s="1">
        <f t="shared" si="265"/>
        <v>1</v>
      </c>
      <c r="AJ122" s="1">
        <f t="shared" si="308"/>
        <v>1</v>
      </c>
      <c r="AK122" s="1">
        <f t="shared" si="254"/>
        <v>0</v>
      </c>
      <c r="AL122" s="2">
        <f t="shared" si="243"/>
        <v>100</v>
      </c>
      <c r="AM122" s="8">
        <f t="shared" si="234"/>
        <v>4.65E-2</v>
      </c>
      <c r="AN122" s="2">
        <f t="shared" si="244"/>
        <v>103.1</v>
      </c>
      <c r="AO122" s="2">
        <f t="shared" si="235"/>
        <v>1</v>
      </c>
      <c r="AP122" s="2">
        <f t="shared" si="272"/>
        <v>200</v>
      </c>
      <c r="AQ122" s="8">
        <f t="shared" si="266"/>
        <v>4.1300000000000003E-2</v>
      </c>
      <c r="AR122" s="2">
        <f t="shared" si="267"/>
        <v>205.50666666666669</v>
      </c>
      <c r="AS122" s="2">
        <f t="shared" si="268"/>
        <v>2</v>
      </c>
      <c r="AT122" s="2">
        <f t="shared" si="209"/>
        <v>0</v>
      </c>
      <c r="AU122" s="2">
        <f t="shared" si="245"/>
        <v>0</v>
      </c>
      <c r="AV122" s="2">
        <f t="shared" si="236"/>
        <v>15.753743042492445</v>
      </c>
      <c r="AW122" s="1">
        <f t="shared" si="231"/>
        <v>0</v>
      </c>
      <c r="AX122" s="2">
        <f t="shared" si="278"/>
        <v>15.753743042492445</v>
      </c>
      <c r="AY122" s="1">
        <f t="shared" si="237"/>
        <v>0</v>
      </c>
      <c r="AZ122" s="2">
        <f t="shared" si="210"/>
        <v>15.753743042492445</v>
      </c>
      <c r="BA122" s="2">
        <f t="shared" si="246"/>
        <v>147334.77923315915</v>
      </c>
      <c r="BB122" s="2">
        <f t="shared" si="279"/>
        <v>0</v>
      </c>
      <c r="BC122" s="2">
        <f t="shared" si="211"/>
        <v>1125.0520142330402</v>
      </c>
      <c r="BD122" s="2">
        <f t="shared" si="184"/>
        <v>146209.7272189261</v>
      </c>
      <c r="BE122" s="2">
        <f t="shared" si="212"/>
        <v>1305</v>
      </c>
      <c r="BF122" s="2">
        <f t="shared" si="185"/>
        <v>8745.6580543002383</v>
      </c>
      <c r="BG122" s="2">
        <f t="shared" si="186"/>
        <v>136159.06916462586</v>
      </c>
      <c r="BI122" s="8">
        <f t="shared" si="238"/>
        <v>2.8000000000000001E-2</v>
      </c>
      <c r="BJ122" s="5">
        <f t="shared" si="301"/>
        <v>1089</v>
      </c>
      <c r="BK122" s="2">
        <f t="shared" si="302"/>
        <v>108791.1</v>
      </c>
      <c r="BL122" s="2">
        <f t="shared" si="303"/>
        <v>108900</v>
      </c>
      <c r="BM122" s="2">
        <f t="shared" si="280"/>
        <v>108900</v>
      </c>
      <c r="BN122" s="8">
        <f t="shared" si="281"/>
        <v>0.05</v>
      </c>
      <c r="BO122" s="2">
        <f t="shared" si="282"/>
        <v>112530.00000000001</v>
      </c>
      <c r="BP122" s="2" t="str">
        <f t="shared" si="283"/>
        <v>nie</v>
      </c>
      <c r="BQ122" s="2">
        <f t="shared" si="284"/>
        <v>2178</v>
      </c>
      <c r="BR122" s="1">
        <f t="shared" si="239"/>
        <v>23</v>
      </c>
      <c r="BS122" s="1">
        <f t="shared" si="269"/>
        <v>104</v>
      </c>
      <c r="BT122" s="1">
        <f t="shared" si="309"/>
        <v>99</v>
      </c>
      <c r="BU122" s="1">
        <f t="shared" si="255"/>
        <v>109</v>
      </c>
      <c r="BV122" s="2">
        <f t="shared" si="247"/>
        <v>2300</v>
      </c>
      <c r="BW122" s="8">
        <f t="shared" si="240"/>
        <v>0.05</v>
      </c>
      <c r="BX122" s="2">
        <f t="shared" si="248"/>
        <v>2376.666666666667</v>
      </c>
      <c r="BY122" s="2">
        <f t="shared" si="241"/>
        <v>46</v>
      </c>
      <c r="BZ122" s="2">
        <f t="shared" si="273"/>
        <v>31200</v>
      </c>
      <c r="CA122" s="8">
        <f t="shared" si="270"/>
        <v>4.2999999999999997E-2</v>
      </c>
      <c r="CB122" s="2">
        <f t="shared" si="249"/>
        <v>32094.399999999998</v>
      </c>
      <c r="CC122" s="2">
        <f t="shared" si="271"/>
        <v>624</v>
      </c>
      <c r="CD122" s="2">
        <f t="shared" si="285"/>
        <v>0</v>
      </c>
      <c r="CE122" s="2">
        <f t="shared" si="250"/>
        <v>0</v>
      </c>
      <c r="CF122" s="2">
        <f t="shared" si="251"/>
        <v>5.9999999999308784</v>
      </c>
      <c r="CG122" s="1">
        <f t="shared" si="232"/>
        <v>0</v>
      </c>
      <c r="CH122" s="2">
        <f t="shared" si="286"/>
        <v>5.9999999999308784</v>
      </c>
      <c r="CI122" s="1">
        <f t="shared" si="242"/>
        <v>0</v>
      </c>
      <c r="CJ122" s="2">
        <f t="shared" si="252"/>
        <v>5.9999999999308784</v>
      </c>
      <c r="CK122" s="2">
        <f t="shared" si="253"/>
        <v>147007.06666666662</v>
      </c>
      <c r="CL122" s="2">
        <f t="shared" si="287"/>
        <v>0</v>
      </c>
      <c r="CM122" s="2">
        <f t="shared" si="216"/>
        <v>1125.4987299999996</v>
      </c>
      <c r="CN122" s="2">
        <f t="shared" si="288"/>
        <v>145881.56793666663</v>
      </c>
      <c r="CO122" s="2">
        <f t="shared" si="217"/>
        <v>2848</v>
      </c>
      <c r="CP122" s="2">
        <f t="shared" si="289"/>
        <v>8390.2226666666575</v>
      </c>
      <c r="CQ122" s="2">
        <f t="shared" si="290"/>
        <v>134643.34526999996</v>
      </c>
      <c r="CS122" s="5">
        <f t="shared" si="304"/>
        <v>1000</v>
      </c>
      <c r="CT122" s="2">
        <f t="shared" si="305"/>
        <v>100000</v>
      </c>
      <c r="CU122" s="2">
        <f t="shared" si="306"/>
        <v>100000</v>
      </c>
      <c r="CV122" s="2">
        <f t="shared" si="307"/>
        <v>146619.89249366234</v>
      </c>
      <c r="CW122" s="8">
        <f t="shared" si="291"/>
        <v>4.8000000000000001E-2</v>
      </c>
      <c r="CX122" s="2">
        <f t="shared" si="292"/>
        <v>151311.72905345954</v>
      </c>
      <c r="CY122" s="2" t="str">
        <f t="shared" si="293"/>
        <v>nie</v>
      </c>
      <c r="CZ122" s="2">
        <f t="shared" si="222"/>
        <v>0</v>
      </c>
      <c r="DA122" s="2">
        <f t="shared" si="223"/>
        <v>0</v>
      </c>
      <c r="DB122" s="2">
        <f t="shared" si="224"/>
        <v>151311.72905345954</v>
      </c>
      <c r="DC122" s="2">
        <f t="shared" si="294"/>
        <v>0</v>
      </c>
      <c r="DD122" s="2">
        <f t="shared" si="225"/>
        <v>1147.5163738441847</v>
      </c>
      <c r="DE122" s="2">
        <f t="shared" si="226"/>
        <v>150164.21267961536</v>
      </c>
      <c r="DF122" s="2">
        <f t="shared" si="295"/>
        <v>3000</v>
      </c>
      <c r="DG122" s="2">
        <f t="shared" si="296"/>
        <v>9179.2285201573122</v>
      </c>
      <c r="DH122" s="2">
        <f t="shared" si="227"/>
        <v>137984.98415945805</v>
      </c>
    </row>
    <row r="123" spans="2:112">
      <c r="B123" s="228"/>
      <c r="C123" s="1">
        <f t="shared" si="256"/>
        <v>86</v>
      </c>
      <c r="D123" s="2">
        <f t="shared" si="259"/>
        <v>136536.46176583582</v>
      </c>
      <c r="E123" s="2">
        <f t="shared" si="260"/>
        <v>128351.84951457442</v>
      </c>
      <c r="F123" s="2">
        <f t="shared" si="261"/>
        <v>136368.44766999997</v>
      </c>
      <c r="G123" s="2">
        <f t="shared" si="262"/>
        <v>127161.85416999998</v>
      </c>
      <c r="H123" s="2">
        <f t="shared" si="263"/>
        <v>140022.81690950028</v>
      </c>
      <c r="I123" s="2">
        <f t="shared" si="264"/>
        <v>129798.31136523862</v>
      </c>
      <c r="J123" s="2">
        <f t="shared" si="257"/>
        <v>127935.91610052985</v>
      </c>
      <c r="K123" s="2">
        <f t="shared" si="258"/>
        <v>121891.60506873539</v>
      </c>
      <c r="W123" s="1">
        <f t="shared" si="297"/>
        <v>105</v>
      </c>
      <c r="X123" s="2">
        <f t="shared" si="274"/>
        <v>127341.70469231966</v>
      </c>
      <c r="Y123" s="8">
        <f t="shared" si="310"/>
        <v>4.1300000000000003E-2</v>
      </c>
      <c r="Z123" s="5">
        <f t="shared" si="298"/>
        <v>1302</v>
      </c>
      <c r="AA123" s="2">
        <f t="shared" si="299"/>
        <v>130069.8</v>
      </c>
      <c r="AB123" s="2">
        <f t="shared" si="207"/>
        <v>130200</v>
      </c>
      <c r="AC123" s="2">
        <f t="shared" si="300"/>
        <v>142590.12495</v>
      </c>
      <c r="AD123" s="8">
        <f t="shared" si="275"/>
        <v>4.65E-2</v>
      </c>
      <c r="AE123" s="2">
        <f t="shared" si="179"/>
        <v>147562.95555763124</v>
      </c>
      <c r="AF123" s="2" t="str">
        <f t="shared" si="276"/>
        <v>nie</v>
      </c>
      <c r="AG123" s="2">
        <f t="shared" si="277"/>
        <v>1302</v>
      </c>
      <c r="AH123" s="1">
        <f t="shared" si="233"/>
        <v>1</v>
      </c>
      <c r="AI123" s="1">
        <f t="shared" si="265"/>
        <v>1</v>
      </c>
      <c r="AJ123" s="1">
        <f t="shared" si="308"/>
        <v>1</v>
      </c>
      <c r="AK123" s="1">
        <f t="shared" si="254"/>
        <v>0</v>
      </c>
      <c r="AL123" s="2">
        <f t="shared" si="243"/>
        <v>100</v>
      </c>
      <c r="AM123" s="8">
        <f t="shared" si="234"/>
        <v>4.65E-2</v>
      </c>
      <c r="AN123" s="2">
        <f t="shared" si="244"/>
        <v>103.4875</v>
      </c>
      <c r="AO123" s="2">
        <f t="shared" si="235"/>
        <v>1</v>
      </c>
      <c r="AP123" s="2">
        <f t="shared" si="272"/>
        <v>200</v>
      </c>
      <c r="AQ123" s="8">
        <f t="shared" si="266"/>
        <v>4.1300000000000003E-2</v>
      </c>
      <c r="AR123" s="2">
        <f t="shared" si="267"/>
        <v>206.19499999999999</v>
      </c>
      <c r="AS123" s="2">
        <f t="shared" si="268"/>
        <v>2</v>
      </c>
      <c r="AT123" s="2">
        <f t="shared" si="209"/>
        <v>0</v>
      </c>
      <c r="AU123" s="2">
        <f t="shared" si="245"/>
        <v>0</v>
      </c>
      <c r="AV123" s="2">
        <f t="shared" si="236"/>
        <v>15.753743042492445</v>
      </c>
      <c r="AW123" s="1">
        <f t="shared" si="231"/>
        <v>0</v>
      </c>
      <c r="AX123" s="2">
        <f t="shared" si="278"/>
        <v>15.753743042492445</v>
      </c>
      <c r="AY123" s="1">
        <f t="shared" si="237"/>
        <v>0</v>
      </c>
      <c r="AZ123" s="2">
        <f t="shared" si="210"/>
        <v>15.753743042492445</v>
      </c>
      <c r="BA123" s="2">
        <f t="shared" si="246"/>
        <v>147888.39180067374</v>
      </c>
      <c r="BB123" s="2">
        <f t="shared" si="279"/>
        <v>0</v>
      </c>
      <c r="BC123" s="2">
        <f t="shared" si="211"/>
        <v>1125.0520142330402</v>
      </c>
      <c r="BD123" s="2">
        <f t="shared" si="184"/>
        <v>146763.33978644069</v>
      </c>
      <c r="BE123" s="2">
        <f t="shared" si="212"/>
        <v>1305</v>
      </c>
      <c r="BF123" s="2">
        <f t="shared" si="185"/>
        <v>8850.8444421280092</v>
      </c>
      <c r="BG123" s="2">
        <f t="shared" si="186"/>
        <v>136607.49534431269</v>
      </c>
      <c r="BI123" s="8">
        <f t="shared" si="238"/>
        <v>2.8000000000000001E-2</v>
      </c>
      <c r="BJ123" s="5">
        <f t="shared" si="301"/>
        <v>1089</v>
      </c>
      <c r="BK123" s="2">
        <f t="shared" si="302"/>
        <v>108791.1</v>
      </c>
      <c r="BL123" s="2">
        <f t="shared" si="303"/>
        <v>108900</v>
      </c>
      <c r="BM123" s="2">
        <f t="shared" si="280"/>
        <v>108900</v>
      </c>
      <c r="BN123" s="8">
        <f t="shared" si="281"/>
        <v>0.05</v>
      </c>
      <c r="BO123" s="2">
        <f t="shared" si="282"/>
        <v>112983.75000000001</v>
      </c>
      <c r="BP123" s="2" t="str">
        <f t="shared" si="283"/>
        <v>nie</v>
      </c>
      <c r="BQ123" s="2">
        <f t="shared" si="284"/>
        <v>2178</v>
      </c>
      <c r="BR123" s="1">
        <f t="shared" si="239"/>
        <v>23</v>
      </c>
      <c r="BS123" s="1">
        <f t="shared" si="269"/>
        <v>104</v>
      </c>
      <c r="BT123" s="1">
        <f t="shared" si="309"/>
        <v>99</v>
      </c>
      <c r="BU123" s="1">
        <f t="shared" si="255"/>
        <v>109</v>
      </c>
      <c r="BV123" s="2">
        <f t="shared" si="247"/>
        <v>2300</v>
      </c>
      <c r="BW123" s="8">
        <f t="shared" si="240"/>
        <v>0.05</v>
      </c>
      <c r="BX123" s="2">
        <f t="shared" si="248"/>
        <v>2386.25</v>
      </c>
      <c r="BY123" s="2">
        <f t="shared" si="241"/>
        <v>46</v>
      </c>
      <c r="BZ123" s="2">
        <f t="shared" si="273"/>
        <v>31200</v>
      </c>
      <c r="CA123" s="8">
        <f t="shared" si="270"/>
        <v>4.2999999999999997E-2</v>
      </c>
      <c r="CB123" s="2">
        <f t="shared" si="249"/>
        <v>32206.199999999997</v>
      </c>
      <c r="CC123" s="2">
        <f t="shared" si="271"/>
        <v>624</v>
      </c>
      <c r="CD123" s="2">
        <f t="shared" si="285"/>
        <v>0</v>
      </c>
      <c r="CE123" s="2">
        <f t="shared" si="250"/>
        <v>0</v>
      </c>
      <c r="CF123" s="2">
        <f t="shared" si="251"/>
        <v>5.9999999999308784</v>
      </c>
      <c r="CG123" s="1">
        <f t="shared" si="232"/>
        <v>0</v>
      </c>
      <c r="CH123" s="2">
        <f t="shared" si="286"/>
        <v>5.9999999999308784</v>
      </c>
      <c r="CI123" s="1">
        <f t="shared" si="242"/>
        <v>0</v>
      </c>
      <c r="CJ123" s="2">
        <f t="shared" si="252"/>
        <v>5.9999999999308784</v>
      </c>
      <c r="CK123" s="2">
        <f t="shared" si="253"/>
        <v>147582.19999999995</v>
      </c>
      <c r="CL123" s="2">
        <f t="shared" si="287"/>
        <v>0</v>
      </c>
      <c r="CM123" s="2">
        <f t="shared" si="216"/>
        <v>1125.4987299999996</v>
      </c>
      <c r="CN123" s="2">
        <f t="shared" si="288"/>
        <v>146456.70126999996</v>
      </c>
      <c r="CO123" s="2">
        <f t="shared" si="217"/>
        <v>2848</v>
      </c>
      <c r="CP123" s="2">
        <f t="shared" si="289"/>
        <v>8499.4979999999905</v>
      </c>
      <c r="CQ123" s="2">
        <f t="shared" si="290"/>
        <v>135109.20326999997</v>
      </c>
      <c r="CS123" s="5">
        <f t="shared" si="304"/>
        <v>1000</v>
      </c>
      <c r="CT123" s="2">
        <f t="shared" si="305"/>
        <v>100000</v>
      </c>
      <c r="CU123" s="2">
        <f t="shared" si="306"/>
        <v>100000</v>
      </c>
      <c r="CV123" s="2">
        <f t="shared" si="307"/>
        <v>146619.89249366234</v>
      </c>
      <c r="CW123" s="8">
        <f t="shared" si="291"/>
        <v>4.8000000000000001E-2</v>
      </c>
      <c r="CX123" s="2">
        <f t="shared" si="292"/>
        <v>151898.20862343418</v>
      </c>
      <c r="CY123" s="2" t="str">
        <f t="shared" si="293"/>
        <v>nie</v>
      </c>
      <c r="CZ123" s="2">
        <f t="shared" si="222"/>
        <v>0</v>
      </c>
      <c r="DA123" s="2">
        <f t="shared" si="223"/>
        <v>0</v>
      </c>
      <c r="DB123" s="2">
        <f t="shared" si="224"/>
        <v>151898.20862343418</v>
      </c>
      <c r="DC123" s="2">
        <f t="shared" si="294"/>
        <v>0</v>
      </c>
      <c r="DD123" s="2">
        <f t="shared" si="225"/>
        <v>1147.5163738441847</v>
      </c>
      <c r="DE123" s="2">
        <f t="shared" si="226"/>
        <v>150750.69224959001</v>
      </c>
      <c r="DF123" s="2">
        <f t="shared" si="295"/>
        <v>3000</v>
      </c>
      <c r="DG123" s="2">
        <f t="shared" si="296"/>
        <v>9290.6596384524946</v>
      </c>
      <c r="DH123" s="2">
        <f t="shared" si="227"/>
        <v>138460.03261113752</v>
      </c>
    </row>
    <row r="124" spans="2:112">
      <c r="B124" s="228"/>
      <c r="C124" s="1">
        <f t="shared" si="256"/>
        <v>87</v>
      </c>
      <c r="D124" s="2">
        <f t="shared" si="259"/>
        <v>137065.17884500252</v>
      </c>
      <c r="E124" s="2">
        <f t="shared" si="260"/>
        <v>128779.92809869944</v>
      </c>
      <c r="F124" s="2">
        <f t="shared" si="261"/>
        <v>136862.92266999994</v>
      </c>
      <c r="G124" s="2">
        <f t="shared" si="262"/>
        <v>127527.27891999995</v>
      </c>
      <c r="H124" s="2">
        <f t="shared" si="263"/>
        <v>140582.43481978143</v>
      </c>
      <c r="I124" s="2">
        <f t="shared" si="264"/>
        <v>130251.60187256636</v>
      </c>
      <c r="J124" s="2">
        <f t="shared" si="257"/>
        <v>128302.93225984325</v>
      </c>
      <c r="K124" s="2">
        <f t="shared" si="258"/>
        <v>122174.69771488041</v>
      </c>
      <c r="W124" s="1">
        <f t="shared" si="297"/>
        <v>106</v>
      </c>
      <c r="X124" s="2">
        <f t="shared" si="274"/>
        <v>127632.72393255679</v>
      </c>
      <c r="Y124" s="8">
        <f t="shared" si="310"/>
        <v>4.1300000000000003E-2</v>
      </c>
      <c r="Z124" s="5">
        <f t="shared" si="298"/>
        <v>1302</v>
      </c>
      <c r="AA124" s="2">
        <f t="shared" si="299"/>
        <v>130069.8</v>
      </c>
      <c r="AB124" s="2">
        <f t="shared" si="207"/>
        <v>130200</v>
      </c>
      <c r="AC124" s="2">
        <f t="shared" si="300"/>
        <v>142590.12495</v>
      </c>
      <c r="AD124" s="8">
        <f t="shared" si="275"/>
        <v>4.65E-2</v>
      </c>
      <c r="AE124" s="2">
        <f t="shared" si="179"/>
        <v>148115.49229181249</v>
      </c>
      <c r="AF124" s="2" t="str">
        <f t="shared" si="276"/>
        <v>nie</v>
      </c>
      <c r="AG124" s="2">
        <f t="shared" si="277"/>
        <v>1302</v>
      </c>
      <c r="AH124" s="1">
        <f t="shared" si="233"/>
        <v>1</v>
      </c>
      <c r="AI124" s="1">
        <f t="shared" si="265"/>
        <v>1</v>
      </c>
      <c r="AJ124" s="1">
        <f t="shared" si="308"/>
        <v>1</v>
      </c>
      <c r="AK124" s="1">
        <f t="shared" si="254"/>
        <v>0</v>
      </c>
      <c r="AL124" s="2">
        <f t="shared" si="243"/>
        <v>100</v>
      </c>
      <c r="AM124" s="8">
        <f t="shared" si="234"/>
        <v>4.65E-2</v>
      </c>
      <c r="AN124" s="2">
        <f t="shared" si="244"/>
        <v>103.875</v>
      </c>
      <c r="AO124" s="2">
        <f t="shared" si="235"/>
        <v>1</v>
      </c>
      <c r="AP124" s="2">
        <f t="shared" si="272"/>
        <v>200</v>
      </c>
      <c r="AQ124" s="8">
        <f t="shared" si="266"/>
        <v>4.1300000000000003E-2</v>
      </c>
      <c r="AR124" s="2">
        <f t="shared" si="267"/>
        <v>206.88333333333335</v>
      </c>
      <c r="AS124" s="2">
        <f t="shared" si="268"/>
        <v>2</v>
      </c>
      <c r="AT124" s="2">
        <f t="shared" si="209"/>
        <v>0</v>
      </c>
      <c r="AU124" s="2">
        <f t="shared" si="245"/>
        <v>0</v>
      </c>
      <c r="AV124" s="2">
        <f t="shared" si="236"/>
        <v>15.753743042492445</v>
      </c>
      <c r="AW124" s="1">
        <f t="shared" si="231"/>
        <v>0</v>
      </c>
      <c r="AX124" s="2">
        <f t="shared" si="278"/>
        <v>15.753743042492445</v>
      </c>
      <c r="AY124" s="1">
        <f t="shared" si="237"/>
        <v>0</v>
      </c>
      <c r="AZ124" s="2">
        <f t="shared" si="210"/>
        <v>15.753743042492445</v>
      </c>
      <c r="BA124" s="2">
        <f t="shared" si="246"/>
        <v>148442.00436818833</v>
      </c>
      <c r="BB124" s="2">
        <f t="shared" si="279"/>
        <v>0</v>
      </c>
      <c r="BC124" s="2">
        <f t="shared" si="211"/>
        <v>1125.0520142330402</v>
      </c>
      <c r="BD124" s="2">
        <f t="shared" si="184"/>
        <v>147316.95235395528</v>
      </c>
      <c r="BE124" s="2">
        <f t="shared" si="212"/>
        <v>1305</v>
      </c>
      <c r="BF124" s="2">
        <f t="shared" si="185"/>
        <v>8956.0308299557819</v>
      </c>
      <c r="BG124" s="2">
        <f t="shared" si="186"/>
        <v>137055.92152399948</v>
      </c>
      <c r="BI124" s="8">
        <f t="shared" si="238"/>
        <v>2.8000000000000001E-2</v>
      </c>
      <c r="BJ124" s="5">
        <f t="shared" si="301"/>
        <v>1089</v>
      </c>
      <c r="BK124" s="2">
        <f t="shared" si="302"/>
        <v>108791.1</v>
      </c>
      <c r="BL124" s="2">
        <f t="shared" si="303"/>
        <v>108900</v>
      </c>
      <c r="BM124" s="2">
        <f t="shared" si="280"/>
        <v>108900</v>
      </c>
      <c r="BN124" s="8">
        <f t="shared" si="281"/>
        <v>0.05</v>
      </c>
      <c r="BO124" s="2">
        <f t="shared" si="282"/>
        <v>113437.50000000001</v>
      </c>
      <c r="BP124" s="2" t="str">
        <f t="shared" si="283"/>
        <v>nie</v>
      </c>
      <c r="BQ124" s="2">
        <f t="shared" si="284"/>
        <v>2178</v>
      </c>
      <c r="BR124" s="1">
        <f t="shared" si="239"/>
        <v>23</v>
      </c>
      <c r="BS124" s="1">
        <f t="shared" si="269"/>
        <v>104</v>
      </c>
      <c r="BT124" s="1">
        <f t="shared" si="309"/>
        <v>99</v>
      </c>
      <c r="BU124" s="1">
        <f t="shared" si="255"/>
        <v>109</v>
      </c>
      <c r="BV124" s="2">
        <f t="shared" si="247"/>
        <v>2300</v>
      </c>
      <c r="BW124" s="8">
        <f t="shared" si="240"/>
        <v>0.05</v>
      </c>
      <c r="BX124" s="2">
        <f t="shared" si="248"/>
        <v>2395.8333333333335</v>
      </c>
      <c r="BY124" s="2">
        <f t="shared" si="241"/>
        <v>46</v>
      </c>
      <c r="BZ124" s="2">
        <f t="shared" si="273"/>
        <v>31200</v>
      </c>
      <c r="CA124" s="8">
        <f t="shared" si="270"/>
        <v>4.2999999999999997E-2</v>
      </c>
      <c r="CB124" s="2">
        <f t="shared" si="249"/>
        <v>32318</v>
      </c>
      <c r="CC124" s="2">
        <f t="shared" si="271"/>
        <v>624</v>
      </c>
      <c r="CD124" s="2">
        <f t="shared" si="285"/>
        <v>0</v>
      </c>
      <c r="CE124" s="2">
        <f t="shared" si="250"/>
        <v>0</v>
      </c>
      <c r="CF124" s="2">
        <f t="shared" si="251"/>
        <v>5.9999999999308784</v>
      </c>
      <c r="CG124" s="1">
        <f t="shared" si="232"/>
        <v>0</v>
      </c>
      <c r="CH124" s="2">
        <f t="shared" si="286"/>
        <v>5.9999999999308784</v>
      </c>
      <c r="CI124" s="1">
        <f t="shared" si="242"/>
        <v>0</v>
      </c>
      <c r="CJ124" s="2">
        <f t="shared" si="252"/>
        <v>5.9999999999308784</v>
      </c>
      <c r="CK124" s="2">
        <f t="shared" si="253"/>
        <v>148157.33333333328</v>
      </c>
      <c r="CL124" s="2">
        <f t="shared" si="287"/>
        <v>0</v>
      </c>
      <c r="CM124" s="2">
        <f t="shared" si="216"/>
        <v>1125.4987299999996</v>
      </c>
      <c r="CN124" s="2">
        <f t="shared" si="288"/>
        <v>147031.83460333329</v>
      </c>
      <c r="CO124" s="2">
        <f t="shared" si="217"/>
        <v>2848</v>
      </c>
      <c r="CP124" s="2">
        <f t="shared" si="289"/>
        <v>8608.7733333333235</v>
      </c>
      <c r="CQ124" s="2">
        <f t="shared" si="290"/>
        <v>135575.06126999998</v>
      </c>
      <c r="CS124" s="5">
        <f t="shared" si="304"/>
        <v>1000</v>
      </c>
      <c r="CT124" s="2">
        <f t="shared" si="305"/>
        <v>100000</v>
      </c>
      <c r="CU124" s="2">
        <f t="shared" si="306"/>
        <v>100000</v>
      </c>
      <c r="CV124" s="2">
        <f t="shared" si="307"/>
        <v>146619.89249366234</v>
      </c>
      <c r="CW124" s="8">
        <f t="shared" si="291"/>
        <v>4.8000000000000001E-2</v>
      </c>
      <c r="CX124" s="2">
        <f t="shared" si="292"/>
        <v>152484.68819340883</v>
      </c>
      <c r="CY124" s="2" t="str">
        <f t="shared" si="293"/>
        <v>nie</v>
      </c>
      <c r="CZ124" s="2">
        <f t="shared" si="222"/>
        <v>0</v>
      </c>
      <c r="DA124" s="2">
        <f t="shared" si="223"/>
        <v>0</v>
      </c>
      <c r="DB124" s="2">
        <f t="shared" si="224"/>
        <v>152484.68819340883</v>
      </c>
      <c r="DC124" s="2">
        <f t="shared" si="294"/>
        <v>0</v>
      </c>
      <c r="DD124" s="2">
        <f t="shared" si="225"/>
        <v>1147.5163738441847</v>
      </c>
      <c r="DE124" s="2">
        <f t="shared" si="226"/>
        <v>151337.17181956465</v>
      </c>
      <c r="DF124" s="2">
        <f t="shared" si="295"/>
        <v>3000</v>
      </c>
      <c r="DG124" s="2">
        <f t="shared" si="296"/>
        <v>9402.0907567476788</v>
      </c>
      <c r="DH124" s="2">
        <f t="shared" si="227"/>
        <v>138935.08106281699</v>
      </c>
    </row>
    <row r="125" spans="2:112">
      <c r="B125" s="228"/>
      <c r="C125" s="1">
        <f t="shared" si="256"/>
        <v>88</v>
      </c>
      <c r="D125" s="2">
        <f t="shared" si="259"/>
        <v>137593.89592416919</v>
      </c>
      <c r="E125" s="2">
        <f t="shared" si="260"/>
        <v>129208.18893282444</v>
      </c>
      <c r="F125" s="2">
        <f t="shared" si="261"/>
        <v>137357.39766999995</v>
      </c>
      <c r="G125" s="2">
        <f t="shared" si="262"/>
        <v>127892.70366999994</v>
      </c>
      <c r="H125" s="2">
        <f t="shared" si="263"/>
        <v>141142.05273006257</v>
      </c>
      <c r="I125" s="2">
        <f t="shared" si="264"/>
        <v>130704.89237989408</v>
      </c>
      <c r="J125" s="2">
        <f t="shared" si="257"/>
        <v>128671.00129676367</v>
      </c>
      <c r="K125" s="2">
        <f t="shared" si="258"/>
        <v>122457.79036102547</v>
      </c>
      <c r="W125" s="1">
        <f t="shared" si="297"/>
        <v>107</v>
      </c>
      <c r="X125" s="2">
        <f t="shared" si="274"/>
        <v>127923.74317279388</v>
      </c>
      <c r="Y125" s="8">
        <f t="shared" si="310"/>
        <v>4.1300000000000003E-2</v>
      </c>
      <c r="Z125" s="5">
        <f t="shared" si="298"/>
        <v>1302</v>
      </c>
      <c r="AA125" s="2">
        <f t="shared" si="299"/>
        <v>130069.8</v>
      </c>
      <c r="AB125" s="2">
        <f t="shared" si="207"/>
        <v>130200</v>
      </c>
      <c r="AC125" s="2">
        <f t="shared" si="300"/>
        <v>142590.12495</v>
      </c>
      <c r="AD125" s="8">
        <f t="shared" si="275"/>
        <v>4.65E-2</v>
      </c>
      <c r="AE125" s="2">
        <f t="shared" si="179"/>
        <v>148668.02902599375</v>
      </c>
      <c r="AF125" s="2" t="str">
        <f t="shared" si="276"/>
        <v>nie</v>
      </c>
      <c r="AG125" s="2">
        <f t="shared" si="277"/>
        <v>1302</v>
      </c>
      <c r="AH125" s="1">
        <f t="shared" si="233"/>
        <v>1</v>
      </c>
      <c r="AI125" s="1">
        <f t="shared" si="265"/>
        <v>1</v>
      </c>
      <c r="AJ125" s="1">
        <f t="shared" si="308"/>
        <v>1</v>
      </c>
      <c r="AK125" s="1">
        <f t="shared" si="254"/>
        <v>0</v>
      </c>
      <c r="AL125" s="2">
        <f t="shared" si="243"/>
        <v>100</v>
      </c>
      <c r="AM125" s="8">
        <f t="shared" si="234"/>
        <v>4.65E-2</v>
      </c>
      <c r="AN125" s="2">
        <f t="shared" si="244"/>
        <v>104.26249999999999</v>
      </c>
      <c r="AO125" s="2">
        <f t="shared" si="235"/>
        <v>1</v>
      </c>
      <c r="AP125" s="2">
        <f t="shared" si="272"/>
        <v>200</v>
      </c>
      <c r="AQ125" s="8">
        <f t="shared" si="266"/>
        <v>4.1300000000000003E-2</v>
      </c>
      <c r="AR125" s="2">
        <f t="shared" si="267"/>
        <v>207.57166666666666</v>
      </c>
      <c r="AS125" s="2">
        <f t="shared" si="268"/>
        <v>2</v>
      </c>
      <c r="AT125" s="2">
        <f t="shared" si="209"/>
        <v>0</v>
      </c>
      <c r="AU125" s="2">
        <f t="shared" si="245"/>
        <v>0</v>
      </c>
      <c r="AV125" s="2">
        <f t="shared" si="236"/>
        <v>15.753743042492445</v>
      </c>
      <c r="AW125" s="1">
        <f t="shared" si="231"/>
        <v>0</v>
      </c>
      <c r="AX125" s="2">
        <f t="shared" si="278"/>
        <v>15.753743042492445</v>
      </c>
      <c r="AY125" s="1">
        <f t="shared" si="237"/>
        <v>0</v>
      </c>
      <c r="AZ125" s="2">
        <f t="shared" si="210"/>
        <v>15.753743042492445</v>
      </c>
      <c r="BA125" s="2">
        <f t="shared" si="246"/>
        <v>148995.61693570291</v>
      </c>
      <c r="BB125" s="2">
        <f t="shared" si="279"/>
        <v>0</v>
      </c>
      <c r="BC125" s="2">
        <f t="shared" si="211"/>
        <v>1125.0520142330402</v>
      </c>
      <c r="BD125" s="2">
        <f t="shared" si="184"/>
        <v>147870.56492146986</v>
      </c>
      <c r="BE125" s="2">
        <f t="shared" si="212"/>
        <v>1305</v>
      </c>
      <c r="BF125" s="2">
        <f t="shared" si="185"/>
        <v>9061.2172177835546</v>
      </c>
      <c r="BG125" s="2">
        <f t="shared" si="186"/>
        <v>137504.3477036863</v>
      </c>
      <c r="BI125" s="8">
        <f t="shared" si="238"/>
        <v>2.8000000000000001E-2</v>
      </c>
      <c r="BJ125" s="5">
        <f t="shared" si="301"/>
        <v>1089</v>
      </c>
      <c r="BK125" s="2">
        <f t="shared" si="302"/>
        <v>108791.1</v>
      </c>
      <c r="BL125" s="2">
        <f t="shared" si="303"/>
        <v>108900</v>
      </c>
      <c r="BM125" s="2">
        <f t="shared" si="280"/>
        <v>108900</v>
      </c>
      <c r="BN125" s="8">
        <f t="shared" si="281"/>
        <v>0.05</v>
      </c>
      <c r="BO125" s="2">
        <f t="shared" si="282"/>
        <v>113891.25</v>
      </c>
      <c r="BP125" s="2" t="str">
        <f t="shared" si="283"/>
        <v>nie</v>
      </c>
      <c r="BQ125" s="2">
        <f t="shared" si="284"/>
        <v>2178</v>
      </c>
      <c r="BR125" s="1">
        <f t="shared" si="239"/>
        <v>23</v>
      </c>
      <c r="BS125" s="1">
        <f t="shared" si="269"/>
        <v>104</v>
      </c>
      <c r="BT125" s="1">
        <f t="shared" si="309"/>
        <v>99</v>
      </c>
      <c r="BU125" s="1">
        <f t="shared" si="255"/>
        <v>109</v>
      </c>
      <c r="BV125" s="2">
        <f t="shared" si="247"/>
        <v>2300</v>
      </c>
      <c r="BW125" s="8">
        <f t="shared" si="240"/>
        <v>0.05</v>
      </c>
      <c r="BX125" s="2">
        <f t="shared" si="248"/>
        <v>2405.416666666667</v>
      </c>
      <c r="BY125" s="2">
        <f t="shared" si="241"/>
        <v>46</v>
      </c>
      <c r="BZ125" s="2">
        <f t="shared" si="273"/>
        <v>31200</v>
      </c>
      <c r="CA125" s="8">
        <f t="shared" si="270"/>
        <v>4.2999999999999997E-2</v>
      </c>
      <c r="CB125" s="2">
        <f t="shared" si="249"/>
        <v>32429.8</v>
      </c>
      <c r="CC125" s="2">
        <f t="shared" si="271"/>
        <v>624</v>
      </c>
      <c r="CD125" s="2">
        <f t="shared" si="285"/>
        <v>0</v>
      </c>
      <c r="CE125" s="2">
        <f t="shared" si="250"/>
        <v>0</v>
      </c>
      <c r="CF125" s="2">
        <f t="shared" si="251"/>
        <v>5.9999999999308784</v>
      </c>
      <c r="CG125" s="1">
        <f t="shared" si="232"/>
        <v>0</v>
      </c>
      <c r="CH125" s="2">
        <f t="shared" si="286"/>
        <v>5.9999999999308784</v>
      </c>
      <c r="CI125" s="1">
        <f t="shared" si="242"/>
        <v>0</v>
      </c>
      <c r="CJ125" s="2">
        <f t="shared" si="252"/>
        <v>5.9999999999308784</v>
      </c>
      <c r="CK125" s="2">
        <f t="shared" si="253"/>
        <v>148732.46666666662</v>
      </c>
      <c r="CL125" s="2">
        <f t="shared" si="287"/>
        <v>0</v>
      </c>
      <c r="CM125" s="2">
        <f t="shared" si="216"/>
        <v>1125.4987299999996</v>
      </c>
      <c r="CN125" s="2">
        <f t="shared" si="288"/>
        <v>147606.96793666662</v>
      </c>
      <c r="CO125" s="2">
        <f t="shared" si="217"/>
        <v>2848</v>
      </c>
      <c r="CP125" s="2">
        <f t="shared" si="289"/>
        <v>8718.0486666666566</v>
      </c>
      <c r="CQ125" s="2">
        <f t="shared" si="290"/>
        <v>136040.91926999995</v>
      </c>
      <c r="CS125" s="5">
        <f t="shared" si="304"/>
        <v>1000</v>
      </c>
      <c r="CT125" s="2">
        <f t="shared" si="305"/>
        <v>100000</v>
      </c>
      <c r="CU125" s="2">
        <f t="shared" si="306"/>
        <v>100000</v>
      </c>
      <c r="CV125" s="2">
        <f t="shared" si="307"/>
        <v>146619.89249366234</v>
      </c>
      <c r="CW125" s="8">
        <f t="shared" si="291"/>
        <v>4.8000000000000001E-2</v>
      </c>
      <c r="CX125" s="2">
        <f t="shared" si="292"/>
        <v>153071.16776338348</v>
      </c>
      <c r="CY125" s="2" t="str">
        <f t="shared" si="293"/>
        <v>nie</v>
      </c>
      <c r="CZ125" s="2">
        <f t="shared" si="222"/>
        <v>0</v>
      </c>
      <c r="DA125" s="2">
        <f t="shared" si="223"/>
        <v>0</v>
      </c>
      <c r="DB125" s="2">
        <f t="shared" si="224"/>
        <v>153071.16776338348</v>
      </c>
      <c r="DC125" s="2">
        <f t="shared" si="294"/>
        <v>0</v>
      </c>
      <c r="DD125" s="2">
        <f t="shared" si="225"/>
        <v>1147.5163738441847</v>
      </c>
      <c r="DE125" s="2">
        <f t="shared" si="226"/>
        <v>151923.6513895393</v>
      </c>
      <c r="DF125" s="2">
        <f t="shared" si="295"/>
        <v>3000</v>
      </c>
      <c r="DG125" s="2">
        <f t="shared" si="296"/>
        <v>9513.5218750428612</v>
      </c>
      <c r="DH125" s="2">
        <f t="shared" si="227"/>
        <v>139410.12951449642</v>
      </c>
    </row>
    <row r="126" spans="2:112">
      <c r="B126" s="228"/>
      <c r="C126" s="1">
        <f t="shared" si="256"/>
        <v>89</v>
      </c>
      <c r="D126" s="2">
        <f t="shared" si="259"/>
        <v>138122.61300333581</v>
      </c>
      <c r="E126" s="2">
        <f t="shared" si="260"/>
        <v>129636.4497669494</v>
      </c>
      <c r="F126" s="2">
        <f t="shared" si="261"/>
        <v>137851.87266999995</v>
      </c>
      <c r="G126" s="2">
        <f t="shared" si="262"/>
        <v>128265.14841999997</v>
      </c>
      <c r="H126" s="2">
        <f t="shared" si="263"/>
        <v>141701.67064034374</v>
      </c>
      <c r="I126" s="2">
        <f t="shared" si="264"/>
        <v>131158.18288722183</v>
      </c>
      <c r="J126" s="2">
        <f t="shared" si="257"/>
        <v>129040.12623173375</v>
      </c>
      <c r="K126" s="2">
        <f t="shared" si="258"/>
        <v>122740.88300717052</v>
      </c>
      <c r="W126" s="1">
        <f t="shared" si="297"/>
        <v>108</v>
      </c>
      <c r="X126" s="2">
        <f t="shared" si="274"/>
        <v>128214.76241303099</v>
      </c>
      <c r="Y126" s="8">
        <f t="shared" si="310"/>
        <v>4.1300000000000003E-2</v>
      </c>
      <c r="Z126" s="5">
        <f t="shared" si="298"/>
        <v>1302</v>
      </c>
      <c r="AA126" s="2">
        <f t="shared" si="299"/>
        <v>130069.8</v>
      </c>
      <c r="AB126" s="2">
        <f t="shared" si="207"/>
        <v>130200</v>
      </c>
      <c r="AC126" s="2">
        <f t="shared" si="300"/>
        <v>142590.12495</v>
      </c>
      <c r="AD126" s="8">
        <f t="shared" si="275"/>
        <v>4.1300000000000003E-2</v>
      </c>
      <c r="AE126" s="2">
        <f t="shared" si="179"/>
        <v>148479.09711043502</v>
      </c>
      <c r="AF126" s="2" t="str">
        <f t="shared" si="276"/>
        <v>tak</v>
      </c>
      <c r="AG126" s="2">
        <f t="shared" si="277"/>
        <v>0</v>
      </c>
      <c r="AH126" s="1">
        <f t="shared" si="233"/>
        <v>1</v>
      </c>
      <c r="AI126" s="1">
        <f t="shared" si="265"/>
        <v>1</v>
      </c>
      <c r="AJ126" s="1">
        <f t="shared" si="308"/>
        <v>1</v>
      </c>
      <c r="AK126" s="1">
        <f t="shared" si="254"/>
        <v>0</v>
      </c>
      <c r="AL126" s="2">
        <f t="shared" si="243"/>
        <v>100</v>
      </c>
      <c r="AM126" s="8">
        <f t="shared" si="234"/>
        <v>4.65E-2</v>
      </c>
      <c r="AN126" s="2">
        <f t="shared" si="244"/>
        <v>104.65</v>
      </c>
      <c r="AO126" s="2">
        <f t="shared" si="235"/>
        <v>1</v>
      </c>
      <c r="AP126" s="2">
        <f t="shared" si="272"/>
        <v>200</v>
      </c>
      <c r="AQ126" s="8">
        <f t="shared" si="266"/>
        <v>4.1300000000000003E-2</v>
      </c>
      <c r="AR126" s="2">
        <f t="shared" si="267"/>
        <v>208.26000000000002</v>
      </c>
      <c r="AS126" s="2">
        <f t="shared" si="268"/>
        <v>2</v>
      </c>
      <c r="AT126" s="2">
        <f t="shared" si="209"/>
        <v>27.697110435023205</v>
      </c>
      <c r="AU126" s="2">
        <f t="shared" si="245"/>
        <v>12.910000000000025</v>
      </c>
      <c r="AV126" s="2">
        <f t="shared" si="236"/>
        <v>56.360853477515676</v>
      </c>
      <c r="AW126" s="1">
        <f t="shared" ref="AW126:AW157" si="311">IF(AT126&lt;&gt;0,MIN(IF(AK126&lt;&gt;"",AK126,0),ROUNDDOWN(AV126/zamiana_TOS,0)),0)</f>
        <v>0</v>
      </c>
      <c r="AX126" s="2">
        <f t="shared" si="278"/>
        <v>56.360853477515676</v>
      </c>
      <c r="AY126" s="1">
        <f t="shared" si="237"/>
        <v>0</v>
      </c>
      <c r="AZ126" s="2">
        <f t="shared" si="210"/>
        <v>56.360853477515676</v>
      </c>
      <c r="BA126" s="2">
        <f t="shared" si="246"/>
        <v>148807.76085347752</v>
      </c>
      <c r="BB126" s="2">
        <f t="shared" si="279"/>
        <v>148.80776085347753</v>
      </c>
      <c r="BC126" s="2">
        <f t="shared" si="211"/>
        <v>1273.8597750865176</v>
      </c>
      <c r="BD126" s="2">
        <f t="shared" si="184"/>
        <v>147533.90107839101</v>
      </c>
      <c r="BE126" s="2">
        <f t="shared" si="212"/>
        <v>3</v>
      </c>
      <c r="BF126" s="2">
        <f t="shared" si="185"/>
        <v>9272.9045621607293</v>
      </c>
      <c r="BG126" s="2">
        <f t="shared" si="186"/>
        <v>138257.99651623028</v>
      </c>
      <c r="BI126" s="8">
        <f t="shared" si="238"/>
        <v>2.8000000000000001E-2</v>
      </c>
      <c r="BJ126" s="5">
        <f t="shared" si="301"/>
        <v>1089</v>
      </c>
      <c r="BK126" s="2">
        <f t="shared" si="302"/>
        <v>108791.1</v>
      </c>
      <c r="BL126" s="2">
        <f t="shared" si="303"/>
        <v>108900</v>
      </c>
      <c r="BM126" s="2">
        <f t="shared" si="280"/>
        <v>108900</v>
      </c>
      <c r="BN126" s="8">
        <f t="shared" si="281"/>
        <v>0.05</v>
      </c>
      <c r="BO126" s="2">
        <f t="shared" si="282"/>
        <v>114345</v>
      </c>
      <c r="BP126" s="2" t="str">
        <f t="shared" si="283"/>
        <v>nie</v>
      </c>
      <c r="BQ126" s="2">
        <f t="shared" si="284"/>
        <v>2178</v>
      </c>
      <c r="BR126" s="1">
        <f t="shared" si="239"/>
        <v>23</v>
      </c>
      <c r="BS126" s="1">
        <f t="shared" si="269"/>
        <v>104</v>
      </c>
      <c r="BT126" s="1">
        <f t="shared" si="309"/>
        <v>99</v>
      </c>
      <c r="BU126" s="1">
        <f t="shared" si="255"/>
        <v>109</v>
      </c>
      <c r="BV126" s="2">
        <f t="shared" si="247"/>
        <v>2300</v>
      </c>
      <c r="BW126" s="8">
        <f t="shared" si="240"/>
        <v>0.05</v>
      </c>
      <c r="BX126" s="2">
        <f t="shared" si="248"/>
        <v>2415</v>
      </c>
      <c r="BY126" s="2">
        <f t="shared" si="241"/>
        <v>46</v>
      </c>
      <c r="BZ126" s="2">
        <f t="shared" si="273"/>
        <v>31200</v>
      </c>
      <c r="CA126" s="8">
        <f t="shared" si="270"/>
        <v>4.2999999999999997E-2</v>
      </c>
      <c r="CB126" s="2">
        <f t="shared" si="249"/>
        <v>32541.599999999999</v>
      </c>
      <c r="CC126" s="2">
        <f t="shared" si="271"/>
        <v>624</v>
      </c>
      <c r="CD126" s="2">
        <f t="shared" si="285"/>
        <v>5445</v>
      </c>
      <c r="CE126" s="2">
        <f t="shared" si="250"/>
        <v>12356.599999999999</v>
      </c>
      <c r="CF126" s="2">
        <f t="shared" si="251"/>
        <v>17807.599999999929</v>
      </c>
      <c r="CG126" s="1">
        <f t="shared" ref="CG126:CG157" si="312">IF(CD126&lt;&gt;0,MIN(IF(BU126&lt;&gt;"",BU126,0),ROUNDDOWN(CF126/zamiana_COI,0)),0)</f>
        <v>109</v>
      </c>
      <c r="CH126" s="2">
        <f t="shared" si="286"/>
        <v>6918.4999999999291</v>
      </c>
      <c r="CI126" s="1">
        <f t="shared" si="242"/>
        <v>69</v>
      </c>
      <c r="CJ126" s="2">
        <f t="shared" si="252"/>
        <v>18.499999999929059</v>
      </c>
      <c r="CK126" s="2">
        <f t="shared" si="253"/>
        <v>149307.59999999995</v>
      </c>
      <c r="CL126" s="2">
        <f t="shared" si="287"/>
        <v>149.30759999999995</v>
      </c>
      <c r="CM126" s="2">
        <f t="shared" si="216"/>
        <v>1274.8063299999994</v>
      </c>
      <c r="CN126" s="2">
        <f t="shared" si="288"/>
        <v>148032.79366999996</v>
      </c>
      <c r="CO126" s="2">
        <f t="shared" si="217"/>
        <v>2848</v>
      </c>
      <c r="CP126" s="2">
        <f t="shared" si="289"/>
        <v>8827.3239999999896</v>
      </c>
      <c r="CQ126" s="2">
        <f t="shared" si="290"/>
        <v>136357.46966999996</v>
      </c>
      <c r="CS126" s="5">
        <f t="shared" si="304"/>
        <v>1000</v>
      </c>
      <c r="CT126" s="2">
        <f t="shared" si="305"/>
        <v>100000</v>
      </c>
      <c r="CU126" s="2">
        <f t="shared" si="306"/>
        <v>100000</v>
      </c>
      <c r="CV126" s="2">
        <f t="shared" si="307"/>
        <v>146619.89249366234</v>
      </c>
      <c r="CW126" s="8">
        <f t="shared" si="291"/>
        <v>4.8000000000000001E-2</v>
      </c>
      <c r="CX126" s="2">
        <f t="shared" si="292"/>
        <v>153657.64733335812</v>
      </c>
      <c r="CY126" s="2" t="str">
        <f t="shared" si="293"/>
        <v>nie</v>
      </c>
      <c r="CZ126" s="2">
        <f t="shared" si="222"/>
        <v>0</v>
      </c>
      <c r="DA126" s="2">
        <f t="shared" si="223"/>
        <v>0</v>
      </c>
      <c r="DB126" s="2">
        <f t="shared" si="224"/>
        <v>153657.64733335812</v>
      </c>
      <c r="DC126" s="2">
        <f t="shared" si="294"/>
        <v>153.65764733335811</v>
      </c>
      <c r="DD126" s="2">
        <f t="shared" si="225"/>
        <v>1301.1740211775427</v>
      </c>
      <c r="DE126" s="2">
        <f t="shared" si="226"/>
        <v>152356.47331218058</v>
      </c>
      <c r="DF126" s="2">
        <f t="shared" si="295"/>
        <v>3000</v>
      </c>
      <c r="DG126" s="2">
        <f t="shared" si="296"/>
        <v>9624.9529933380436</v>
      </c>
      <c r="DH126" s="2">
        <f t="shared" si="227"/>
        <v>139731.52031884252</v>
      </c>
    </row>
    <row r="127" spans="2:112">
      <c r="B127" s="228"/>
      <c r="C127" s="1">
        <f t="shared" si="256"/>
        <v>90</v>
      </c>
      <c r="D127" s="2">
        <f t="shared" si="259"/>
        <v>138651.33008250251</v>
      </c>
      <c r="E127" s="2">
        <f t="shared" si="260"/>
        <v>130064.71060107443</v>
      </c>
      <c r="F127" s="2">
        <f t="shared" si="261"/>
        <v>138346.34766999996</v>
      </c>
      <c r="G127" s="2">
        <f t="shared" si="262"/>
        <v>128665.67316999997</v>
      </c>
      <c r="H127" s="2">
        <f t="shared" si="263"/>
        <v>142261.28855062489</v>
      </c>
      <c r="I127" s="2">
        <f t="shared" si="264"/>
        <v>131611.47339454957</v>
      </c>
      <c r="J127" s="2">
        <f t="shared" si="257"/>
        <v>129410.31009386103</v>
      </c>
      <c r="K127" s="2">
        <f t="shared" si="258"/>
        <v>123023.97565331555</v>
      </c>
      <c r="W127" s="1">
        <f t="shared" si="297"/>
        <v>109</v>
      </c>
      <c r="X127" s="2">
        <f t="shared" si="274"/>
        <v>128513.93019199472</v>
      </c>
      <c r="Y127" s="8">
        <f t="shared" si="310"/>
        <v>4.1300000000000003E-2</v>
      </c>
      <c r="Z127" s="5">
        <f t="shared" si="298"/>
        <v>1486</v>
      </c>
      <c r="AA127" s="2">
        <f t="shared" si="299"/>
        <v>148451.4</v>
      </c>
      <c r="AB127" s="2">
        <f t="shared" si="207"/>
        <v>148600</v>
      </c>
      <c r="AC127" s="2">
        <f t="shared" si="300"/>
        <v>148600</v>
      </c>
      <c r="AD127" s="8">
        <f t="shared" si="275"/>
        <v>4.65E-2</v>
      </c>
      <c r="AE127" s="2">
        <f t="shared" si="179"/>
        <v>149175.82500000001</v>
      </c>
      <c r="AF127" s="2" t="str">
        <f t="shared" si="276"/>
        <v>nie</v>
      </c>
      <c r="AG127" s="2">
        <f t="shared" si="277"/>
        <v>575.82500000001164</v>
      </c>
      <c r="AH127" s="1">
        <f t="shared" si="233"/>
        <v>0</v>
      </c>
      <c r="AI127" s="1">
        <f t="shared" si="265"/>
        <v>1</v>
      </c>
      <c r="AJ127" s="1">
        <f t="shared" si="308"/>
        <v>1</v>
      </c>
      <c r="AK127" s="1">
        <f t="shared" si="254"/>
        <v>0</v>
      </c>
      <c r="AL127" s="2">
        <f t="shared" si="243"/>
        <v>0</v>
      </c>
      <c r="AM127" s="8">
        <f t="shared" ref="AM127:AM162" si="313">proc_I_okres_TOS</f>
        <v>4.65E-2</v>
      </c>
      <c r="AN127" s="2">
        <f t="shared" si="244"/>
        <v>0</v>
      </c>
      <c r="AO127" s="2">
        <f t="shared" ref="AO127:AO158" si="314">MIN(AH127*koszt_wczesniejszy_wykup_TOS,AN127-AL127)</f>
        <v>0</v>
      </c>
      <c r="AP127" s="2">
        <f t="shared" si="272"/>
        <v>200</v>
      </c>
      <c r="AQ127" s="8">
        <f t="shared" si="266"/>
        <v>4.1300000000000003E-2</v>
      </c>
      <c r="AR127" s="2">
        <f t="shared" si="267"/>
        <v>200.6883333333333</v>
      </c>
      <c r="AS127" s="2">
        <f t="shared" si="268"/>
        <v>2</v>
      </c>
      <c r="AT127" s="2">
        <f t="shared" si="209"/>
        <v>0</v>
      </c>
      <c r="AU127" s="2">
        <f t="shared" si="245"/>
        <v>0</v>
      </c>
      <c r="AV127" s="2">
        <f t="shared" si="236"/>
        <v>56.360853477515676</v>
      </c>
      <c r="AW127" s="1">
        <f t="shared" si="311"/>
        <v>0</v>
      </c>
      <c r="AX127" s="2">
        <f t="shared" si="278"/>
        <v>56.360853477515676</v>
      </c>
      <c r="AY127" s="1">
        <f t="shared" si="237"/>
        <v>0</v>
      </c>
      <c r="AZ127" s="2">
        <f t="shared" si="210"/>
        <v>56.360853477515676</v>
      </c>
      <c r="BA127" s="2">
        <f t="shared" si="246"/>
        <v>149432.87418681086</v>
      </c>
      <c r="BB127" s="2">
        <f t="shared" si="279"/>
        <v>0</v>
      </c>
      <c r="BC127" s="2">
        <f t="shared" si="211"/>
        <v>1273.8597750865176</v>
      </c>
      <c r="BD127" s="2">
        <f t="shared" si="184"/>
        <v>148159.01441172435</v>
      </c>
      <c r="BE127" s="2">
        <f t="shared" si="212"/>
        <v>577.82500000001164</v>
      </c>
      <c r="BF127" s="2">
        <f t="shared" si="185"/>
        <v>9282.4593454940623</v>
      </c>
      <c r="BG127" s="2">
        <f t="shared" si="186"/>
        <v>138298.73006623029</v>
      </c>
      <c r="BI127" s="8">
        <f t="shared" ref="BI127:BI162" si="315">MAX(INDEX(scenariusz_I_inflacja,MATCH(ROUNDUP(W127/12,0)-1,scenariusz_I_rok,0)),0)</f>
        <v>2.8000000000000001E-2</v>
      </c>
      <c r="BJ127" s="5">
        <f t="shared" si="301"/>
        <v>1089</v>
      </c>
      <c r="BK127" s="2">
        <f t="shared" si="302"/>
        <v>108791.1</v>
      </c>
      <c r="BL127" s="2">
        <f t="shared" si="303"/>
        <v>108900</v>
      </c>
      <c r="BM127" s="2">
        <f t="shared" si="280"/>
        <v>108900</v>
      </c>
      <c r="BN127" s="8">
        <f t="shared" si="281"/>
        <v>4.2999999999999997E-2</v>
      </c>
      <c r="BO127" s="2">
        <f t="shared" si="282"/>
        <v>109290.22499999999</v>
      </c>
      <c r="BP127" s="2" t="str">
        <f t="shared" si="283"/>
        <v>nie</v>
      </c>
      <c r="BQ127" s="2">
        <f t="shared" si="284"/>
        <v>2178</v>
      </c>
      <c r="BR127" s="1">
        <f t="shared" ref="BR127:BR162" si="316">IF(CD126&lt;&gt;0,CG126+CI126,BR126)</f>
        <v>178</v>
      </c>
      <c r="BS127" s="1">
        <f t="shared" si="269"/>
        <v>23</v>
      </c>
      <c r="BT127" s="1">
        <f t="shared" si="309"/>
        <v>104</v>
      </c>
      <c r="BU127" s="1">
        <f t="shared" si="255"/>
        <v>99</v>
      </c>
      <c r="BV127" s="2">
        <f t="shared" si="247"/>
        <v>17800</v>
      </c>
      <c r="BW127" s="8">
        <f t="shared" ref="BW127:BW162" si="317">proc_I_okres_COI</f>
        <v>0.05</v>
      </c>
      <c r="BX127" s="2">
        <f t="shared" si="248"/>
        <v>17874.166666666668</v>
      </c>
      <c r="BY127" s="2">
        <f t="shared" ref="BY127:BY158" si="318">MIN(BR127*koszt_wczesniejszy_wykup_COI,BX127-BV127)</f>
        <v>74.166666666667879</v>
      </c>
      <c r="BZ127" s="2">
        <f t="shared" si="273"/>
        <v>22600</v>
      </c>
      <c r="CA127" s="8">
        <f t="shared" si="270"/>
        <v>4.2999999999999997E-2</v>
      </c>
      <c r="CB127" s="2">
        <f t="shared" si="249"/>
        <v>22680.983333333334</v>
      </c>
      <c r="CC127" s="2">
        <f t="shared" si="271"/>
        <v>452</v>
      </c>
      <c r="CD127" s="2">
        <f t="shared" si="285"/>
        <v>0</v>
      </c>
      <c r="CE127" s="2">
        <f t="shared" si="250"/>
        <v>0</v>
      </c>
      <c r="CF127" s="2">
        <f t="shared" si="251"/>
        <v>18.499999999929059</v>
      </c>
      <c r="CG127" s="1">
        <f t="shared" si="312"/>
        <v>0</v>
      </c>
      <c r="CH127" s="2">
        <f t="shared" si="286"/>
        <v>18.499999999929059</v>
      </c>
      <c r="CI127" s="1">
        <f t="shared" si="242"/>
        <v>0</v>
      </c>
      <c r="CJ127" s="2">
        <f t="shared" si="252"/>
        <v>18.499999999929059</v>
      </c>
      <c r="CK127" s="2">
        <f t="shared" si="253"/>
        <v>149863.87499999994</v>
      </c>
      <c r="CL127" s="2">
        <f t="shared" si="287"/>
        <v>0</v>
      </c>
      <c r="CM127" s="2">
        <f t="shared" si="216"/>
        <v>1274.8063299999994</v>
      </c>
      <c r="CN127" s="2">
        <f t="shared" si="288"/>
        <v>148589.06866999995</v>
      </c>
      <c r="CO127" s="2">
        <f t="shared" si="217"/>
        <v>2704.1666666666679</v>
      </c>
      <c r="CP127" s="2">
        <f t="shared" si="289"/>
        <v>8960.3445833333244</v>
      </c>
      <c r="CQ127" s="2">
        <f t="shared" si="290"/>
        <v>136924.55741999997</v>
      </c>
      <c r="CS127" s="5">
        <f t="shared" si="304"/>
        <v>1000</v>
      </c>
      <c r="CT127" s="2">
        <f t="shared" si="305"/>
        <v>100000</v>
      </c>
      <c r="CU127" s="2">
        <f t="shared" si="306"/>
        <v>100000</v>
      </c>
      <c r="CV127" s="2">
        <f t="shared" si="307"/>
        <v>153657.64733335812</v>
      </c>
      <c r="CW127" s="8">
        <f t="shared" si="291"/>
        <v>4.8000000000000001E-2</v>
      </c>
      <c r="CX127" s="2">
        <f t="shared" si="292"/>
        <v>154272.27792269154</v>
      </c>
      <c r="CY127" s="2" t="str">
        <f t="shared" si="293"/>
        <v>nie</v>
      </c>
      <c r="CZ127" s="2">
        <f t="shared" si="222"/>
        <v>0</v>
      </c>
      <c r="DA127" s="2">
        <f t="shared" si="223"/>
        <v>0</v>
      </c>
      <c r="DB127" s="2">
        <f t="shared" si="224"/>
        <v>154272.27792269154</v>
      </c>
      <c r="DC127" s="2">
        <f t="shared" si="294"/>
        <v>0</v>
      </c>
      <c r="DD127" s="2">
        <f t="shared" si="225"/>
        <v>1301.1740211775427</v>
      </c>
      <c r="DE127" s="2">
        <f t="shared" si="226"/>
        <v>152971.103901514</v>
      </c>
      <c r="DF127" s="2">
        <f t="shared" si="295"/>
        <v>3000</v>
      </c>
      <c r="DG127" s="2">
        <f t="shared" si="296"/>
        <v>9741.7328053113943</v>
      </c>
      <c r="DH127" s="2">
        <f t="shared" si="227"/>
        <v>140229.37109620261</v>
      </c>
    </row>
    <row r="128" spans="2:112">
      <c r="B128" s="228"/>
      <c r="C128" s="1">
        <f t="shared" si="256"/>
        <v>91</v>
      </c>
      <c r="D128" s="2">
        <f t="shared" si="259"/>
        <v>139180.04716166918</v>
      </c>
      <c r="E128" s="2">
        <f t="shared" si="260"/>
        <v>130492.97143519943</v>
      </c>
      <c r="F128" s="2">
        <f t="shared" si="261"/>
        <v>138840.82266999994</v>
      </c>
      <c r="G128" s="2">
        <f t="shared" si="262"/>
        <v>129066.19791999995</v>
      </c>
      <c r="H128" s="2">
        <f t="shared" si="263"/>
        <v>142820.90646090606</v>
      </c>
      <c r="I128" s="2">
        <f t="shared" si="264"/>
        <v>132064.7639018773</v>
      </c>
      <c r="J128" s="2">
        <f t="shared" si="257"/>
        <v>129781.55592094279</v>
      </c>
      <c r="K128" s="2">
        <f t="shared" si="258"/>
        <v>123307.06829946059</v>
      </c>
      <c r="W128" s="1">
        <f t="shared" si="297"/>
        <v>110</v>
      </c>
      <c r="X128" s="2">
        <f t="shared" si="274"/>
        <v>128813.09797095845</v>
      </c>
      <c r="Y128" s="8">
        <f t="shared" si="310"/>
        <v>4.1300000000000003E-2</v>
      </c>
      <c r="Z128" s="5">
        <f t="shared" si="298"/>
        <v>1486</v>
      </c>
      <c r="AA128" s="2">
        <f t="shared" si="299"/>
        <v>148451.4</v>
      </c>
      <c r="AB128" s="2">
        <f t="shared" si="207"/>
        <v>148600</v>
      </c>
      <c r="AC128" s="2">
        <f t="shared" si="300"/>
        <v>148600</v>
      </c>
      <c r="AD128" s="8">
        <f t="shared" si="275"/>
        <v>4.65E-2</v>
      </c>
      <c r="AE128" s="2">
        <f t="shared" si="179"/>
        <v>149751.65</v>
      </c>
      <c r="AF128" s="2" t="str">
        <f t="shared" si="276"/>
        <v>nie</v>
      </c>
      <c r="AG128" s="2">
        <f t="shared" si="277"/>
        <v>1151.6499999999942</v>
      </c>
      <c r="AH128" s="1">
        <f t="shared" si="233"/>
        <v>0</v>
      </c>
      <c r="AI128" s="1">
        <f t="shared" si="265"/>
        <v>1</v>
      </c>
      <c r="AJ128" s="1">
        <f t="shared" si="308"/>
        <v>1</v>
      </c>
      <c r="AK128" s="1">
        <f t="shared" si="254"/>
        <v>0</v>
      </c>
      <c r="AL128" s="2">
        <f t="shared" si="243"/>
        <v>0</v>
      </c>
      <c r="AM128" s="8">
        <f t="shared" si="313"/>
        <v>4.65E-2</v>
      </c>
      <c r="AN128" s="2">
        <f t="shared" si="244"/>
        <v>0</v>
      </c>
      <c r="AO128" s="2">
        <f t="shared" si="314"/>
        <v>0</v>
      </c>
      <c r="AP128" s="2">
        <f t="shared" si="272"/>
        <v>200</v>
      </c>
      <c r="AQ128" s="8">
        <f t="shared" si="266"/>
        <v>4.1300000000000003E-2</v>
      </c>
      <c r="AR128" s="2">
        <f t="shared" si="267"/>
        <v>201.37666666666667</v>
      </c>
      <c r="AS128" s="2">
        <f t="shared" si="268"/>
        <v>2</v>
      </c>
      <c r="AT128" s="2">
        <f t="shared" si="209"/>
        <v>0</v>
      </c>
      <c r="AU128" s="2">
        <f t="shared" si="245"/>
        <v>0</v>
      </c>
      <c r="AV128" s="2">
        <f t="shared" si="236"/>
        <v>56.360853477515676</v>
      </c>
      <c r="AW128" s="1">
        <f t="shared" si="311"/>
        <v>0</v>
      </c>
      <c r="AX128" s="2">
        <f t="shared" si="278"/>
        <v>56.360853477515676</v>
      </c>
      <c r="AY128" s="1">
        <f t="shared" si="237"/>
        <v>0</v>
      </c>
      <c r="AZ128" s="2">
        <f t="shared" si="210"/>
        <v>56.360853477515676</v>
      </c>
      <c r="BA128" s="2">
        <f t="shared" si="246"/>
        <v>150009.3875201442</v>
      </c>
      <c r="BB128" s="2">
        <f t="shared" si="279"/>
        <v>0</v>
      </c>
      <c r="BC128" s="2">
        <f t="shared" si="211"/>
        <v>1273.8597750865176</v>
      </c>
      <c r="BD128" s="2">
        <f t="shared" si="184"/>
        <v>148735.52774505768</v>
      </c>
      <c r="BE128" s="2">
        <f t="shared" si="212"/>
        <v>1153.6499999999942</v>
      </c>
      <c r="BF128" s="2">
        <f t="shared" si="185"/>
        <v>9282.5901288273981</v>
      </c>
      <c r="BG128" s="2">
        <f t="shared" si="186"/>
        <v>138299.28761623029</v>
      </c>
      <c r="BI128" s="8">
        <f t="shared" si="315"/>
        <v>2.8000000000000001E-2</v>
      </c>
      <c r="BJ128" s="5">
        <f t="shared" si="301"/>
        <v>1089</v>
      </c>
      <c r="BK128" s="2">
        <f t="shared" si="302"/>
        <v>108791.1</v>
      </c>
      <c r="BL128" s="2">
        <f t="shared" si="303"/>
        <v>108900</v>
      </c>
      <c r="BM128" s="2">
        <f t="shared" si="280"/>
        <v>108900</v>
      </c>
      <c r="BN128" s="8">
        <f t="shared" si="281"/>
        <v>4.2999999999999997E-2</v>
      </c>
      <c r="BO128" s="2">
        <f t="shared" si="282"/>
        <v>109680.45000000001</v>
      </c>
      <c r="BP128" s="2" t="str">
        <f t="shared" si="283"/>
        <v>nie</v>
      </c>
      <c r="BQ128" s="2">
        <f t="shared" si="284"/>
        <v>2178</v>
      </c>
      <c r="BR128" s="1">
        <f t="shared" si="316"/>
        <v>178</v>
      </c>
      <c r="BS128" s="1">
        <f t="shared" si="269"/>
        <v>23</v>
      </c>
      <c r="BT128" s="1">
        <f t="shared" si="309"/>
        <v>104</v>
      </c>
      <c r="BU128" s="1">
        <f t="shared" si="255"/>
        <v>99</v>
      </c>
      <c r="BV128" s="2">
        <f t="shared" si="247"/>
        <v>17800</v>
      </c>
      <c r="BW128" s="8">
        <f t="shared" si="317"/>
        <v>0.05</v>
      </c>
      <c r="BX128" s="2">
        <f t="shared" si="248"/>
        <v>17948.333333333332</v>
      </c>
      <c r="BY128" s="2">
        <f t="shared" si="318"/>
        <v>148.33333333333212</v>
      </c>
      <c r="BZ128" s="2">
        <f t="shared" si="273"/>
        <v>22600</v>
      </c>
      <c r="CA128" s="8">
        <f t="shared" si="270"/>
        <v>4.2999999999999997E-2</v>
      </c>
      <c r="CB128" s="2">
        <f t="shared" si="249"/>
        <v>22761.966666666667</v>
      </c>
      <c r="CC128" s="2">
        <f t="shared" si="271"/>
        <v>452</v>
      </c>
      <c r="CD128" s="2">
        <f t="shared" si="285"/>
        <v>0</v>
      </c>
      <c r="CE128" s="2">
        <f t="shared" si="250"/>
        <v>0</v>
      </c>
      <c r="CF128" s="2">
        <f t="shared" si="251"/>
        <v>18.499999999929059</v>
      </c>
      <c r="CG128" s="1">
        <f t="shared" si="312"/>
        <v>0</v>
      </c>
      <c r="CH128" s="2">
        <f t="shared" si="286"/>
        <v>18.499999999929059</v>
      </c>
      <c r="CI128" s="1">
        <f t="shared" si="242"/>
        <v>0</v>
      </c>
      <c r="CJ128" s="2">
        <f t="shared" si="252"/>
        <v>18.499999999929059</v>
      </c>
      <c r="CK128" s="2">
        <f t="shared" si="253"/>
        <v>150409.24999999994</v>
      </c>
      <c r="CL128" s="2">
        <f t="shared" si="287"/>
        <v>0</v>
      </c>
      <c r="CM128" s="2">
        <f t="shared" si="216"/>
        <v>1274.8063299999994</v>
      </c>
      <c r="CN128" s="2">
        <f t="shared" si="288"/>
        <v>149134.44366999995</v>
      </c>
      <c r="CO128" s="2">
        <f t="shared" si="217"/>
        <v>2778.3333333333321</v>
      </c>
      <c r="CP128" s="2">
        <f t="shared" si="289"/>
        <v>9049.8741666666538</v>
      </c>
      <c r="CQ128" s="2">
        <f t="shared" si="290"/>
        <v>137306.23616999996</v>
      </c>
      <c r="CS128" s="5">
        <f t="shared" si="304"/>
        <v>1000</v>
      </c>
      <c r="CT128" s="2">
        <f t="shared" si="305"/>
        <v>100000</v>
      </c>
      <c r="CU128" s="2">
        <f t="shared" si="306"/>
        <v>100000</v>
      </c>
      <c r="CV128" s="2">
        <f t="shared" si="307"/>
        <v>153657.64733335812</v>
      </c>
      <c r="CW128" s="8">
        <f t="shared" si="291"/>
        <v>4.8000000000000001E-2</v>
      </c>
      <c r="CX128" s="2">
        <f t="shared" si="292"/>
        <v>154886.90851202499</v>
      </c>
      <c r="CY128" s="2" t="str">
        <f t="shared" si="293"/>
        <v>nie</v>
      </c>
      <c r="CZ128" s="2">
        <f t="shared" si="222"/>
        <v>0</v>
      </c>
      <c r="DA128" s="2">
        <f t="shared" si="223"/>
        <v>0</v>
      </c>
      <c r="DB128" s="2">
        <f t="shared" si="224"/>
        <v>154886.90851202499</v>
      </c>
      <c r="DC128" s="2">
        <f t="shared" si="294"/>
        <v>0</v>
      </c>
      <c r="DD128" s="2">
        <f t="shared" si="225"/>
        <v>1301.1740211775427</v>
      </c>
      <c r="DE128" s="2">
        <f t="shared" si="226"/>
        <v>153585.73449084745</v>
      </c>
      <c r="DF128" s="2">
        <f t="shared" si="295"/>
        <v>3000</v>
      </c>
      <c r="DG128" s="2">
        <f t="shared" si="296"/>
        <v>9858.5126172847486</v>
      </c>
      <c r="DH128" s="2">
        <f t="shared" si="227"/>
        <v>140727.2218735627</v>
      </c>
    </row>
    <row r="129" spans="2:112">
      <c r="B129" s="228"/>
      <c r="C129" s="1">
        <f t="shared" si="256"/>
        <v>92</v>
      </c>
      <c r="D129" s="2">
        <f t="shared" si="259"/>
        <v>139708.76424083582</v>
      </c>
      <c r="E129" s="2">
        <f t="shared" si="260"/>
        <v>130921.23226932442</v>
      </c>
      <c r="F129" s="2">
        <f t="shared" si="261"/>
        <v>139335.29766999994</v>
      </c>
      <c r="G129" s="2">
        <f t="shared" si="262"/>
        <v>129466.72266999996</v>
      </c>
      <c r="H129" s="2">
        <f t="shared" si="263"/>
        <v>143380.5243711872</v>
      </c>
      <c r="I129" s="2">
        <f t="shared" si="264"/>
        <v>132518.05440920504</v>
      </c>
      <c r="J129" s="2">
        <f t="shared" si="257"/>
        <v>130153.86675949099</v>
      </c>
      <c r="K129" s="2">
        <f t="shared" si="258"/>
        <v>123590.16094560562</v>
      </c>
      <c r="W129" s="1">
        <f t="shared" si="297"/>
        <v>111</v>
      </c>
      <c r="X129" s="2">
        <f t="shared" si="274"/>
        <v>129112.26574992218</v>
      </c>
      <c r="Y129" s="8">
        <f t="shared" si="310"/>
        <v>4.1300000000000003E-2</v>
      </c>
      <c r="Z129" s="5">
        <f t="shared" si="298"/>
        <v>1486</v>
      </c>
      <c r="AA129" s="2">
        <f t="shared" si="299"/>
        <v>148451.4</v>
      </c>
      <c r="AB129" s="2">
        <f t="shared" si="207"/>
        <v>148600</v>
      </c>
      <c r="AC129" s="2">
        <f t="shared" si="300"/>
        <v>148600</v>
      </c>
      <c r="AD129" s="8">
        <f t="shared" si="275"/>
        <v>4.65E-2</v>
      </c>
      <c r="AE129" s="2">
        <f t="shared" si="179"/>
        <v>150327.47500000001</v>
      </c>
      <c r="AF129" s="2" t="str">
        <f t="shared" si="276"/>
        <v>nie</v>
      </c>
      <c r="AG129" s="2">
        <f t="shared" si="277"/>
        <v>1486</v>
      </c>
      <c r="AH129" s="1">
        <f t="shared" si="233"/>
        <v>0</v>
      </c>
      <c r="AI129" s="1">
        <f t="shared" si="265"/>
        <v>1</v>
      </c>
      <c r="AJ129" s="1">
        <f t="shared" si="308"/>
        <v>1</v>
      </c>
      <c r="AK129" s="1">
        <f t="shared" si="254"/>
        <v>0</v>
      </c>
      <c r="AL129" s="2">
        <f t="shared" si="243"/>
        <v>0</v>
      </c>
      <c r="AM129" s="8">
        <f t="shared" si="313"/>
        <v>4.65E-2</v>
      </c>
      <c r="AN129" s="2">
        <f t="shared" si="244"/>
        <v>0</v>
      </c>
      <c r="AO129" s="2">
        <f t="shared" si="314"/>
        <v>0</v>
      </c>
      <c r="AP129" s="2">
        <f t="shared" si="272"/>
        <v>200</v>
      </c>
      <c r="AQ129" s="8">
        <f t="shared" si="266"/>
        <v>4.1300000000000003E-2</v>
      </c>
      <c r="AR129" s="2">
        <f t="shared" si="267"/>
        <v>202.065</v>
      </c>
      <c r="AS129" s="2">
        <f t="shared" si="268"/>
        <v>2</v>
      </c>
      <c r="AT129" s="2">
        <f t="shared" si="209"/>
        <v>0</v>
      </c>
      <c r="AU129" s="2">
        <f t="shared" si="245"/>
        <v>0</v>
      </c>
      <c r="AV129" s="2">
        <f t="shared" si="236"/>
        <v>56.360853477515676</v>
      </c>
      <c r="AW129" s="1">
        <f t="shared" si="311"/>
        <v>0</v>
      </c>
      <c r="AX129" s="2">
        <f t="shared" si="278"/>
        <v>56.360853477515676</v>
      </c>
      <c r="AY129" s="1">
        <f t="shared" si="237"/>
        <v>0</v>
      </c>
      <c r="AZ129" s="2">
        <f t="shared" si="210"/>
        <v>56.360853477515676</v>
      </c>
      <c r="BA129" s="2">
        <f t="shared" si="246"/>
        <v>150585.90085347753</v>
      </c>
      <c r="BB129" s="2">
        <f t="shared" si="279"/>
        <v>0</v>
      </c>
      <c r="BC129" s="2">
        <f t="shared" si="211"/>
        <v>1273.8597750865176</v>
      </c>
      <c r="BD129" s="2">
        <f t="shared" si="184"/>
        <v>149312.04107839102</v>
      </c>
      <c r="BE129" s="2">
        <f t="shared" si="212"/>
        <v>1488</v>
      </c>
      <c r="BF129" s="2">
        <f t="shared" si="185"/>
        <v>9328.6011621607322</v>
      </c>
      <c r="BG129" s="2">
        <f t="shared" si="186"/>
        <v>138495.43991623027</v>
      </c>
      <c r="BI129" s="8">
        <f t="shared" si="315"/>
        <v>2.8000000000000001E-2</v>
      </c>
      <c r="BJ129" s="5">
        <f t="shared" si="301"/>
        <v>1089</v>
      </c>
      <c r="BK129" s="2">
        <f t="shared" si="302"/>
        <v>108791.1</v>
      </c>
      <c r="BL129" s="2">
        <f t="shared" si="303"/>
        <v>108900</v>
      </c>
      <c r="BM129" s="2">
        <f t="shared" si="280"/>
        <v>108900</v>
      </c>
      <c r="BN129" s="8">
        <f t="shared" si="281"/>
        <v>4.2999999999999997E-2</v>
      </c>
      <c r="BO129" s="2">
        <f t="shared" si="282"/>
        <v>110070.675</v>
      </c>
      <c r="BP129" s="2" t="str">
        <f t="shared" si="283"/>
        <v>nie</v>
      </c>
      <c r="BQ129" s="2">
        <f t="shared" si="284"/>
        <v>2178</v>
      </c>
      <c r="BR129" s="1">
        <f t="shared" si="316"/>
        <v>178</v>
      </c>
      <c r="BS129" s="1">
        <f t="shared" si="269"/>
        <v>23</v>
      </c>
      <c r="BT129" s="1">
        <f t="shared" si="309"/>
        <v>104</v>
      </c>
      <c r="BU129" s="1">
        <f t="shared" si="255"/>
        <v>99</v>
      </c>
      <c r="BV129" s="2">
        <f t="shared" si="247"/>
        <v>17800</v>
      </c>
      <c r="BW129" s="8">
        <f t="shared" si="317"/>
        <v>0.05</v>
      </c>
      <c r="BX129" s="2">
        <f t="shared" si="248"/>
        <v>18022.5</v>
      </c>
      <c r="BY129" s="2">
        <f t="shared" si="318"/>
        <v>222.5</v>
      </c>
      <c r="BZ129" s="2">
        <f t="shared" si="273"/>
        <v>22600</v>
      </c>
      <c r="CA129" s="8">
        <f t="shared" si="270"/>
        <v>4.2999999999999997E-2</v>
      </c>
      <c r="CB129" s="2">
        <f t="shared" si="249"/>
        <v>22842.95</v>
      </c>
      <c r="CC129" s="2">
        <f t="shared" si="271"/>
        <v>452</v>
      </c>
      <c r="CD129" s="2">
        <f t="shared" si="285"/>
        <v>0</v>
      </c>
      <c r="CE129" s="2">
        <f t="shared" si="250"/>
        <v>0</v>
      </c>
      <c r="CF129" s="2">
        <f t="shared" si="251"/>
        <v>18.499999999929059</v>
      </c>
      <c r="CG129" s="1">
        <f t="shared" si="312"/>
        <v>0</v>
      </c>
      <c r="CH129" s="2">
        <f t="shared" si="286"/>
        <v>18.499999999929059</v>
      </c>
      <c r="CI129" s="1">
        <f t="shared" si="242"/>
        <v>0</v>
      </c>
      <c r="CJ129" s="2">
        <f t="shared" si="252"/>
        <v>18.499999999929059</v>
      </c>
      <c r="CK129" s="2">
        <f t="shared" si="253"/>
        <v>150954.62499999994</v>
      </c>
      <c r="CL129" s="2">
        <f t="shared" si="287"/>
        <v>0</v>
      </c>
      <c r="CM129" s="2">
        <f t="shared" si="216"/>
        <v>1274.8063299999994</v>
      </c>
      <c r="CN129" s="2">
        <f t="shared" si="288"/>
        <v>149679.81866999995</v>
      </c>
      <c r="CO129" s="2">
        <f t="shared" si="217"/>
        <v>2852.5</v>
      </c>
      <c r="CP129" s="2">
        <f t="shared" si="289"/>
        <v>9139.4037499999886</v>
      </c>
      <c r="CQ129" s="2">
        <f t="shared" si="290"/>
        <v>137687.91491999995</v>
      </c>
      <c r="CS129" s="5">
        <f t="shared" si="304"/>
        <v>1000</v>
      </c>
      <c r="CT129" s="2">
        <f t="shared" si="305"/>
        <v>100000</v>
      </c>
      <c r="CU129" s="2">
        <f t="shared" si="306"/>
        <v>100000</v>
      </c>
      <c r="CV129" s="2">
        <f t="shared" si="307"/>
        <v>153657.64733335812</v>
      </c>
      <c r="CW129" s="8">
        <f t="shared" si="291"/>
        <v>4.8000000000000001E-2</v>
      </c>
      <c r="CX129" s="2">
        <f t="shared" si="292"/>
        <v>155501.53910135842</v>
      </c>
      <c r="CY129" s="2" t="str">
        <f t="shared" si="293"/>
        <v>nie</v>
      </c>
      <c r="CZ129" s="2">
        <f t="shared" si="222"/>
        <v>0</v>
      </c>
      <c r="DA129" s="2">
        <f t="shared" si="223"/>
        <v>0</v>
      </c>
      <c r="DB129" s="2">
        <f t="shared" si="224"/>
        <v>155501.53910135842</v>
      </c>
      <c r="DC129" s="2">
        <f t="shared" si="294"/>
        <v>0</v>
      </c>
      <c r="DD129" s="2">
        <f t="shared" si="225"/>
        <v>1301.1740211775427</v>
      </c>
      <c r="DE129" s="2">
        <f t="shared" si="226"/>
        <v>154200.36508018087</v>
      </c>
      <c r="DF129" s="2">
        <f t="shared" si="295"/>
        <v>3000</v>
      </c>
      <c r="DG129" s="2">
        <f t="shared" si="296"/>
        <v>9975.2924292580992</v>
      </c>
      <c r="DH129" s="2">
        <f t="shared" si="227"/>
        <v>141225.07265092278</v>
      </c>
    </row>
    <row r="130" spans="2:112">
      <c r="B130" s="228"/>
      <c r="C130" s="1">
        <f t="shared" si="256"/>
        <v>93</v>
      </c>
      <c r="D130" s="2">
        <f t="shared" si="259"/>
        <v>140237.48132000249</v>
      </c>
      <c r="E130" s="2">
        <f t="shared" si="260"/>
        <v>131349.49310344944</v>
      </c>
      <c r="F130" s="2">
        <f t="shared" si="261"/>
        <v>139829.77266999995</v>
      </c>
      <c r="G130" s="2">
        <f t="shared" si="262"/>
        <v>129867.24741999996</v>
      </c>
      <c r="H130" s="2">
        <f t="shared" si="263"/>
        <v>143940.14228146835</v>
      </c>
      <c r="I130" s="2">
        <f t="shared" si="264"/>
        <v>132971.34491653275</v>
      </c>
      <c r="J130" s="2">
        <f t="shared" si="257"/>
        <v>130527.24566475728</v>
      </c>
      <c r="K130" s="2">
        <f t="shared" si="258"/>
        <v>123873.25359175065</v>
      </c>
      <c r="W130" s="1">
        <f t="shared" si="297"/>
        <v>112</v>
      </c>
      <c r="X130" s="2">
        <f t="shared" si="274"/>
        <v>129411.43352888596</v>
      </c>
      <c r="Y130" s="8">
        <f t="shared" si="310"/>
        <v>4.1300000000000003E-2</v>
      </c>
      <c r="Z130" s="5">
        <f t="shared" si="298"/>
        <v>1486</v>
      </c>
      <c r="AA130" s="2">
        <f t="shared" si="299"/>
        <v>148451.4</v>
      </c>
      <c r="AB130" s="2">
        <f t="shared" si="207"/>
        <v>148600</v>
      </c>
      <c r="AC130" s="2">
        <f t="shared" si="300"/>
        <v>148600</v>
      </c>
      <c r="AD130" s="8">
        <f t="shared" si="275"/>
        <v>4.65E-2</v>
      </c>
      <c r="AE130" s="2">
        <f t="shared" si="179"/>
        <v>150903.30000000002</v>
      </c>
      <c r="AF130" s="2" t="str">
        <f t="shared" si="276"/>
        <v>nie</v>
      </c>
      <c r="AG130" s="2">
        <f t="shared" si="277"/>
        <v>1486</v>
      </c>
      <c r="AH130" s="1">
        <f t="shared" si="233"/>
        <v>0</v>
      </c>
      <c r="AI130" s="1">
        <f t="shared" si="265"/>
        <v>1</v>
      </c>
      <c r="AJ130" s="1">
        <f t="shared" si="308"/>
        <v>1</v>
      </c>
      <c r="AK130" s="1">
        <f t="shared" si="254"/>
        <v>0</v>
      </c>
      <c r="AL130" s="2">
        <f t="shared" si="243"/>
        <v>0</v>
      </c>
      <c r="AM130" s="8">
        <f t="shared" si="313"/>
        <v>4.65E-2</v>
      </c>
      <c r="AN130" s="2">
        <f t="shared" si="244"/>
        <v>0</v>
      </c>
      <c r="AO130" s="2">
        <f t="shared" si="314"/>
        <v>0</v>
      </c>
      <c r="AP130" s="2">
        <f t="shared" si="272"/>
        <v>200</v>
      </c>
      <c r="AQ130" s="8">
        <f t="shared" si="266"/>
        <v>4.1300000000000003E-2</v>
      </c>
      <c r="AR130" s="2">
        <f t="shared" si="267"/>
        <v>202.75333333333333</v>
      </c>
      <c r="AS130" s="2">
        <f t="shared" si="268"/>
        <v>2</v>
      </c>
      <c r="AT130" s="2">
        <f t="shared" si="209"/>
        <v>0</v>
      </c>
      <c r="AU130" s="2">
        <f t="shared" si="245"/>
        <v>0</v>
      </c>
      <c r="AV130" s="2">
        <f t="shared" si="236"/>
        <v>56.360853477515676</v>
      </c>
      <c r="AW130" s="1">
        <f t="shared" si="311"/>
        <v>0</v>
      </c>
      <c r="AX130" s="2">
        <f t="shared" si="278"/>
        <v>56.360853477515676</v>
      </c>
      <c r="AY130" s="1">
        <f t="shared" si="237"/>
        <v>0</v>
      </c>
      <c r="AZ130" s="2">
        <f t="shared" si="210"/>
        <v>56.360853477515676</v>
      </c>
      <c r="BA130" s="2">
        <f t="shared" si="246"/>
        <v>151162.41418681087</v>
      </c>
      <c r="BB130" s="2">
        <f t="shared" si="279"/>
        <v>0</v>
      </c>
      <c r="BC130" s="2">
        <f t="shared" si="211"/>
        <v>1273.8597750865176</v>
      </c>
      <c r="BD130" s="2">
        <f t="shared" si="184"/>
        <v>149888.55441172436</v>
      </c>
      <c r="BE130" s="2">
        <f t="shared" si="212"/>
        <v>1488</v>
      </c>
      <c r="BF130" s="2">
        <f t="shared" si="185"/>
        <v>9438.1386954940663</v>
      </c>
      <c r="BG130" s="2">
        <f t="shared" si="186"/>
        <v>138962.41571623029</v>
      </c>
      <c r="BI130" s="8">
        <f t="shared" si="315"/>
        <v>2.8000000000000001E-2</v>
      </c>
      <c r="BJ130" s="5">
        <f t="shared" si="301"/>
        <v>1089</v>
      </c>
      <c r="BK130" s="2">
        <f t="shared" si="302"/>
        <v>108791.1</v>
      </c>
      <c r="BL130" s="2">
        <f t="shared" si="303"/>
        <v>108900</v>
      </c>
      <c r="BM130" s="2">
        <f t="shared" si="280"/>
        <v>108900</v>
      </c>
      <c r="BN130" s="8">
        <f t="shared" si="281"/>
        <v>4.2999999999999997E-2</v>
      </c>
      <c r="BO130" s="2">
        <f t="shared" si="282"/>
        <v>110460.9</v>
      </c>
      <c r="BP130" s="2" t="str">
        <f t="shared" si="283"/>
        <v>nie</v>
      </c>
      <c r="BQ130" s="2">
        <f t="shared" si="284"/>
        <v>2178</v>
      </c>
      <c r="BR130" s="1">
        <f t="shared" si="316"/>
        <v>178</v>
      </c>
      <c r="BS130" s="1">
        <f t="shared" si="269"/>
        <v>23</v>
      </c>
      <c r="BT130" s="1">
        <f t="shared" si="309"/>
        <v>104</v>
      </c>
      <c r="BU130" s="1">
        <f t="shared" si="255"/>
        <v>99</v>
      </c>
      <c r="BV130" s="2">
        <f t="shared" si="247"/>
        <v>17800</v>
      </c>
      <c r="BW130" s="8">
        <f t="shared" si="317"/>
        <v>0.05</v>
      </c>
      <c r="BX130" s="2">
        <f t="shared" si="248"/>
        <v>18096.666666666664</v>
      </c>
      <c r="BY130" s="2">
        <f t="shared" si="318"/>
        <v>296.66666666666424</v>
      </c>
      <c r="BZ130" s="2">
        <f t="shared" si="273"/>
        <v>22600</v>
      </c>
      <c r="CA130" s="8">
        <f t="shared" si="270"/>
        <v>4.2999999999999997E-2</v>
      </c>
      <c r="CB130" s="2">
        <f t="shared" si="249"/>
        <v>22923.933333333334</v>
      </c>
      <c r="CC130" s="2">
        <f t="shared" si="271"/>
        <v>452</v>
      </c>
      <c r="CD130" s="2">
        <f t="shared" si="285"/>
        <v>0</v>
      </c>
      <c r="CE130" s="2">
        <f t="shared" si="250"/>
        <v>0</v>
      </c>
      <c r="CF130" s="2">
        <f t="shared" si="251"/>
        <v>18.499999999929059</v>
      </c>
      <c r="CG130" s="1">
        <f t="shared" si="312"/>
        <v>0</v>
      </c>
      <c r="CH130" s="2">
        <f t="shared" si="286"/>
        <v>18.499999999929059</v>
      </c>
      <c r="CI130" s="1">
        <f t="shared" si="242"/>
        <v>0</v>
      </c>
      <c r="CJ130" s="2">
        <f t="shared" si="252"/>
        <v>18.499999999929059</v>
      </c>
      <c r="CK130" s="2">
        <f t="shared" si="253"/>
        <v>151499.99999999994</v>
      </c>
      <c r="CL130" s="2">
        <f t="shared" si="287"/>
        <v>0</v>
      </c>
      <c r="CM130" s="2">
        <f t="shared" si="216"/>
        <v>1274.8063299999994</v>
      </c>
      <c r="CN130" s="2">
        <f t="shared" si="288"/>
        <v>150225.19366999995</v>
      </c>
      <c r="CO130" s="2">
        <f t="shared" si="217"/>
        <v>2926.6666666666642</v>
      </c>
      <c r="CP130" s="2">
        <f t="shared" si="289"/>
        <v>9228.9333333333234</v>
      </c>
      <c r="CQ130" s="2">
        <f t="shared" si="290"/>
        <v>138069.59366999997</v>
      </c>
      <c r="CS130" s="5">
        <f t="shared" si="304"/>
        <v>1000</v>
      </c>
      <c r="CT130" s="2">
        <f t="shared" si="305"/>
        <v>100000</v>
      </c>
      <c r="CU130" s="2">
        <f t="shared" si="306"/>
        <v>100000</v>
      </c>
      <c r="CV130" s="2">
        <f t="shared" si="307"/>
        <v>153657.64733335812</v>
      </c>
      <c r="CW130" s="8">
        <f t="shared" si="291"/>
        <v>4.8000000000000001E-2</v>
      </c>
      <c r="CX130" s="2">
        <f t="shared" si="292"/>
        <v>156116.16969069187</v>
      </c>
      <c r="CY130" s="2" t="str">
        <f t="shared" si="293"/>
        <v>nie</v>
      </c>
      <c r="CZ130" s="2">
        <f t="shared" si="222"/>
        <v>0</v>
      </c>
      <c r="DA130" s="2">
        <f t="shared" si="223"/>
        <v>0</v>
      </c>
      <c r="DB130" s="2">
        <f t="shared" si="224"/>
        <v>156116.16969069187</v>
      </c>
      <c r="DC130" s="2">
        <f t="shared" si="294"/>
        <v>0</v>
      </c>
      <c r="DD130" s="2">
        <f t="shared" si="225"/>
        <v>1301.1740211775427</v>
      </c>
      <c r="DE130" s="2">
        <f t="shared" si="226"/>
        <v>154814.99566951432</v>
      </c>
      <c r="DF130" s="2">
        <f t="shared" si="295"/>
        <v>3000</v>
      </c>
      <c r="DG130" s="2">
        <f t="shared" si="296"/>
        <v>10092.072241231455</v>
      </c>
      <c r="DH130" s="2">
        <f t="shared" si="227"/>
        <v>141722.92342828287</v>
      </c>
    </row>
    <row r="131" spans="2:112">
      <c r="B131" s="228"/>
      <c r="C131" s="1">
        <f t="shared" si="256"/>
        <v>94</v>
      </c>
      <c r="D131" s="2">
        <f t="shared" si="259"/>
        <v>140766.1983991692</v>
      </c>
      <c r="E131" s="2">
        <f t="shared" si="260"/>
        <v>131777.75393757445</v>
      </c>
      <c r="F131" s="2">
        <f t="shared" si="261"/>
        <v>140324.24766999995</v>
      </c>
      <c r="G131" s="2">
        <f t="shared" si="262"/>
        <v>130267.77216999997</v>
      </c>
      <c r="H131" s="2">
        <f t="shared" si="263"/>
        <v>144499.76019174952</v>
      </c>
      <c r="I131" s="2">
        <f t="shared" si="264"/>
        <v>133424.63542386051</v>
      </c>
      <c r="J131" s="2">
        <f t="shared" si="257"/>
        <v>130901.69570075805</v>
      </c>
      <c r="K131" s="2">
        <f t="shared" si="258"/>
        <v>124156.34623789572</v>
      </c>
      <c r="W131" s="1">
        <f t="shared" si="297"/>
        <v>113</v>
      </c>
      <c r="X131" s="2">
        <f t="shared" si="274"/>
        <v>129710.60130784969</v>
      </c>
      <c r="Y131" s="8">
        <f t="shared" si="310"/>
        <v>4.1300000000000003E-2</v>
      </c>
      <c r="Z131" s="5">
        <f t="shared" si="298"/>
        <v>1486</v>
      </c>
      <c r="AA131" s="2">
        <f t="shared" si="299"/>
        <v>148451.4</v>
      </c>
      <c r="AB131" s="2">
        <f t="shared" si="207"/>
        <v>148600</v>
      </c>
      <c r="AC131" s="2">
        <f t="shared" si="300"/>
        <v>148600</v>
      </c>
      <c r="AD131" s="8">
        <f t="shared" si="275"/>
        <v>4.65E-2</v>
      </c>
      <c r="AE131" s="2">
        <f t="shared" si="179"/>
        <v>151479.125</v>
      </c>
      <c r="AF131" s="2" t="str">
        <f t="shared" si="276"/>
        <v>nie</v>
      </c>
      <c r="AG131" s="2">
        <f t="shared" si="277"/>
        <v>1486</v>
      </c>
      <c r="AH131" s="1">
        <f t="shared" si="233"/>
        <v>0</v>
      </c>
      <c r="AI131" s="1">
        <f t="shared" si="265"/>
        <v>1</v>
      </c>
      <c r="AJ131" s="1">
        <f t="shared" si="308"/>
        <v>1</v>
      </c>
      <c r="AK131" s="1">
        <f t="shared" ref="AK131:AK162" si="319">IF(zapadalnosc_TOS/12&gt;=AK$18,AJ119,0)</f>
        <v>0</v>
      </c>
      <c r="AL131" s="2">
        <f t="shared" si="243"/>
        <v>0</v>
      </c>
      <c r="AM131" s="8">
        <f t="shared" si="313"/>
        <v>4.65E-2</v>
      </c>
      <c r="AN131" s="2">
        <f t="shared" si="244"/>
        <v>0</v>
      </c>
      <c r="AO131" s="2">
        <f t="shared" si="314"/>
        <v>0</v>
      </c>
      <c r="AP131" s="2">
        <f t="shared" si="272"/>
        <v>200</v>
      </c>
      <c r="AQ131" s="8">
        <f t="shared" si="266"/>
        <v>4.1300000000000003E-2</v>
      </c>
      <c r="AR131" s="2">
        <f t="shared" si="267"/>
        <v>203.44166666666666</v>
      </c>
      <c r="AS131" s="2">
        <f t="shared" si="268"/>
        <v>2</v>
      </c>
      <c r="AT131" s="2">
        <f t="shared" si="209"/>
        <v>0</v>
      </c>
      <c r="AU131" s="2">
        <f t="shared" si="245"/>
        <v>0</v>
      </c>
      <c r="AV131" s="2">
        <f t="shared" si="236"/>
        <v>56.360853477515676</v>
      </c>
      <c r="AW131" s="1">
        <f t="shared" si="311"/>
        <v>0</v>
      </c>
      <c r="AX131" s="2">
        <f t="shared" si="278"/>
        <v>56.360853477515676</v>
      </c>
      <c r="AY131" s="1">
        <f t="shared" si="237"/>
        <v>0</v>
      </c>
      <c r="AZ131" s="2">
        <f t="shared" si="210"/>
        <v>56.360853477515676</v>
      </c>
      <c r="BA131" s="2">
        <f t="shared" si="246"/>
        <v>151738.92752014421</v>
      </c>
      <c r="BB131" s="2">
        <f t="shared" si="279"/>
        <v>0</v>
      </c>
      <c r="BC131" s="2">
        <f t="shared" si="211"/>
        <v>1273.8597750865176</v>
      </c>
      <c r="BD131" s="2">
        <f t="shared" si="184"/>
        <v>150465.06774505769</v>
      </c>
      <c r="BE131" s="2">
        <f t="shared" si="212"/>
        <v>1488</v>
      </c>
      <c r="BF131" s="2">
        <f t="shared" si="185"/>
        <v>9547.6762288274003</v>
      </c>
      <c r="BG131" s="2">
        <f t="shared" si="186"/>
        <v>139429.3915162303</v>
      </c>
      <c r="BI131" s="8">
        <f t="shared" si="315"/>
        <v>2.8000000000000001E-2</v>
      </c>
      <c r="BJ131" s="5">
        <f t="shared" si="301"/>
        <v>1089</v>
      </c>
      <c r="BK131" s="2">
        <f t="shared" si="302"/>
        <v>108791.1</v>
      </c>
      <c r="BL131" s="2">
        <f t="shared" si="303"/>
        <v>108900</v>
      </c>
      <c r="BM131" s="2">
        <f t="shared" si="280"/>
        <v>108900</v>
      </c>
      <c r="BN131" s="8">
        <f t="shared" si="281"/>
        <v>4.2999999999999997E-2</v>
      </c>
      <c r="BO131" s="2">
        <f t="shared" si="282"/>
        <v>110851.12499999999</v>
      </c>
      <c r="BP131" s="2" t="str">
        <f t="shared" si="283"/>
        <v>nie</v>
      </c>
      <c r="BQ131" s="2">
        <f t="shared" si="284"/>
        <v>2178</v>
      </c>
      <c r="BR131" s="1">
        <f t="shared" si="316"/>
        <v>178</v>
      </c>
      <c r="BS131" s="1">
        <f t="shared" si="269"/>
        <v>23</v>
      </c>
      <c r="BT131" s="1">
        <f t="shared" si="309"/>
        <v>104</v>
      </c>
      <c r="BU131" s="1">
        <f t="shared" ref="BU131:BU162" si="320">IF(zapadalnosc_COI/12&gt;=BU$18,BT119,0)</f>
        <v>99</v>
      </c>
      <c r="BV131" s="2">
        <f t="shared" si="247"/>
        <v>17800</v>
      </c>
      <c r="BW131" s="8">
        <f t="shared" si="317"/>
        <v>0.05</v>
      </c>
      <c r="BX131" s="2">
        <f t="shared" si="248"/>
        <v>18170.833333333332</v>
      </c>
      <c r="BY131" s="2">
        <f t="shared" si="318"/>
        <v>356</v>
      </c>
      <c r="BZ131" s="2">
        <f t="shared" si="273"/>
        <v>22600</v>
      </c>
      <c r="CA131" s="8">
        <f t="shared" si="270"/>
        <v>4.2999999999999997E-2</v>
      </c>
      <c r="CB131" s="2">
        <f t="shared" si="249"/>
        <v>23004.916666666664</v>
      </c>
      <c r="CC131" s="2">
        <f t="shared" si="271"/>
        <v>452</v>
      </c>
      <c r="CD131" s="2">
        <f t="shared" si="285"/>
        <v>0</v>
      </c>
      <c r="CE131" s="2">
        <f t="shared" si="250"/>
        <v>0</v>
      </c>
      <c r="CF131" s="2">
        <f t="shared" si="251"/>
        <v>18.499999999929059</v>
      </c>
      <c r="CG131" s="1">
        <f t="shared" si="312"/>
        <v>0</v>
      </c>
      <c r="CH131" s="2">
        <f t="shared" si="286"/>
        <v>18.499999999929059</v>
      </c>
      <c r="CI131" s="1">
        <f t="shared" si="242"/>
        <v>0</v>
      </c>
      <c r="CJ131" s="2">
        <f t="shared" si="252"/>
        <v>18.499999999929059</v>
      </c>
      <c r="CK131" s="2">
        <f t="shared" si="253"/>
        <v>152045.37499999991</v>
      </c>
      <c r="CL131" s="2">
        <f t="shared" si="287"/>
        <v>0</v>
      </c>
      <c r="CM131" s="2">
        <f t="shared" si="216"/>
        <v>1274.8063299999994</v>
      </c>
      <c r="CN131" s="2">
        <f t="shared" si="288"/>
        <v>150770.56866999992</v>
      </c>
      <c r="CO131" s="2">
        <f t="shared" si="217"/>
        <v>2986</v>
      </c>
      <c r="CP131" s="2">
        <f t="shared" si="289"/>
        <v>9321.2812499999836</v>
      </c>
      <c r="CQ131" s="2">
        <f t="shared" si="290"/>
        <v>138463.28741999995</v>
      </c>
      <c r="CS131" s="5">
        <f t="shared" si="304"/>
        <v>1000</v>
      </c>
      <c r="CT131" s="2">
        <f t="shared" si="305"/>
        <v>100000</v>
      </c>
      <c r="CU131" s="2">
        <f t="shared" si="306"/>
        <v>100000</v>
      </c>
      <c r="CV131" s="2">
        <f t="shared" si="307"/>
        <v>153657.64733335812</v>
      </c>
      <c r="CW131" s="8">
        <f t="shared" si="291"/>
        <v>4.8000000000000001E-2</v>
      </c>
      <c r="CX131" s="2">
        <f t="shared" si="292"/>
        <v>156730.80028002529</v>
      </c>
      <c r="CY131" s="2" t="str">
        <f t="shared" si="293"/>
        <v>nie</v>
      </c>
      <c r="CZ131" s="2">
        <f t="shared" si="222"/>
        <v>0</v>
      </c>
      <c r="DA131" s="2">
        <f t="shared" si="223"/>
        <v>0</v>
      </c>
      <c r="DB131" s="2">
        <f t="shared" si="224"/>
        <v>156730.80028002529</v>
      </c>
      <c r="DC131" s="2">
        <f t="shared" si="294"/>
        <v>0</v>
      </c>
      <c r="DD131" s="2">
        <f t="shared" si="225"/>
        <v>1301.1740211775427</v>
      </c>
      <c r="DE131" s="2">
        <f t="shared" si="226"/>
        <v>155429.62625884774</v>
      </c>
      <c r="DF131" s="2">
        <f t="shared" si="295"/>
        <v>3000</v>
      </c>
      <c r="DG131" s="2">
        <f t="shared" si="296"/>
        <v>10208.852053204804</v>
      </c>
      <c r="DH131" s="2">
        <f t="shared" si="227"/>
        <v>142220.77420564293</v>
      </c>
    </row>
    <row r="132" spans="2:112">
      <c r="B132" s="229"/>
      <c r="C132" s="1">
        <f t="shared" si="256"/>
        <v>95</v>
      </c>
      <c r="D132" s="2">
        <f t="shared" si="259"/>
        <v>141294.91547833584</v>
      </c>
      <c r="E132" s="2">
        <f t="shared" si="260"/>
        <v>132206.01477169944</v>
      </c>
      <c r="F132" s="2">
        <f t="shared" si="261"/>
        <v>140818.72266999996</v>
      </c>
      <c r="G132" s="2">
        <f t="shared" si="262"/>
        <v>130668.29691999996</v>
      </c>
      <c r="H132" s="2">
        <f t="shared" si="263"/>
        <v>145059.37810203066</v>
      </c>
      <c r="I132" s="2">
        <f t="shared" si="264"/>
        <v>133877.92593118825</v>
      </c>
      <c r="J132" s="2">
        <f t="shared" si="257"/>
        <v>131277.2199402996</v>
      </c>
      <c r="K132" s="2">
        <f t="shared" si="258"/>
        <v>124439.43888404075</v>
      </c>
      <c r="W132" s="1">
        <f t="shared" si="297"/>
        <v>114</v>
      </c>
      <c r="X132" s="2">
        <f t="shared" si="274"/>
        <v>130009.76908681342</v>
      </c>
      <c r="Y132" s="8">
        <f t="shared" si="310"/>
        <v>4.1300000000000003E-2</v>
      </c>
      <c r="Z132" s="5">
        <f t="shared" si="298"/>
        <v>1486</v>
      </c>
      <c r="AA132" s="2">
        <f t="shared" si="299"/>
        <v>148451.4</v>
      </c>
      <c r="AB132" s="2">
        <f t="shared" si="207"/>
        <v>148600</v>
      </c>
      <c r="AC132" s="2">
        <f t="shared" si="300"/>
        <v>148600</v>
      </c>
      <c r="AD132" s="8">
        <f t="shared" si="275"/>
        <v>4.65E-2</v>
      </c>
      <c r="AE132" s="2">
        <f t="shared" si="179"/>
        <v>152054.95000000001</v>
      </c>
      <c r="AF132" s="2" t="str">
        <f t="shared" si="276"/>
        <v>nie</v>
      </c>
      <c r="AG132" s="2">
        <f t="shared" si="277"/>
        <v>1486</v>
      </c>
      <c r="AH132" s="1">
        <f t="shared" si="233"/>
        <v>0</v>
      </c>
      <c r="AI132" s="1">
        <f t="shared" si="265"/>
        <v>1</v>
      </c>
      <c r="AJ132" s="1">
        <f t="shared" si="308"/>
        <v>1</v>
      </c>
      <c r="AK132" s="1">
        <f t="shared" si="319"/>
        <v>0</v>
      </c>
      <c r="AL132" s="2">
        <f t="shared" si="243"/>
        <v>0</v>
      </c>
      <c r="AM132" s="8">
        <f t="shared" si="313"/>
        <v>4.65E-2</v>
      </c>
      <c r="AN132" s="2">
        <f t="shared" si="244"/>
        <v>0</v>
      </c>
      <c r="AO132" s="2">
        <f t="shared" si="314"/>
        <v>0</v>
      </c>
      <c r="AP132" s="2">
        <f t="shared" si="272"/>
        <v>200</v>
      </c>
      <c r="AQ132" s="8">
        <f t="shared" si="266"/>
        <v>4.1300000000000003E-2</v>
      </c>
      <c r="AR132" s="2">
        <f t="shared" si="267"/>
        <v>204.13000000000002</v>
      </c>
      <c r="AS132" s="2">
        <f t="shared" si="268"/>
        <v>2</v>
      </c>
      <c r="AT132" s="2">
        <f t="shared" si="209"/>
        <v>0</v>
      </c>
      <c r="AU132" s="2">
        <f t="shared" si="245"/>
        <v>0</v>
      </c>
      <c r="AV132" s="2">
        <f t="shared" si="236"/>
        <v>56.360853477515676</v>
      </c>
      <c r="AW132" s="1">
        <f t="shared" si="311"/>
        <v>0</v>
      </c>
      <c r="AX132" s="2">
        <f t="shared" si="278"/>
        <v>56.360853477515676</v>
      </c>
      <c r="AY132" s="1">
        <f t="shared" si="237"/>
        <v>0</v>
      </c>
      <c r="AZ132" s="2">
        <f t="shared" si="210"/>
        <v>56.360853477515676</v>
      </c>
      <c r="BA132" s="2">
        <f t="shared" si="246"/>
        <v>152315.44085347754</v>
      </c>
      <c r="BB132" s="2">
        <f t="shared" si="279"/>
        <v>0</v>
      </c>
      <c r="BC132" s="2">
        <f t="shared" si="211"/>
        <v>1273.8597750865176</v>
      </c>
      <c r="BD132" s="2">
        <f t="shared" si="184"/>
        <v>151041.58107839103</v>
      </c>
      <c r="BE132" s="2">
        <f t="shared" si="212"/>
        <v>1488</v>
      </c>
      <c r="BF132" s="2">
        <f t="shared" si="185"/>
        <v>9657.2137621607326</v>
      </c>
      <c r="BG132" s="2">
        <f t="shared" si="186"/>
        <v>139896.36731623029</v>
      </c>
      <c r="BI132" s="8">
        <f t="shared" si="315"/>
        <v>2.8000000000000001E-2</v>
      </c>
      <c r="BJ132" s="5">
        <f t="shared" si="301"/>
        <v>1089</v>
      </c>
      <c r="BK132" s="2">
        <f t="shared" si="302"/>
        <v>108791.1</v>
      </c>
      <c r="BL132" s="2">
        <f t="shared" si="303"/>
        <v>108900</v>
      </c>
      <c r="BM132" s="2">
        <f t="shared" si="280"/>
        <v>108900</v>
      </c>
      <c r="BN132" s="8">
        <f t="shared" si="281"/>
        <v>4.2999999999999997E-2</v>
      </c>
      <c r="BO132" s="2">
        <f t="shared" si="282"/>
        <v>111241.35</v>
      </c>
      <c r="BP132" s="2" t="str">
        <f t="shared" si="283"/>
        <v>nie</v>
      </c>
      <c r="BQ132" s="2">
        <f t="shared" si="284"/>
        <v>2178</v>
      </c>
      <c r="BR132" s="1">
        <f t="shared" si="316"/>
        <v>178</v>
      </c>
      <c r="BS132" s="1">
        <f t="shared" si="269"/>
        <v>23</v>
      </c>
      <c r="BT132" s="1">
        <f t="shared" si="309"/>
        <v>104</v>
      </c>
      <c r="BU132" s="1">
        <f t="shared" si="320"/>
        <v>99</v>
      </c>
      <c r="BV132" s="2">
        <f t="shared" si="247"/>
        <v>17800</v>
      </c>
      <c r="BW132" s="8">
        <f t="shared" si="317"/>
        <v>0.05</v>
      </c>
      <c r="BX132" s="2">
        <f t="shared" si="248"/>
        <v>18245</v>
      </c>
      <c r="BY132" s="2">
        <f t="shared" si="318"/>
        <v>356</v>
      </c>
      <c r="BZ132" s="2">
        <f t="shared" si="273"/>
        <v>22600</v>
      </c>
      <c r="CA132" s="8">
        <f t="shared" si="270"/>
        <v>4.2999999999999997E-2</v>
      </c>
      <c r="CB132" s="2">
        <f t="shared" si="249"/>
        <v>23085.9</v>
      </c>
      <c r="CC132" s="2">
        <f t="shared" si="271"/>
        <v>452</v>
      </c>
      <c r="CD132" s="2">
        <f t="shared" si="285"/>
        <v>0</v>
      </c>
      <c r="CE132" s="2">
        <f t="shared" si="250"/>
        <v>0</v>
      </c>
      <c r="CF132" s="2">
        <f t="shared" si="251"/>
        <v>18.499999999929059</v>
      </c>
      <c r="CG132" s="1">
        <f t="shared" si="312"/>
        <v>0</v>
      </c>
      <c r="CH132" s="2">
        <f t="shared" si="286"/>
        <v>18.499999999929059</v>
      </c>
      <c r="CI132" s="1">
        <f t="shared" si="242"/>
        <v>0</v>
      </c>
      <c r="CJ132" s="2">
        <f t="shared" si="252"/>
        <v>18.499999999929059</v>
      </c>
      <c r="CK132" s="2">
        <f t="shared" si="253"/>
        <v>152590.74999999994</v>
      </c>
      <c r="CL132" s="2">
        <f t="shared" si="287"/>
        <v>0</v>
      </c>
      <c r="CM132" s="2">
        <f t="shared" si="216"/>
        <v>1274.8063299999994</v>
      </c>
      <c r="CN132" s="2">
        <f t="shared" si="288"/>
        <v>151315.94366999995</v>
      </c>
      <c r="CO132" s="2">
        <f t="shared" si="217"/>
        <v>2986</v>
      </c>
      <c r="CP132" s="2">
        <f t="shared" si="289"/>
        <v>9424.9024999999892</v>
      </c>
      <c r="CQ132" s="2">
        <f t="shared" si="290"/>
        <v>138905.04116999995</v>
      </c>
      <c r="CS132" s="5">
        <f t="shared" si="304"/>
        <v>1000</v>
      </c>
      <c r="CT132" s="2">
        <f t="shared" si="305"/>
        <v>100000</v>
      </c>
      <c r="CU132" s="2">
        <f t="shared" si="306"/>
        <v>100000</v>
      </c>
      <c r="CV132" s="2">
        <f t="shared" si="307"/>
        <v>153657.64733335812</v>
      </c>
      <c r="CW132" s="8">
        <f t="shared" si="291"/>
        <v>4.8000000000000001E-2</v>
      </c>
      <c r="CX132" s="2">
        <f t="shared" si="292"/>
        <v>157345.43086935871</v>
      </c>
      <c r="CY132" s="2" t="str">
        <f t="shared" si="293"/>
        <v>nie</v>
      </c>
      <c r="CZ132" s="2">
        <f t="shared" si="222"/>
        <v>0</v>
      </c>
      <c r="DA132" s="2">
        <f t="shared" si="223"/>
        <v>0</v>
      </c>
      <c r="DB132" s="2">
        <f t="shared" si="224"/>
        <v>157345.43086935871</v>
      </c>
      <c r="DC132" s="2">
        <f t="shared" si="294"/>
        <v>0</v>
      </c>
      <c r="DD132" s="2">
        <f t="shared" si="225"/>
        <v>1301.1740211775427</v>
      </c>
      <c r="DE132" s="2">
        <f t="shared" si="226"/>
        <v>156044.25684818116</v>
      </c>
      <c r="DF132" s="2">
        <f t="shared" si="295"/>
        <v>3000</v>
      </c>
      <c r="DG132" s="2">
        <f t="shared" si="296"/>
        <v>10325.631865178155</v>
      </c>
      <c r="DH132" s="2">
        <f t="shared" si="227"/>
        <v>142718.62498300301</v>
      </c>
    </row>
    <row r="133" spans="2:112">
      <c r="B133" s="227">
        <f>ROUNDUP(C134/12,0)</f>
        <v>9</v>
      </c>
      <c r="C133" s="3">
        <f t="shared" si="256"/>
        <v>96</v>
      </c>
      <c r="D133" s="10">
        <f t="shared" si="259"/>
        <v>141680.82667880945</v>
      </c>
      <c r="E133" s="10">
        <f t="shared" si="260"/>
        <v>132491.46972713136</v>
      </c>
      <c r="F133" s="10">
        <f t="shared" si="261"/>
        <v>141170.90126999997</v>
      </c>
      <c r="G133" s="10">
        <f t="shared" si="262"/>
        <v>132617.80526999998</v>
      </c>
      <c r="H133" s="10">
        <f t="shared" si="263"/>
        <v>145472.37611981816</v>
      </c>
      <c r="I133" s="10">
        <f t="shared" si="264"/>
        <v>134184.59654602231</v>
      </c>
      <c r="J133" s="10">
        <f t="shared" si="257"/>
        <v>131653.82146500333</v>
      </c>
      <c r="K133" s="10">
        <f t="shared" si="258"/>
        <v>124722.53153018578</v>
      </c>
      <c r="W133" s="1">
        <f t="shared" si="297"/>
        <v>115</v>
      </c>
      <c r="X133" s="2">
        <f t="shared" si="274"/>
        <v>130308.93686577716</v>
      </c>
      <c r="Y133" s="8">
        <f t="shared" si="310"/>
        <v>4.1300000000000003E-2</v>
      </c>
      <c r="Z133" s="5">
        <f t="shared" si="298"/>
        <v>1486</v>
      </c>
      <c r="AA133" s="2">
        <f t="shared" si="299"/>
        <v>148451.4</v>
      </c>
      <c r="AB133" s="2">
        <f t="shared" si="207"/>
        <v>148600</v>
      </c>
      <c r="AC133" s="2">
        <f t="shared" si="300"/>
        <v>148600</v>
      </c>
      <c r="AD133" s="8">
        <f t="shared" si="275"/>
        <v>4.65E-2</v>
      </c>
      <c r="AE133" s="2">
        <f t="shared" si="179"/>
        <v>152630.77500000002</v>
      </c>
      <c r="AF133" s="2" t="str">
        <f t="shared" si="276"/>
        <v>nie</v>
      </c>
      <c r="AG133" s="2">
        <f t="shared" si="277"/>
        <v>1486</v>
      </c>
      <c r="AH133" s="1">
        <f t="shared" si="233"/>
        <v>0</v>
      </c>
      <c r="AI133" s="1">
        <f t="shared" si="265"/>
        <v>1</v>
      </c>
      <c r="AJ133" s="1">
        <f t="shared" si="308"/>
        <v>1</v>
      </c>
      <c r="AK133" s="1">
        <f t="shared" si="319"/>
        <v>0</v>
      </c>
      <c r="AL133" s="2">
        <f t="shared" si="243"/>
        <v>0</v>
      </c>
      <c r="AM133" s="8">
        <f t="shared" si="313"/>
        <v>4.65E-2</v>
      </c>
      <c r="AN133" s="2">
        <f t="shared" si="244"/>
        <v>0</v>
      </c>
      <c r="AO133" s="2">
        <f t="shared" si="314"/>
        <v>0</v>
      </c>
      <c r="AP133" s="2">
        <f t="shared" si="272"/>
        <v>200</v>
      </c>
      <c r="AQ133" s="8">
        <f t="shared" si="266"/>
        <v>4.1300000000000003E-2</v>
      </c>
      <c r="AR133" s="2">
        <f t="shared" si="267"/>
        <v>204.81833333333333</v>
      </c>
      <c r="AS133" s="2">
        <f t="shared" si="268"/>
        <v>2</v>
      </c>
      <c r="AT133" s="2">
        <f t="shared" si="209"/>
        <v>0</v>
      </c>
      <c r="AU133" s="2">
        <f t="shared" si="245"/>
        <v>0</v>
      </c>
      <c r="AV133" s="2">
        <f t="shared" si="236"/>
        <v>56.360853477515676</v>
      </c>
      <c r="AW133" s="1">
        <f t="shared" si="311"/>
        <v>0</v>
      </c>
      <c r="AX133" s="2">
        <f t="shared" si="278"/>
        <v>56.360853477515676</v>
      </c>
      <c r="AY133" s="1">
        <f t="shared" si="237"/>
        <v>0</v>
      </c>
      <c r="AZ133" s="2">
        <f t="shared" si="210"/>
        <v>56.360853477515676</v>
      </c>
      <c r="BA133" s="2">
        <f t="shared" si="246"/>
        <v>152891.95418681088</v>
      </c>
      <c r="BB133" s="2">
        <f t="shared" si="279"/>
        <v>0</v>
      </c>
      <c r="BC133" s="2">
        <f t="shared" si="211"/>
        <v>1273.8597750865176</v>
      </c>
      <c r="BD133" s="2">
        <f t="shared" si="184"/>
        <v>151618.09441172436</v>
      </c>
      <c r="BE133" s="2">
        <f t="shared" si="212"/>
        <v>1488</v>
      </c>
      <c r="BF133" s="2">
        <f t="shared" si="185"/>
        <v>9766.7512954940667</v>
      </c>
      <c r="BG133" s="2">
        <f t="shared" si="186"/>
        <v>140363.3431162303</v>
      </c>
      <c r="BI133" s="8">
        <f t="shared" si="315"/>
        <v>2.8000000000000001E-2</v>
      </c>
      <c r="BJ133" s="5">
        <f t="shared" si="301"/>
        <v>1089</v>
      </c>
      <c r="BK133" s="2">
        <f t="shared" si="302"/>
        <v>108791.1</v>
      </c>
      <c r="BL133" s="2">
        <f t="shared" si="303"/>
        <v>108900</v>
      </c>
      <c r="BM133" s="2">
        <f t="shared" si="280"/>
        <v>108900</v>
      </c>
      <c r="BN133" s="8">
        <f t="shared" si="281"/>
        <v>4.2999999999999997E-2</v>
      </c>
      <c r="BO133" s="2">
        <f t="shared" si="282"/>
        <v>111631.575</v>
      </c>
      <c r="BP133" s="2" t="str">
        <f t="shared" si="283"/>
        <v>nie</v>
      </c>
      <c r="BQ133" s="2">
        <f t="shared" si="284"/>
        <v>2178</v>
      </c>
      <c r="BR133" s="1">
        <f t="shared" si="316"/>
        <v>178</v>
      </c>
      <c r="BS133" s="1">
        <f t="shared" si="269"/>
        <v>23</v>
      </c>
      <c r="BT133" s="1">
        <f t="shared" si="309"/>
        <v>104</v>
      </c>
      <c r="BU133" s="1">
        <f t="shared" si="320"/>
        <v>99</v>
      </c>
      <c r="BV133" s="2">
        <f t="shared" si="247"/>
        <v>17800</v>
      </c>
      <c r="BW133" s="8">
        <f t="shared" si="317"/>
        <v>0.05</v>
      </c>
      <c r="BX133" s="2">
        <f t="shared" si="248"/>
        <v>18319.166666666664</v>
      </c>
      <c r="BY133" s="2">
        <f t="shared" si="318"/>
        <v>356</v>
      </c>
      <c r="BZ133" s="2">
        <f t="shared" si="273"/>
        <v>22600</v>
      </c>
      <c r="CA133" s="8">
        <f t="shared" si="270"/>
        <v>4.2999999999999997E-2</v>
      </c>
      <c r="CB133" s="2">
        <f t="shared" si="249"/>
        <v>23166.883333333335</v>
      </c>
      <c r="CC133" s="2">
        <f t="shared" si="271"/>
        <v>452</v>
      </c>
      <c r="CD133" s="2">
        <f t="shared" si="285"/>
        <v>0</v>
      </c>
      <c r="CE133" s="2">
        <f t="shared" si="250"/>
        <v>0</v>
      </c>
      <c r="CF133" s="2">
        <f t="shared" si="251"/>
        <v>18.499999999929059</v>
      </c>
      <c r="CG133" s="1">
        <f t="shared" si="312"/>
        <v>0</v>
      </c>
      <c r="CH133" s="2">
        <f t="shared" si="286"/>
        <v>18.499999999929059</v>
      </c>
      <c r="CI133" s="1">
        <f t="shared" si="242"/>
        <v>0</v>
      </c>
      <c r="CJ133" s="2">
        <f t="shared" si="252"/>
        <v>18.499999999929059</v>
      </c>
      <c r="CK133" s="2">
        <f t="shared" si="253"/>
        <v>153136.12499999994</v>
      </c>
      <c r="CL133" s="2">
        <f t="shared" si="287"/>
        <v>0</v>
      </c>
      <c r="CM133" s="2">
        <f t="shared" si="216"/>
        <v>1274.8063299999994</v>
      </c>
      <c r="CN133" s="2">
        <f t="shared" si="288"/>
        <v>151861.31866999995</v>
      </c>
      <c r="CO133" s="2">
        <f t="shared" si="217"/>
        <v>2986</v>
      </c>
      <c r="CP133" s="2">
        <f t="shared" si="289"/>
        <v>9528.5237499999894</v>
      </c>
      <c r="CQ133" s="2">
        <f t="shared" si="290"/>
        <v>139346.79491999996</v>
      </c>
      <c r="CS133" s="5">
        <f t="shared" si="304"/>
        <v>1000</v>
      </c>
      <c r="CT133" s="2">
        <f t="shared" si="305"/>
        <v>100000</v>
      </c>
      <c r="CU133" s="2">
        <f t="shared" si="306"/>
        <v>100000</v>
      </c>
      <c r="CV133" s="2">
        <f t="shared" si="307"/>
        <v>153657.64733335812</v>
      </c>
      <c r="CW133" s="8">
        <f t="shared" si="291"/>
        <v>4.8000000000000001E-2</v>
      </c>
      <c r="CX133" s="2">
        <f t="shared" si="292"/>
        <v>157960.06145869216</v>
      </c>
      <c r="CY133" s="2" t="str">
        <f t="shared" si="293"/>
        <v>nie</v>
      </c>
      <c r="CZ133" s="2">
        <f t="shared" si="222"/>
        <v>0</v>
      </c>
      <c r="DA133" s="2">
        <f t="shared" si="223"/>
        <v>0</v>
      </c>
      <c r="DB133" s="2">
        <f t="shared" si="224"/>
        <v>157960.06145869216</v>
      </c>
      <c r="DC133" s="2">
        <f t="shared" si="294"/>
        <v>0</v>
      </c>
      <c r="DD133" s="2">
        <f t="shared" si="225"/>
        <v>1301.1740211775427</v>
      </c>
      <c r="DE133" s="2">
        <f t="shared" si="226"/>
        <v>156658.88743751461</v>
      </c>
      <c r="DF133" s="2">
        <f t="shared" si="295"/>
        <v>3000</v>
      </c>
      <c r="DG133" s="2">
        <f t="shared" si="296"/>
        <v>10442.411677151511</v>
      </c>
      <c r="DH133" s="2">
        <f t="shared" si="227"/>
        <v>143216.4757603631</v>
      </c>
    </row>
    <row r="134" spans="2:112">
      <c r="B134" s="228"/>
      <c r="C134" s="1">
        <f t="shared" ref="C134:C165" si="321">W115</f>
        <v>97</v>
      </c>
      <c r="D134" s="2">
        <f t="shared" si="259"/>
        <v>142334.43924632404</v>
      </c>
      <c r="E134" s="2">
        <f t="shared" si="260"/>
        <v>133020.58203181819</v>
      </c>
      <c r="F134" s="2">
        <f t="shared" si="261"/>
        <v>141855.63460333328</v>
      </c>
      <c r="G134" s="2">
        <f t="shared" si="262"/>
        <v>132808.47926999995</v>
      </c>
      <c r="H134" s="2">
        <f t="shared" si="263"/>
        <v>146058.85568979281</v>
      </c>
      <c r="I134" s="2">
        <f t="shared" si="264"/>
        <v>134659.64499770178</v>
      </c>
      <c r="J134" s="2">
        <f t="shared" ref="J134:J165" si="322">FV(INDEX(scenariusz_I_konto,MATCH(ROUNDUP(C134/12,0),scenariusz_I_rok,0))/12*(1-podatek_Belki),1,0,-J133,1)</f>
        <v>132031.50336533107</v>
      </c>
      <c r="K134" s="2">
        <f t="shared" ref="K134:K165" si="323">X115</f>
        <v>125013.55077042287</v>
      </c>
      <c r="W134" s="1">
        <f t="shared" si="297"/>
        <v>116</v>
      </c>
      <c r="X134" s="2">
        <f t="shared" si="274"/>
        <v>130608.10464474089</v>
      </c>
      <c r="Y134" s="8">
        <f t="shared" si="310"/>
        <v>4.1300000000000003E-2</v>
      </c>
      <c r="Z134" s="5">
        <f t="shared" si="298"/>
        <v>1486</v>
      </c>
      <c r="AA134" s="2">
        <f t="shared" si="299"/>
        <v>148451.4</v>
      </c>
      <c r="AB134" s="2">
        <f t="shared" si="207"/>
        <v>148600</v>
      </c>
      <c r="AC134" s="2">
        <f t="shared" si="300"/>
        <v>148600</v>
      </c>
      <c r="AD134" s="8">
        <f t="shared" si="275"/>
        <v>4.65E-2</v>
      </c>
      <c r="AE134" s="2">
        <f t="shared" si="179"/>
        <v>153206.59999999998</v>
      </c>
      <c r="AF134" s="2" t="str">
        <f t="shared" si="276"/>
        <v>nie</v>
      </c>
      <c r="AG134" s="2">
        <f t="shared" si="277"/>
        <v>1486</v>
      </c>
      <c r="AH134" s="1">
        <f t="shared" si="233"/>
        <v>0</v>
      </c>
      <c r="AI134" s="1">
        <f t="shared" si="265"/>
        <v>1</v>
      </c>
      <c r="AJ134" s="1">
        <f t="shared" si="308"/>
        <v>1</v>
      </c>
      <c r="AK134" s="1">
        <f t="shared" si="319"/>
        <v>0</v>
      </c>
      <c r="AL134" s="2">
        <f t="shared" si="243"/>
        <v>0</v>
      </c>
      <c r="AM134" s="8">
        <f t="shared" si="313"/>
        <v>4.65E-2</v>
      </c>
      <c r="AN134" s="2">
        <f t="shared" si="244"/>
        <v>0</v>
      </c>
      <c r="AO134" s="2">
        <f t="shared" si="314"/>
        <v>0</v>
      </c>
      <c r="AP134" s="2">
        <f t="shared" si="272"/>
        <v>200</v>
      </c>
      <c r="AQ134" s="8">
        <f t="shared" si="266"/>
        <v>4.1300000000000003E-2</v>
      </c>
      <c r="AR134" s="2">
        <f t="shared" si="267"/>
        <v>205.50666666666669</v>
      </c>
      <c r="AS134" s="2">
        <f t="shared" si="268"/>
        <v>2</v>
      </c>
      <c r="AT134" s="2">
        <f t="shared" si="209"/>
        <v>0</v>
      </c>
      <c r="AU134" s="2">
        <f t="shared" si="245"/>
        <v>0</v>
      </c>
      <c r="AV134" s="2">
        <f t="shared" si="236"/>
        <v>56.360853477515676</v>
      </c>
      <c r="AW134" s="1">
        <f t="shared" si="311"/>
        <v>0</v>
      </c>
      <c r="AX134" s="2">
        <f t="shared" si="278"/>
        <v>56.360853477515676</v>
      </c>
      <c r="AY134" s="1">
        <f t="shared" si="237"/>
        <v>0</v>
      </c>
      <c r="AZ134" s="2">
        <f t="shared" si="210"/>
        <v>56.360853477515676</v>
      </c>
      <c r="BA134" s="2">
        <f t="shared" si="246"/>
        <v>153468.46752014416</v>
      </c>
      <c r="BB134" s="2">
        <f t="shared" si="279"/>
        <v>0</v>
      </c>
      <c r="BC134" s="2">
        <f t="shared" si="211"/>
        <v>1273.8597750865176</v>
      </c>
      <c r="BD134" s="2">
        <f t="shared" si="184"/>
        <v>152194.60774505764</v>
      </c>
      <c r="BE134" s="2">
        <f t="shared" si="212"/>
        <v>1488</v>
      </c>
      <c r="BF134" s="2">
        <f t="shared" si="185"/>
        <v>9876.2888288273898</v>
      </c>
      <c r="BG134" s="2">
        <f t="shared" si="186"/>
        <v>140830.31891623026</v>
      </c>
      <c r="BI134" s="8">
        <f t="shared" si="315"/>
        <v>2.8000000000000001E-2</v>
      </c>
      <c r="BJ134" s="5">
        <f t="shared" si="301"/>
        <v>1089</v>
      </c>
      <c r="BK134" s="2">
        <f t="shared" si="302"/>
        <v>108791.1</v>
      </c>
      <c r="BL134" s="2">
        <f t="shared" si="303"/>
        <v>108900</v>
      </c>
      <c r="BM134" s="2">
        <f t="shared" si="280"/>
        <v>108900</v>
      </c>
      <c r="BN134" s="8">
        <f t="shared" si="281"/>
        <v>4.2999999999999997E-2</v>
      </c>
      <c r="BO134" s="2">
        <f t="shared" si="282"/>
        <v>112021.79999999999</v>
      </c>
      <c r="BP134" s="2" t="str">
        <f t="shared" si="283"/>
        <v>nie</v>
      </c>
      <c r="BQ134" s="2">
        <f t="shared" si="284"/>
        <v>2178</v>
      </c>
      <c r="BR134" s="1">
        <f t="shared" si="316"/>
        <v>178</v>
      </c>
      <c r="BS134" s="1">
        <f t="shared" si="269"/>
        <v>23</v>
      </c>
      <c r="BT134" s="1">
        <f t="shared" si="309"/>
        <v>104</v>
      </c>
      <c r="BU134" s="1">
        <f t="shared" si="320"/>
        <v>99</v>
      </c>
      <c r="BV134" s="2">
        <f t="shared" si="247"/>
        <v>17800</v>
      </c>
      <c r="BW134" s="8">
        <f t="shared" si="317"/>
        <v>0.05</v>
      </c>
      <c r="BX134" s="2">
        <f t="shared" si="248"/>
        <v>18393.333333333336</v>
      </c>
      <c r="BY134" s="2">
        <f t="shared" si="318"/>
        <v>356</v>
      </c>
      <c r="BZ134" s="2">
        <f t="shared" si="273"/>
        <v>22600</v>
      </c>
      <c r="CA134" s="8">
        <f t="shared" si="270"/>
        <v>4.2999999999999997E-2</v>
      </c>
      <c r="CB134" s="2">
        <f t="shared" si="249"/>
        <v>23247.866666666665</v>
      </c>
      <c r="CC134" s="2">
        <f t="shared" si="271"/>
        <v>452</v>
      </c>
      <c r="CD134" s="2">
        <f t="shared" si="285"/>
        <v>0</v>
      </c>
      <c r="CE134" s="2">
        <f t="shared" si="250"/>
        <v>0</v>
      </c>
      <c r="CF134" s="2">
        <f t="shared" si="251"/>
        <v>18.499999999929059</v>
      </c>
      <c r="CG134" s="1">
        <f t="shared" si="312"/>
        <v>0</v>
      </c>
      <c r="CH134" s="2">
        <f t="shared" si="286"/>
        <v>18.499999999929059</v>
      </c>
      <c r="CI134" s="1">
        <f t="shared" si="242"/>
        <v>0</v>
      </c>
      <c r="CJ134" s="2">
        <f t="shared" si="252"/>
        <v>18.499999999929059</v>
      </c>
      <c r="CK134" s="2">
        <f t="shared" si="253"/>
        <v>153681.49999999994</v>
      </c>
      <c r="CL134" s="2">
        <f t="shared" si="287"/>
        <v>0</v>
      </c>
      <c r="CM134" s="2">
        <f t="shared" si="216"/>
        <v>1274.8063299999994</v>
      </c>
      <c r="CN134" s="2">
        <f t="shared" si="288"/>
        <v>152406.69366999995</v>
      </c>
      <c r="CO134" s="2">
        <f t="shared" si="217"/>
        <v>2986</v>
      </c>
      <c r="CP134" s="2">
        <f t="shared" si="289"/>
        <v>9632.1449999999895</v>
      </c>
      <c r="CQ134" s="2">
        <f t="shared" si="290"/>
        <v>139788.54866999996</v>
      </c>
      <c r="CS134" s="5">
        <f t="shared" si="304"/>
        <v>1000</v>
      </c>
      <c r="CT134" s="2">
        <f t="shared" si="305"/>
        <v>100000</v>
      </c>
      <c r="CU134" s="2">
        <f t="shared" si="306"/>
        <v>100000</v>
      </c>
      <c r="CV134" s="2">
        <f t="shared" si="307"/>
        <v>153657.64733335812</v>
      </c>
      <c r="CW134" s="8">
        <f t="shared" si="291"/>
        <v>4.8000000000000001E-2</v>
      </c>
      <c r="CX134" s="2">
        <f t="shared" si="292"/>
        <v>158574.69204802558</v>
      </c>
      <c r="CY134" s="2" t="str">
        <f t="shared" si="293"/>
        <v>nie</v>
      </c>
      <c r="CZ134" s="2">
        <f t="shared" si="222"/>
        <v>0</v>
      </c>
      <c r="DA134" s="2">
        <f t="shared" si="223"/>
        <v>0</v>
      </c>
      <c r="DB134" s="2">
        <f t="shared" si="224"/>
        <v>158574.69204802558</v>
      </c>
      <c r="DC134" s="2">
        <f t="shared" si="294"/>
        <v>0</v>
      </c>
      <c r="DD134" s="2">
        <f t="shared" si="225"/>
        <v>1301.1740211775427</v>
      </c>
      <c r="DE134" s="2">
        <f t="shared" si="226"/>
        <v>157273.51802684803</v>
      </c>
      <c r="DF134" s="2">
        <f t="shared" si="295"/>
        <v>3000</v>
      </c>
      <c r="DG134" s="2">
        <f t="shared" si="296"/>
        <v>10559.19148912486</v>
      </c>
      <c r="DH134" s="2">
        <f t="shared" si="227"/>
        <v>143714.32653772319</v>
      </c>
    </row>
    <row r="135" spans="2:112">
      <c r="B135" s="228"/>
      <c r="C135" s="1">
        <f t="shared" si="321"/>
        <v>98</v>
      </c>
      <c r="D135" s="2">
        <f t="shared" si="259"/>
        <v>142888.0518138386</v>
      </c>
      <c r="E135" s="2">
        <f t="shared" si="260"/>
        <v>133468.694336505</v>
      </c>
      <c r="F135" s="2">
        <f t="shared" si="261"/>
        <v>142430.76793666661</v>
      </c>
      <c r="G135" s="2">
        <f t="shared" si="262"/>
        <v>132899.03726999997</v>
      </c>
      <c r="H135" s="2">
        <f t="shared" si="263"/>
        <v>146645.33525976745</v>
      </c>
      <c r="I135" s="2">
        <f t="shared" si="264"/>
        <v>135134.69344938124</v>
      </c>
      <c r="J135" s="2">
        <f t="shared" si="322"/>
        <v>132410.26874061037</v>
      </c>
      <c r="K135" s="2">
        <f t="shared" si="323"/>
        <v>125304.57001065997</v>
      </c>
      <c r="W135" s="1">
        <f t="shared" si="297"/>
        <v>117</v>
      </c>
      <c r="X135" s="2">
        <f t="shared" si="274"/>
        <v>130907.27242370462</v>
      </c>
      <c r="Y135" s="8">
        <f t="shared" si="310"/>
        <v>4.1300000000000003E-2</v>
      </c>
      <c r="Z135" s="5">
        <f t="shared" si="298"/>
        <v>1486</v>
      </c>
      <c r="AA135" s="2">
        <f t="shared" si="299"/>
        <v>148451.4</v>
      </c>
      <c r="AB135" s="2">
        <f t="shared" si="207"/>
        <v>148600</v>
      </c>
      <c r="AC135" s="2">
        <f t="shared" si="300"/>
        <v>148600</v>
      </c>
      <c r="AD135" s="8">
        <f t="shared" si="275"/>
        <v>4.65E-2</v>
      </c>
      <c r="AE135" s="2">
        <f t="shared" si="179"/>
        <v>153782.42499999999</v>
      </c>
      <c r="AF135" s="2" t="str">
        <f t="shared" si="276"/>
        <v>nie</v>
      </c>
      <c r="AG135" s="2">
        <f t="shared" si="277"/>
        <v>1486</v>
      </c>
      <c r="AH135" s="1">
        <f t="shared" si="233"/>
        <v>0</v>
      </c>
      <c r="AI135" s="1">
        <f t="shared" si="265"/>
        <v>1</v>
      </c>
      <c r="AJ135" s="1">
        <f t="shared" si="308"/>
        <v>1</v>
      </c>
      <c r="AK135" s="1">
        <f t="shared" si="319"/>
        <v>0</v>
      </c>
      <c r="AL135" s="2">
        <f t="shared" si="243"/>
        <v>0</v>
      </c>
      <c r="AM135" s="8">
        <f t="shared" si="313"/>
        <v>4.65E-2</v>
      </c>
      <c r="AN135" s="2">
        <f t="shared" si="244"/>
        <v>0</v>
      </c>
      <c r="AO135" s="2">
        <f t="shared" si="314"/>
        <v>0</v>
      </c>
      <c r="AP135" s="2">
        <f t="shared" si="272"/>
        <v>200</v>
      </c>
      <c r="AQ135" s="8">
        <f t="shared" si="266"/>
        <v>4.1300000000000003E-2</v>
      </c>
      <c r="AR135" s="2">
        <f t="shared" si="267"/>
        <v>206.19499999999999</v>
      </c>
      <c r="AS135" s="2">
        <f t="shared" si="268"/>
        <v>2</v>
      </c>
      <c r="AT135" s="2">
        <f t="shared" si="209"/>
        <v>0</v>
      </c>
      <c r="AU135" s="2">
        <f t="shared" si="245"/>
        <v>0</v>
      </c>
      <c r="AV135" s="2">
        <f t="shared" si="236"/>
        <v>56.360853477515676</v>
      </c>
      <c r="AW135" s="1">
        <f t="shared" si="311"/>
        <v>0</v>
      </c>
      <c r="AX135" s="2">
        <f t="shared" si="278"/>
        <v>56.360853477515676</v>
      </c>
      <c r="AY135" s="1">
        <f t="shared" si="237"/>
        <v>0</v>
      </c>
      <c r="AZ135" s="2">
        <f t="shared" si="210"/>
        <v>56.360853477515676</v>
      </c>
      <c r="BA135" s="2">
        <f t="shared" si="246"/>
        <v>154044.98085347752</v>
      </c>
      <c r="BB135" s="2">
        <f t="shared" si="279"/>
        <v>0</v>
      </c>
      <c r="BC135" s="2">
        <f t="shared" si="211"/>
        <v>1273.8597750865176</v>
      </c>
      <c r="BD135" s="2">
        <f t="shared" si="184"/>
        <v>152771.12107839101</v>
      </c>
      <c r="BE135" s="2">
        <f t="shared" si="212"/>
        <v>1488</v>
      </c>
      <c r="BF135" s="2">
        <f t="shared" si="185"/>
        <v>9985.8263621607293</v>
      </c>
      <c r="BG135" s="2">
        <f t="shared" si="186"/>
        <v>141297.29471623027</v>
      </c>
      <c r="BI135" s="8">
        <f t="shared" si="315"/>
        <v>2.8000000000000001E-2</v>
      </c>
      <c r="BJ135" s="5">
        <f t="shared" si="301"/>
        <v>1089</v>
      </c>
      <c r="BK135" s="2">
        <f t="shared" si="302"/>
        <v>108791.1</v>
      </c>
      <c r="BL135" s="2">
        <f t="shared" si="303"/>
        <v>108900</v>
      </c>
      <c r="BM135" s="2">
        <f t="shared" si="280"/>
        <v>108900</v>
      </c>
      <c r="BN135" s="8">
        <f t="shared" si="281"/>
        <v>4.2999999999999997E-2</v>
      </c>
      <c r="BO135" s="2">
        <f t="shared" si="282"/>
        <v>112412.02499999999</v>
      </c>
      <c r="BP135" s="2" t="str">
        <f t="shared" si="283"/>
        <v>nie</v>
      </c>
      <c r="BQ135" s="2">
        <f t="shared" si="284"/>
        <v>2178</v>
      </c>
      <c r="BR135" s="1">
        <f t="shared" si="316"/>
        <v>178</v>
      </c>
      <c r="BS135" s="1">
        <f t="shared" si="269"/>
        <v>23</v>
      </c>
      <c r="BT135" s="1">
        <f t="shared" si="309"/>
        <v>104</v>
      </c>
      <c r="BU135" s="1">
        <f t="shared" si="320"/>
        <v>99</v>
      </c>
      <c r="BV135" s="2">
        <f t="shared" si="247"/>
        <v>17800</v>
      </c>
      <c r="BW135" s="8">
        <f t="shared" si="317"/>
        <v>0.05</v>
      </c>
      <c r="BX135" s="2">
        <f t="shared" si="248"/>
        <v>18467.5</v>
      </c>
      <c r="BY135" s="2">
        <f t="shared" si="318"/>
        <v>356</v>
      </c>
      <c r="BZ135" s="2">
        <f t="shared" si="273"/>
        <v>22600</v>
      </c>
      <c r="CA135" s="8">
        <f t="shared" si="270"/>
        <v>4.2999999999999997E-2</v>
      </c>
      <c r="CB135" s="2">
        <f t="shared" si="249"/>
        <v>23328.85</v>
      </c>
      <c r="CC135" s="2">
        <f t="shared" si="271"/>
        <v>452</v>
      </c>
      <c r="CD135" s="2">
        <f t="shared" si="285"/>
        <v>0</v>
      </c>
      <c r="CE135" s="2">
        <f t="shared" si="250"/>
        <v>0</v>
      </c>
      <c r="CF135" s="2">
        <f t="shared" si="251"/>
        <v>18.499999999929059</v>
      </c>
      <c r="CG135" s="1">
        <f t="shared" si="312"/>
        <v>0</v>
      </c>
      <c r="CH135" s="2">
        <f t="shared" si="286"/>
        <v>18.499999999929059</v>
      </c>
      <c r="CI135" s="1">
        <f t="shared" si="242"/>
        <v>0</v>
      </c>
      <c r="CJ135" s="2">
        <f t="shared" si="252"/>
        <v>18.499999999929059</v>
      </c>
      <c r="CK135" s="2">
        <f t="shared" si="253"/>
        <v>154226.87499999994</v>
      </c>
      <c r="CL135" s="2">
        <f t="shared" si="287"/>
        <v>0</v>
      </c>
      <c r="CM135" s="2">
        <f t="shared" si="216"/>
        <v>1274.8063299999994</v>
      </c>
      <c r="CN135" s="2">
        <f t="shared" si="288"/>
        <v>152952.06866999995</v>
      </c>
      <c r="CO135" s="2">
        <f t="shared" si="217"/>
        <v>2986</v>
      </c>
      <c r="CP135" s="2">
        <f t="shared" si="289"/>
        <v>9735.7662499999897</v>
      </c>
      <c r="CQ135" s="2">
        <f t="shared" si="290"/>
        <v>140230.30241999996</v>
      </c>
      <c r="CS135" s="5">
        <f t="shared" si="304"/>
        <v>1000</v>
      </c>
      <c r="CT135" s="2">
        <f t="shared" si="305"/>
        <v>100000</v>
      </c>
      <c r="CU135" s="2">
        <f t="shared" si="306"/>
        <v>100000</v>
      </c>
      <c r="CV135" s="2">
        <f t="shared" si="307"/>
        <v>153657.64733335812</v>
      </c>
      <c r="CW135" s="8">
        <f t="shared" si="291"/>
        <v>4.8000000000000001E-2</v>
      </c>
      <c r="CX135" s="2">
        <f t="shared" si="292"/>
        <v>159189.32263735903</v>
      </c>
      <c r="CY135" s="2" t="str">
        <f t="shared" si="293"/>
        <v>nie</v>
      </c>
      <c r="CZ135" s="2">
        <f t="shared" si="222"/>
        <v>0</v>
      </c>
      <c r="DA135" s="2">
        <f t="shared" si="223"/>
        <v>0</v>
      </c>
      <c r="DB135" s="2">
        <f t="shared" si="224"/>
        <v>159189.32263735903</v>
      </c>
      <c r="DC135" s="2">
        <f t="shared" si="294"/>
        <v>0</v>
      </c>
      <c r="DD135" s="2">
        <f t="shared" si="225"/>
        <v>1301.1740211775427</v>
      </c>
      <c r="DE135" s="2">
        <f t="shared" si="226"/>
        <v>157888.14861618148</v>
      </c>
      <c r="DF135" s="2">
        <f t="shared" si="295"/>
        <v>3000</v>
      </c>
      <c r="DG135" s="2">
        <f t="shared" si="296"/>
        <v>10675.971301098216</v>
      </c>
      <c r="DH135" s="2">
        <f t="shared" si="227"/>
        <v>144212.17731508327</v>
      </c>
    </row>
    <row r="136" spans="2:112">
      <c r="B136" s="228"/>
      <c r="C136" s="1">
        <f t="shared" si="321"/>
        <v>99</v>
      </c>
      <c r="D136" s="2">
        <f t="shared" si="259"/>
        <v>143441.66438135321</v>
      </c>
      <c r="E136" s="2">
        <f t="shared" si="260"/>
        <v>133916.93826619184</v>
      </c>
      <c r="F136" s="2">
        <f t="shared" si="261"/>
        <v>143005.90126999994</v>
      </c>
      <c r="G136" s="2">
        <f t="shared" si="262"/>
        <v>132989.59526999996</v>
      </c>
      <c r="H136" s="2">
        <f t="shared" si="263"/>
        <v>147231.8148297421</v>
      </c>
      <c r="I136" s="2">
        <f t="shared" si="264"/>
        <v>135609.74190106071</v>
      </c>
      <c r="J136" s="2">
        <f t="shared" si="322"/>
        <v>132790.12069905997</v>
      </c>
      <c r="K136" s="2">
        <f t="shared" si="323"/>
        <v>125595.58925089706</v>
      </c>
      <c r="W136" s="1">
        <f t="shared" si="297"/>
        <v>118</v>
      </c>
      <c r="X136" s="2">
        <f t="shared" si="274"/>
        <v>131206.4402026684</v>
      </c>
      <c r="Y136" s="8">
        <f t="shared" si="310"/>
        <v>4.1300000000000003E-2</v>
      </c>
      <c r="Z136" s="5">
        <f t="shared" si="298"/>
        <v>1486</v>
      </c>
      <c r="AA136" s="2">
        <f t="shared" si="299"/>
        <v>148451.4</v>
      </c>
      <c r="AB136" s="2">
        <f t="shared" si="207"/>
        <v>148600</v>
      </c>
      <c r="AC136" s="2">
        <f t="shared" si="300"/>
        <v>148600</v>
      </c>
      <c r="AD136" s="8">
        <f t="shared" si="275"/>
        <v>4.65E-2</v>
      </c>
      <c r="AE136" s="2">
        <f t="shared" si="179"/>
        <v>154358.25</v>
      </c>
      <c r="AF136" s="2" t="str">
        <f t="shared" si="276"/>
        <v>nie</v>
      </c>
      <c r="AG136" s="2">
        <f t="shared" si="277"/>
        <v>1486</v>
      </c>
      <c r="AH136" s="1">
        <f t="shared" si="233"/>
        <v>0</v>
      </c>
      <c r="AI136" s="1">
        <f t="shared" si="265"/>
        <v>1</v>
      </c>
      <c r="AJ136" s="1">
        <f t="shared" si="308"/>
        <v>1</v>
      </c>
      <c r="AK136" s="1">
        <f t="shared" si="319"/>
        <v>0</v>
      </c>
      <c r="AL136" s="2">
        <f t="shared" si="243"/>
        <v>0</v>
      </c>
      <c r="AM136" s="8">
        <f t="shared" si="313"/>
        <v>4.65E-2</v>
      </c>
      <c r="AN136" s="2">
        <f t="shared" si="244"/>
        <v>0</v>
      </c>
      <c r="AO136" s="2">
        <f t="shared" si="314"/>
        <v>0</v>
      </c>
      <c r="AP136" s="2">
        <f t="shared" si="272"/>
        <v>200</v>
      </c>
      <c r="AQ136" s="8">
        <f t="shared" si="266"/>
        <v>4.1300000000000003E-2</v>
      </c>
      <c r="AR136" s="2">
        <f t="shared" si="267"/>
        <v>206.88333333333335</v>
      </c>
      <c r="AS136" s="2">
        <f t="shared" si="268"/>
        <v>2</v>
      </c>
      <c r="AT136" s="2">
        <f t="shared" si="209"/>
        <v>0</v>
      </c>
      <c r="AU136" s="2">
        <f t="shared" si="245"/>
        <v>0</v>
      </c>
      <c r="AV136" s="2">
        <f t="shared" si="236"/>
        <v>56.360853477515676</v>
      </c>
      <c r="AW136" s="1">
        <f t="shared" si="311"/>
        <v>0</v>
      </c>
      <c r="AX136" s="2">
        <f t="shared" si="278"/>
        <v>56.360853477515676</v>
      </c>
      <c r="AY136" s="1">
        <f t="shared" si="237"/>
        <v>0</v>
      </c>
      <c r="AZ136" s="2">
        <f t="shared" si="210"/>
        <v>56.360853477515676</v>
      </c>
      <c r="BA136" s="2">
        <f t="shared" si="246"/>
        <v>154621.49418681086</v>
      </c>
      <c r="BB136" s="2">
        <f t="shared" si="279"/>
        <v>0</v>
      </c>
      <c r="BC136" s="2">
        <f t="shared" si="211"/>
        <v>1273.8597750865176</v>
      </c>
      <c r="BD136" s="2">
        <f t="shared" si="184"/>
        <v>153347.63441172434</v>
      </c>
      <c r="BE136" s="2">
        <f t="shared" si="212"/>
        <v>1488</v>
      </c>
      <c r="BF136" s="2">
        <f t="shared" si="185"/>
        <v>10095.363895494063</v>
      </c>
      <c r="BG136" s="2">
        <f t="shared" si="186"/>
        <v>141764.27051623029</v>
      </c>
      <c r="BI136" s="8">
        <f t="shared" si="315"/>
        <v>2.8000000000000001E-2</v>
      </c>
      <c r="BJ136" s="5">
        <f t="shared" si="301"/>
        <v>1089</v>
      </c>
      <c r="BK136" s="2">
        <f t="shared" si="302"/>
        <v>108791.1</v>
      </c>
      <c r="BL136" s="2">
        <f t="shared" si="303"/>
        <v>108900</v>
      </c>
      <c r="BM136" s="2">
        <f t="shared" si="280"/>
        <v>108900</v>
      </c>
      <c r="BN136" s="8">
        <f t="shared" si="281"/>
        <v>4.2999999999999997E-2</v>
      </c>
      <c r="BO136" s="2">
        <f t="shared" si="282"/>
        <v>112802.25</v>
      </c>
      <c r="BP136" s="2" t="str">
        <f t="shared" si="283"/>
        <v>nie</v>
      </c>
      <c r="BQ136" s="2">
        <f t="shared" si="284"/>
        <v>2178</v>
      </c>
      <c r="BR136" s="1">
        <f t="shared" si="316"/>
        <v>178</v>
      </c>
      <c r="BS136" s="1">
        <f t="shared" si="269"/>
        <v>23</v>
      </c>
      <c r="BT136" s="1">
        <f t="shared" si="309"/>
        <v>104</v>
      </c>
      <c r="BU136" s="1">
        <f t="shared" si="320"/>
        <v>99</v>
      </c>
      <c r="BV136" s="2">
        <f t="shared" si="247"/>
        <v>17800</v>
      </c>
      <c r="BW136" s="8">
        <f t="shared" si="317"/>
        <v>0.05</v>
      </c>
      <c r="BX136" s="2">
        <f t="shared" si="248"/>
        <v>18541.666666666668</v>
      </c>
      <c r="BY136" s="2">
        <f t="shared" si="318"/>
        <v>356</v>
      </c>
      <c r="BZ136" s="2">
        <f t="shared" si="273"/>
        <v>22600</v>
      </c>
      <c r="CA136" s="8">
        <f t="shared" si="270"/>
        <v>4.2999999999999997E-2</v>
      </c>
      <c r="CB136" s="2">
        <f t="shared" si="249"/>
        <v>23409.833333333336</v>
      </c>
      <c r="CC136" s="2">
        <f t="shared" si="271"/>
        <v>452</v>
      </c>
      <c r="CD136" s="2">
        <f t="shared" si="285"/>
        <v>0</v>
      </c>
      <c r="CE136" s="2">
        <f t="shared" si="250"/>
        <v>0</v>
      </c>
      <c r="CF136" s="2">
        <f t="shared" si="251"/>
        <v>18.499999999929059</v>
      </c>
      <c r="CG136" s="1">
        <f t="shared" si="312"/>
        <v>0</v>
      </c>
      <c r="CH136" s="2">
        <f t="shared" si="286"/>
        <v>18.499999999929059</v>
      </c>
      <c r="CI136" s="1">
        <f t="shared" si="242"/>
        <v>0</v>
      </c>
      <c r="CJ136" s="2">
        <f t="shared" si="252"/>
        <v>18.499999999929059</v>
      </c>
      <c r="CK136" s="2">
        <f t="shared" si="253"/>
        <v>154772.24999999994</v>
      </c>
      <c r="CL136" s="2">
        <f t="shared" si="287"/>
        <v>0</v>
      </c>
      <c r="CM136" s="2">
        <f t="shared" si="216"/>
        <v>1274.8063299999994</v>
      </c>
      <c r="CN136" s="2">
        <f t="shared" si="288"/>
        <v>153497.44366999995</v>
      </c>
      <c r="CO136" s="2">
        <f t="shared" si="217"/>
        <v>2986</v>
      </c>
      <c r="CP136" s="2">
        <f t="shared" si="289"/>
        <v>9839.3874999999898</v>
      </c>
      <c r="CQ136" s="2">
        <f t="shared" si="290"/>
        <v>140672.05616999997</v>
      </c>
      <c r="CS136" s="5">
        <f t="shared" si="304"/>
        <v>1000</v>
      </c>
      <c r="CT136" s="2">
        <f t="shared" si="305"/>
        <v>100000</v>
      </c>
      <c r="CU136" s="2">
        <f t="shared" si="306"/>
        <v>100000</v>
      </c>
      <c r="CV136" s="2">
        <f t="shared" si="307"/>
        <v>153657.64733335812</v>
      </c>
      <c r="CW136" s="8">
        <f t="shared" si="291"/>
        <v>4.8000000000000001E-2</v>
      </c>
      <c r="CX136" s="2">
        <f t="shared" si="292"/>
        <v>159803.95322669245</v>
      </c>
      <c r="CY136" s="2" t="str">
        <f t="shared" si="293"/>
        <v>nie</v>
      </c>
      <c r="CZ136" s="2">
        <f t="shared" si="222"/>
        <v>0</v>
      </c>
      <c r="DA136" s="2">
        <f t="shared" si="223"/>
        <v>0</v>
      </c>
      <c r="DB136" s="2">
        <f t="shared" si="224"/>
        <v>159803.95322669245</v>
      </c>
      <c r="DC136" s="2">
        <f t="shared" si="294"/>
        <v>0</v>
      </c>
      <c r="DD136" s="2">
        <f t="shared" si="225"/>
        <v>1301.1740211775427</v>
      </c>
      <c r="DE136" s="2">
        <f t="shared" si="226"/>
        <v>158502.7792055149</v>
      </c>
      <c r="DF136" s="2">
        <f t="shared" si="295"/>
        <v>3000</v>
      </c>
      <c r="DG136" s="2">
        <f t="shared" si="296"/>
        <v>10792.751113071567</v>
      </c>
      <c r="DH136" s="2">
        <f t="shared" si="227"/>
        <v>144710.02809244333</v>
      </c>
    </row>
    <row r="137" spans="2:112">
      <c r="B137" s="228"/>
      <c r="C137" s="1">
        <f t="shared" si="321"/>
        <v>100</v>
      </c>
      <c r="D137" s="2">
        <f t="shared" si="259"/>
        <v>143995.27694886777</v>
      </c>
      <c r="E137" s="2">
        <f t="shared" si="260"/>
        <v>134365.36444587863</v>
      </c>
      <c r="F137" s="2">
        <f t="shared" si="261"/>
        <v>143581.03460333328</v>
      </c>
      <c r="G137" s="2">
        <f t="shared" si="262"/>
        <v>133080.15326999995</v>
      </c>
      <c r="H137" s="2">
        <f t="shared" si="263"/>
        <v>147818.29439971675</v>
      </c>
      <c r="I137" s="2">
        <f t="shared" si="264"/>
        <v>136084.79035274018</v>
      </c>
      <c r="J137" s="2">
        <f t="shared" si="322"/>
        <v>133171.06235781539</v>
      </c>
      <c r="K137" s="2">
        <f t="shared" si="323"/>
        <v>125886.60849113419</v>
      </c>
      <c r="W137" s="1">
        <f t="shared" si="297"/>
        <v>119</v>
      </c>
      <c r="X137" s="2">
        <f t="shared" si="274"/>
        <v>131505.60798163211</v>
      </c>
      <c r="Y137" s="8">
        <f t="shared" si="310"/>
        <v>4.1300000000000003E-2</v>
      </c>
      <c r="Z137" s="5">
        <f t="shared" si="298"/>
        <v>1486</v>
      </c>
      <c r="AA137" s="2">
        <f t="shared" si="299"/>
        <v>148451.4</v>
      </c>
      <c r="AB137" s="2">
        <f t="shared" si="207"/>
        <v>148600</v>
      </c>
      <c r="AC137" s="2">
        <f t="shared" si="300"/>
        <v>148600</v>
      </c>
      <c r="AD137" s="8">
        <f t="shared" si="275"/>
        <v>4.65E-2</v>
      </c>
      <c r="AE137" s="2">
        <f t="shared" si="179"/>
        <v>154934.07499999998</v>
      </c>
      <c r="AF137" s="2" t="str">
        <f t="shared" si="276"/>
        <v>nie</v>
      </c>
      <c r="AG137" s="2">
        <f t="shared" si="277"/>
        <v>1486</v>
      </c>
      <c r="AH137" s="1">
        <f t="shared" si="233"/>
        <v>0</v>
      </c>
      <c r="AI137" s="1">
        <f t="shared" si="265"/>
        <v>1</v>
      </c>
      <c r="AJ137" s="1">
        <f t="shared" si="308"/>
        <v>1</v>
      </c>
      <c r="AK137" s="1">
        <f t="shared" si="319"/>
        <v>0</v>
      </c>
      <c r="AL137" s="2">
        <f t="shared" si="243"/>
        <v>0</v>
      </c>
      <c r="AM137" s="8">
        <f t="shared" si="313"/>
        <v>4.65E-2</v>
      </c>
      <c r="AN137" s="2">
        <f t="shared" si="244"/>
        <v>0</v>
      </c>
      <c r="AO137" s="2">
        <f t="shared" si="314"/>
        <v>0</v>
      </c>
      <c r="AP137" s="2">
        <f t="shared" si="272"/>
        <v>200</v>
      </c>
      <c r="AQ137" s="8">
        <f t="shared" si="266"/>
        <v>4.1300000000000003E-2</v>
      </c>
      <c r="AR137" s="2">
        <f t="shared" si="267"/>
        <v>207.57166666666666</v>
      </c>
      <c r="AS137" s="2">
        <f t="shared" si="268"/>
        <v>2</v>
      </c>
      <c r="AT137" s="2">
        <f t="shared" si="209"/>
        <v>0</v>
      </c>
      <c r="AU137" s="2">
        <f t="shared" si="245"/>
        <v>0</v>
      </c>
      <c r="AV137" s="2">
        <f t="shared" si="236"/>
        <v>56.360853477515676</v>
      </c>
      <c r="AW137" s="1">
        <f t="shared" si="311"/>
        <v>0</v>
      </c>
      <c r="AX137" s="2">
        <f t="shared" si="278"/>
        <v>56.360853477515676</v>
      </c>
      <c r="AY137" s="1">
        <f t="shared" si="237"/>
        <v>0</v>
      </c>
      <c r="AZ137" s="2">
        <f t="shared" si="210"/>
        <v>56.360853477515676</v>
      </c>
      <c r="BA137" s="2">
        <f t="shared" si="246"/>
        <v>155198.00752014417</v>
      </c>
      <c r="BB137" s="2">
        <f t="shared" si="279"/>
        <v>0</v>
      </c>
      <c r="BC137" s="2">
        <f t="shared" si="211"/>
        <v>1273.8597750865176</v>
      </c>
      <c r="BD137" s="2">
        <f t="shared" si="184"/>
        <v>153924.14774505765</v>
      </c>
      <c r="BE137" s="2">
        <f t="shared" si="212"/>
        <v>1488</v>
      </c>
      <c r="BF137" s="2">
        <f t="shared" si="185"/>
        <v>10204.901428827392</v>
      </c>
      <c r="BG137" s="2">
        <f t="shared" si="186"/>
        <v>142231.24631623024</v>
      </c>
      <c r="BI137" s="8">
        <f t="shared" si="315"/>
        <v>2.8000000000000001E-2</v>
      </c>
      <c r="BJ137" s="5">
        <f t="shared" si="301"/>
        <v>1089</v>
      </c>
      <c r="BK137" s="2">
        <f t="shared" si="302"/>
        <v>108791.1</v>
      </c>
      <c r="BL137" s="2">
        <f t="shared" si="303"/>
        <v>108900</v>
      </c>
      <c r="BM137" s="2">
        <f t="shared" si="280"/>
        <v>108900</v>
      </c>
      <c r="BN137" s="8">
        <f t="shared" si="281"/>
        <v>4.2999999999999997E-2</v>
      </c>
      <c r="BO137" s="2">
        <f t="shared" si="282"/>
        <v>113192.47500000001</v>
      </c>
      <c r="BP137" s="2" t="str">
        <f t="shared" si="283"/>
        <v>nie</v>
      </c>
      <c r="BQ137" s="2">
        <f t="shared" si="284"/>
        <v>2178</v>
      </c>
      <c r="BR137" s="1">
        <f t="shared" si="316"/>
        <v>178</v>
      </c>
      <c r="BS137" s="1">
        <f t="shared" si="269"/>
        <v>23</v>
      </c>
      <c r="BT137" s="1">
        <f t="shared" si="309"/>
        <v>104</v>
      </c>
      <c r="BU137" s="1">
        <f t="shared" si="320"/>
        <v>99</v>
      </c>
      <c r="BV137" s="2">
        <f t="shared" si="247"/>
        <v>17800</v>
      </c>
      <c r="BW137" s="8">
        <f t="shared" si="317"/>
        <v>0.05</v>
      </c>
      <c r="BX137" s="2">
        <f t="shared" si="248"/>
        <v>18615.833333333336</v>
      </c>
      <c r="BY137" s="2">
        <f t="shared" si="318"/>
        <v>356</v>
      </c>
      <c r="BZ137" s="2">
        <f t="shared" si="273"/>
        <v>22600</v>
      </c>
      <c r="CA137" s="8">
        <f t="shared" si="270"/>
        <v>4.2999999999999997E-2</v>
      </c>
      <c r="CB137" s="2">
        <f t="shared" si="249"/>
        <v>23490.816666666666</v>
      </c>
      <c r="CC137" s="2">
        <f t="shared" si="271"/>
        <v>452</v>
      </c>
      <c r="CD137" s="2">
        <f t="shared" si="285"/>
        <v>0</v>
      </c>
      <c r="CE137" s="2">
        <f t="shared" si="250"/>
        <v>0</v>
      </c>
      <c r="CF137" s="2">
        <f t="shared" si="251"/>
        <v>18.499999999929059</v>
      </c>
      <c r="CG137" s="1">
        <f t="shared" si="312"/>
        <v>0</v>
      </c>
      <c r="CH137" s="2">
        <f t="shared" si="286"/>
        <v>18.499999999929059</v>
      </c>
      <c r="CI137" s="1">
        <f t="shared" si="242"/>
        <v>0</v>
      </c>
      <c r="CJ137" s="2">
        <f t="shared" si="252"/>
        <v>18.499999999929059</v>
      </c>
      <c r="CK137" s="2">
        <f t="shared" si="253"/>
        <v>155317.62499999994</v>
      </c>
      <c r="CL137" s="2">
        <f t="shared" si="287"/>
        <v>0</v>
      </c>
      <c r="CM137" s="2">
        <f t="shared" si="216"/>
        <v>1274.8063299999994</v>
      </c>
      <c r="CN137" s="2">
        <f t="shared" si="288"/>
        <v>154042.81866999995</v>
      </c>
      <c r="CO137" s="2">
        <f t="shared" si="217"/>
        <v>2986</v>
      </c>
      <c r="CP137" s="2">
        <f t="shared" si="289"/>
        <v>9943.00874999999</v>
      </c>
      <c r="CQ137" s="2">
        <f t="shared" si="290"/>
        <v>141113.80991999997</v>
      </c>
      <c r="CS137" s="5">
        <f t="shared" si="304"/>
        <v>1000</v>
      </c>
      <c r="CT137" s="2">
        <f t="shared" si="305"/>
        <v>100000</v>
      </c>
      <c r="CU137" s="2">
        <f t="shared" si="306"/>
        <v>100000</v>
      </c>
      <c r="CV137" s="2">
        <f t="shared" si="307"/>
        <v>153657.64733335812</v>
      </c>
      <c r="CW137" s="8">
        <f t="shared" si="291"/>
        <v>4.8000000000000001E-2</v>
      </c>
      <c r="CX137" s="2">
        <f t="shared" si="292"/>
        <v>160418.5838160259</v>
      </c>
      <c r="CY137" s="2" t="str">
        <f t="shared" si="293"/>
        <v>nie</v>
      </c>
      <c r="CZ137" s="2">
        <f t="shared" si="222"/>
        <v>0</v>
      </c>
      <c r="DA137" s="2">
        <f t="shared" si="223"/>
        <v>0</v>
      </c>
      <c r="DB137" s="2">
        <f t="shared" si="224"/>
        <v>160418.5838160259</v>
      </c>
      <c r="DC137" s="2">
        <f t="shared" si="294"/>
        <v>0</v>
      </c>
      <c r="DD137" s="2">
        <f t="shared" si="225"/>
        <v>1301.1740211775427</v>
      </c>
      <c r="DE137" s="2">
        <f t="shared" si="226"/>
        <v>159117.40979484835</v>
      </c>
      <c r="DF137" s="2">
        <f t="shared" si="295"/>
        <v>3000</v>
      </c>
      <c r="DG137" s="2">
        <f t="shared" si="296"/>
        <v>10909.530925044921</v>
      </c>
      <c r="DH137" s="2">
        <f t="shared" si="227"/>
        <v>145207.87886980345</v>
      </c>
    </row>
    <row r="138" spans="2:112">
      <c r="B138" s="228"/>
      <c r="C138" s="1">
        <f t="shared" si="321"/>
        <v>101</v>
      </c>
      <c r="D138" s="2">
        <f t="shared" si="259"/>
        <v>144548.88951638236</v>
      </c>
      <c r="E138" s="2">
        <f t="shared" si="260"/>
        <v>134813.79062556542</v>
      </c>
      <c r="F138" s="2">
        <f t="shared" si="261"/>
        <v>144156.16793666661</v>
      </c>
      <c r="G138" s="2">
        <f t="shared" si="262"/>
        <v>133245.77126999994</v>
      </c>
      <c r="H138" s="2">
        <f t="shared" si="263"/>
        <v>148404.77396969142</v>
      </c>
      <c r="I138" s="2">
        <f t="shared" si="264"/>
        <v>136559.83880441965</v>
      </c>
      <c r="J138" s="2">
        <f t="shared" si="322"/>
        <v>133553.09684295437</v>
      </c>
      <c r="K138" s="2">
        <f t="shared" si="323"/>
        <v>126177.62773137128</v>
      </c>
      <c r="W138" s="1">
        <f t="shared" si="297"/>
        <v>120</v>
      </c>
      <c r="X138" s="2">
        <f t="shared" si="274"/>
        <v>131804.77576059586</v>
      </c>
      <c r="Y138" s="8">
        <f t="shared" si="310"/>
        <v>4.1300000000000003E-2</v>
      </c>
      <c r="Z138" s="5">
        <f t="shared" si="298"/>
        <v>1486</v>
      </c>
      <c r="AA138" s="2">
        <f t="shared" si="299"/>
        <v>148451.4</v>
      </c>
      <c r="AB138" s="2">
        <f t="shared" si="207"/>
        <v>148600</v>
      </c>
      <c r="AC138" s="2">
        <f t="shared" si="300"/>
        <v>148600</v>
      </c>
      <c r="AD138" s="8">
        <f t="shared" si="275"/>
        <v>4.65E-2</v>
      </c>
      <c r="AE138" s="2">
        <f t="shared" si="179"/>
        <v>155509.9</v>
      </c>
      <c r="AF138" s="2" t="str">
        <f t="shared" si="276"/>
        <v>nie</v>
      </c>
      <c r="AG138" s="2">
        <f t="shared" si="277"/>
        <v>1486</v>
      </c>
      <c r="AH138" s="1">
        <f t="shared" si="233"/>
        <v>0</v>
      </c>
      <c r="AI138" s="1">
        <f t="shared" si="265"/>
        <v>1</v>
      </c>
      <c r="AJ138" s="1">
        <f t="shared" si="308"/>
        <v>1</v>
      </c>
      <c r="AK138" s="1">
        <f t="shared" si="319"/>
        <v>0</v>
      </c>
      <c r="AL138" s="2">
        <f t="shared" si="243"/>
        <v>0</v>
      </c>
      <c r="AM138" s="8">
        <f t="shared" si="313"/>
        <v>4.65E-2</v>
      </c>
      <c r="AN138" s="2">
        <f t="shared" si="244"/>
        <v>0</v>
      </c>
      <c r="AO138" s="2">
        <f t="shared" si="314"/>
        <v>0</v>
      </c>
      <c r="AP138" s="2">
        <f t="shared" si="272"/>
        <v>200</v>
      </c>
      <c r="AQ138" s="8">
        <f t="shared" si="266"/>
        <v>4.1300000000000003E-2</v>
      </c>
      <c r="AR138" s="2">
        <f t="shared" si="267"/>
        <v>208.26000000000002</v>
      </c>
      <c r="AS138" s="2">
        <f t="shared" si="268"/>
        <v>2</v>
      </c>
      <c r="AT138" s="2">
        <f t="shared" si="209"/>
        <v>0</v>
      </c>
      <c r="AU138" s="2">
        <f t="shared" si="245"/>
        <v>8.2600000000000193</v>
      </c>
      <c r="AV138" s="2">
        <f t="shared" si="236"/>
        <v>64.620853477515695</v>
      </c>
      <c r="AW138" s="1">
        <f t="shared" si="311"/>
        <v>0</v>
      </c>
      <c r="AX138" s="2">
        <f t="shared" si="278"/>
        <v>64.620853477515695</v>
      </c>
      <c r="AY138" s="1">
        <f t="shared" si="237"/>
        <v>0</v>
      </c>
      <c r="AZ138" s="2">
        <f t="shared" si="210"/>
        <v>64.620853477515695</v>
      </c>
      <c r="BA138" s="2">
        <f t="shared" si="246"/>
        <v>155774.52085347753</v>
      </c>
      <c r="BB138" s="2">
        <f t="shared" si="279"/>
        <v>155.77452085347753</v>
      </c>
      <c r="BC138" s="2">
        <f t="shared" si="211"/>
        <v>1429.6342959399951</v>
      </c>
      <c r="BD138" s="2">
        <f t="shared" si="184"/>
        <v>154344.88655753754</v>
      </c>
      <c r="BE138" s="2">
        <f t="shared" si="212"/>
        <v>1488</v>
      </c>
      <c r="BF138" s="2">
        <f t="shared" si="185"/>
        <v>10314.438962160732</v>
      </c>
      <c r="BG138" s="2">
        <f t="shared" si="186"/>
        <v>142542.44759537681</v>
      </c>
      <c r="BI138" s="8">
        <f t="shared" si="315"/>
        <v>2.8000000000000001E-2</v>
      </c>
      <c r="BJ138" s="5">
        <f t="shared" si="301"/>
        <v>1089</v>
      </c>
      <c r="BK138" s="2">
        <f t="shared" si="302"/>
        <v>108791.1</v>
      </c>
      <c r="BL138" s="2">
        <f t="shared" si="303"/>
        <v>108900</v>
      </c>
      <c r="BM138" s="2">
        <f t="shared" si="280"/>
        <v>108900</v>
      </c>
      <c r="BN138" s="8">
        <f t="shared" si="281"/>
        <v>4.2999999999999997E-2</v>
      </c>
      <c r="BO138" s="2">
        <f t="shared" si="282"/>
        <v>113582.7</v>
      </c>
      <c r="BP138" s="2" t="str">
        <f t="shared" si="283"/>
        <v>nie</v>
      </c>
      <c r="BQ138" s="2">
        <f t="shared" si="284"/>
        <v>2178</v>
      </c>
      <c r="BR138" s="1">
        <f t="shared" si="316"/>
        <v>178</v>
      </c>
      <c r="BS138" s="1">
        <f t="shared" si="269"/>
        <v>23</v>
      </c>
      <c r="BT138" s="1">
        <f t="shared" si="309"/>
        <v>104</v>
      </c>
      <c r="BU138" s="1">
        <f t="shared" si="320"/>
        <v>99</v>
      </c>
      <c r="BV138" s="2">
        <f t="shared" si="247"/>
        <v>17800</v>
      </c>
      <c r="BW138" s="8">
        <f t="shared" si="317"/>
        <v>0.05</v>
      </c>
      <c r="BX138" s="2">
        <f t="shared" si="248"/>
        <v>18690</v>
      </c>
      <c r="BY138" s="2">
        <f t="shared" si="318"/>
        <v>356</v>
      </c>
      <c r="BZ138" s="2">
        <f t="shared" si="273"/>
        <v>22600</v>
      </c>
      <c r="CA138" s="8">
        <f t="shared" si="270"/>
        <v>4.2999999999999997E-2</v>
      </c>
      <c r="CB138" s="2">
        <f t="shared" si="249"/>
        <v>23571.8</v>
      </c>
      <c r="CC138" s="2">
        <f t="shared" si="271"/>
        <v>452</v>
      </c>
      <c r="CD138" s="2">
        <f t="shared" si="285"/>
        <v>4682.6999999999971</v>
      </c>
      <c r="CE138" s="2">
        <f t="shared" si="250"/>
        <v>11761.8</v>
      </c>
      <c r="CF138" s="2">
        <f t="shared" si="251"/>
        <v>16462.999999999927</v>
      </c>
      <c r="CG138" s="1">
        <f t="shared" si="312"/>
        <v>99</v>
      </c>
      <c r="CH138" s="2">
        <f t="shared" si="286"/>
        <v>6572.8999999999269</v>
      </c>
      <c r="CI138" s="1">
        <f t="shared" si="242"/>
        <v>65</v>
      </c>
      <c r="CJ138" s="2">
        <f t="shared" si="252"/>
        <v>72.899999999926877</v>
      </c>
      <c r="CK138" s="2">
        <f t="shared" si="253"/>
        <v>155862.99999999994</v>
      </c>
      <c r="CL138" s="2">
        <f t="shared" si="287"/>
        <v>155.86299999999994</v>
      </c>
      <c r="CM138" s="2">
        <f t="shared" si="216"/>
        <v>1430.6693299999993</v>
      </c>
      <c r="CN138" s="2">
        <f t="shared" si="288"/>
        <v>154432.33066999994</v>
      </c>
      <c r="CO138" s="2">
        <f t="shared" si="217"/>
        <v>2986</v>
      </c>
      <c r="CP138" s="2">
        <f t="shared" si="289"/>
        <v>10046.629999999988</v>
      </c>
      <c r="CQ138" s="2">
        <f t="shared" si="290"/>
        <v>141399.70066999996</v>
      </c>
      <c r="CS138" s="5">
        <f t="shared" si="304"/>
        <v>1000</v>
      </c>
      <c r="CT138" s="2">
        <f t="shared" si="305"/>
        <v>100000</v>
      </c>
      <c r="CU138" s="2">
        <f t="shared" si="306"/>
        <v>100000</v>
      </c>
      <c r="CV138" s="2">
        <f t="shared" si="307"/>
        <v>153657.64733335812</v>
      </c>
      <c r="CW138" s="8">
        <f t="shared" si="291"/>
        <v>4.8000000000000001E-2</v>
      </c>
      <c r="CX138" s="2">
        <f t="shared" si="292"/>
        <v>161033.21440535932</v>
      </c>
      <c r="CY138" s="2" t="str">
        <f t="shared" si="293"/>
        <v>tak</v>
      </c>
      <c r="CZ138" s="2">
        <f t="shared" si="222"/>
        <v>94.314405359298689</v>
      </c>
      <c r="DA138" s="2">
        <f t="shared" si="223"/>
        <v>94.314405359298689</v>
      </c>
      <c r="DB138" s="2">
        <f t="shared" si="224"/>
        <v>161033.21440535932</v>
      </c>
      <c r="DC138" s="2">
        <f t="shared" si="294"/>
        <v>161.03321440535933</v>
      </c>
      <c r="DD138" s="2">
        <f t="shared" si="225"/>
        <v>1462.2072355829021</v>
      </c>
      <c r="DE138" s="2">
        <f t="shared" si="226"/>
        <v>159571.00716977642</v>
      </c>
      <c r="DF138" s="2">
        <f t="shared" si="295"/>
        <v>0</v>
      </c>
      <c r="DG138" s="2">
        <f t="shared" si="296"/>
        <v>11596.310737018272</v>
      </c>
      <c r="DH138" s="2">
        <f t="shared" si="227"/>
        <v>147974.69643275815</v>
      </c>
    </row>
    <row r="139" spans="2:112">
      <c r="B139" s="228"/>
      <c r="C139" s="1">
        <f t="shared" si="321"/>
        <v>102</v>
      </c>
      <c r="D139" s="2">
        <f t="shared" si="259"/>
        <v>145102.50208389695</v>
      </c>
      <c r="E139" s="2">
        <f t="shared" si="260"/>
        <v>135262.21680525225</v>
      </c>
      <c r="F139" s="2">
        <f t="shared" si="261"/>
        <v>144731.30126999994</v>
      </c>
      <c r="G139" s="2">
        <f t="shared" si="262"/>
        <v>133711.62926999995</v>
      </c>
      <c r="H139" s="2">
        <f t="shared" si="263"/>
        <v>148991.25353966607</v>
      </c>
      <c r="I139" s="2">
        <f t="shared" si="264"/>
        <v>137034.88725609911</v>
      </c>
      <c r="J139" s="2">
        <f t="shared" si="322"/>
        <v>133936.22728952259</v>
      </c>
      <c r="K139" s="2">
        <f t="shared" si="323"/>
        <v>126468.64697160838</v>
      </c>
      <c r="W139" s="1">
        <f t="shared" si="297"/>
        <v>121</v>
      </c>
      <c r="X139" s="2">
        <f t="shared" si="274"/>
        <v>132112.32023737059</v>
      </c>
      <c r="Y139" s="8">
        <f t="shared" si="310"/>
        <v>4.1300000000000003E-2</v>
      </c>
      <c r="Z139" s="5">
        <f t="shared" si="298"/>
        <v>1486</v>
      </c>
      <c r="AA139" s="2">
        <f t="shared" si="299"/>
        <v>148451.4</v>
      </c>
      <c r="AB139" s="2">
        <f t="shared" si="207"/>
        <v>148600</v>
      </c>
      <c r="AC139" s="2">
        <f t="shared" si="300"/>
        <v>155509.9</v>
      </c>
      <c r="AD139" s="8">
        <f t="shared" si="275"/>
        <v>4.65E-2</v>
      </c>
      <c r="AE139" s="2">
        <f t="shared" si="179"/>
        <v>156112.50086250002</v>
      </c>
      <c r="AF139" s="2" t="str">
        <f t="shared" si="276"/>
        <v>nie</v>
      </c>
      <c r="AG139" s="2">
        <f t="shared" si="277"/>
        <v>1486</v>
      </c>
      <c r="AH139" s="1">
        <f t="shared" si="233"/>
        <v>0</v>
      </c>
      <c r="AI139" s="1">
        <f t="shared" ref="AI139:AI162" si="324">IF(zapadalnosc_TOS/12&gt;=AI$18,AH127,0)</f>
        <v>0</v>
      </c>
      <c r="AJ139" s="1">
        <f t="shared" si="308"/>
        <v>1</v>
      </c>
      <c r="AK139" s="1">
        <f t="shared" si="319"/>
        <v>0</v>
      </c>
      <c r="AL139" s="2">
        <f t="shared" si="243"/>
        <v>0</v>
      </c>
      <c r="AM139" s="8">
        <f t="shared" si="313"/>
        <v>4.65E-2</v>
      </c>
      <c r="AN139" s="2">
        <f t="shared" si="244"/>
        <v>0</v>
      </c>
      <c r="AO139" s="2">
        <f t="shared" si="314"/>
        <v>0</v>
      </c>
      <c r="AP139" s="2">
        <f t="shared" si="272"/>
        <v>100</v>
      </c>
      <c r="AQ139" s="8">
        <f t="shared" ref="AQ139:AQ162" si="325">marza_TOS+Y139</f>
        <v>4.1300000000000003E-2</v>
      </c>
      <c r="AR139" s="2">
        <f t="shared" si="267"/>
        <v>100.34416666666665</v>
      </c>
      <c r="AS139" s="2">
        <f t="shared" ref="AS139:AS162" si="326">SUM(AI139:AK139)*koszt_wczesniejszy_wykup_TOS</f>
        <v>1</v>
      </c>
      <c r="AT139" s="2">
        <f t="shared" si="209"/>
        <v>0</v>
      </c>
      <c r="AU139" s="2">
        <f t="shared" si="245"/>
        <v>0</v>
      </c>
      <c r="AV139" s="2">
        <f t="shared" si="236"/>
        <v>64.620853477515695</v>
      </c>
      <c r="AW139" s="1">
        <f t="shared" si="311"/>
        <v>0</v>
      </c>
      <c r="AX139" s="2">
        <f t="shared" si="278"/>
        <v>64.620853477515695</v>
      </c>
      <c r="AY139" s="1">
        <f t="shared" si="237"/>
        <v>0</v>
      </c>
      <c r="AZ139" s="2">
        <f t="shared" si="210"/>
        <v>64.620853477515695</v>
      </c>
      <c r="BA139" s="2">
        <f t="shared" si="246"/>
        <v>156277.4658826442</v>
      </c>
      <c r="BB139" s="2">
        <f t="shared" si="279"/>
        <v>0</v>
      </c>
      <c r="BC139" s="2">
        <f t="shared" si="211"/>
        <v>1429.6342959399951</v>
      </c>
      <c r="BD139" s="2">
        <f t="shared" si="184"/>
        <v>154847.83158670421</v>
      </c>
      <c r="BE139" s="2">
        <f t="shared" si="212"/>
        <v>1487</v>
      </c>
      <c r="BF139" s="2">
        <f t="shared" si="185"/>
        <v>10410.188517702398</v>
      </c>
      <c r="BG139" s="2">
        <f t="shared" si="186"/>
        <v>142950.64306900182</v>
      </c>
      <c r="BI139" s="8">
        <f t="shared" si="315"/>
        <v>2.8000000000000001E-2</v>
      </c>
      <c r="BJ139" s="5">
        <f t="shared" si="301"/>
        <v>1089</v>
      </c>
      <c r="BK139" s="2">
        <f t="shared" si="302"/>
        <v>108791.1</v>
      </c>
      <c r="BL139" s="2">
        <f t="shared" si="303"/>
        <v>108900</v>
      </c>
      <c r="BM139" s="2">
        <f t="shared" si="280"/>
        <v>108900</v>
      </c>
      <c r="BN139" s="8">
        <f t="shared" si="281"/>
        <v>4.2999999999999997E-2</v>
      </c>
      <c r="BO139" s="2">
        <f t="shared" si="282"/>
        <v>109290.22499999999</v>
      </c>
      <c r="BP139" s="2" t="str">
        <f t="shared" si="283"/>
        <v>nie</v>
      </c>
      <c r="BQ139" s="2">
        <f t="shared" si="284"/>
        <v>2178</v>
      </c>
      <c r="BR139" s="1">
        <f t="shared" si="316"/>
        <v>164</v>
      </c>
      <c r="BS139" s="1">
        <f t="shared" ref="BS139:BS162" si="327">IF(zapadalnosc_COI/12&gt;=BS$18,BR127,0)</f>
        <v>178</v>
      </c>
      <c r="BT139" s="1">
        <f t="shared" si="309"/>
        <v>23</v>
      </c>
      <c r="BU139" s="1">
        <f t="shared" si="320"/>
        <v>104</v>
      </c>
      <c r="BV139" s="2">
        <f t="shared" si="247"/>
        <v>16400</v>
      </c>
      <c r="BW139" s="8">
        <f t="shared" si="317"/>
        <v>0.05</v>
      </c>
      <c r="BX139" s="2">
        <f t="shared" si="248"/>
        <v>16468.333333333332</v>
      </c>
      <c r="BY139" s="2">
        <f t="shared" si="318"/>
        <v>68.333333333332121</v>
      </c>
      <c r="BZ139" s="2">
        <f t="shared" si="273"/>
        <v>30500</v>
      </c>
      <c r="CA139" s="8">
        <f t="shared" ref="CA139:CA162" si="328">marza_COI+BI139</f>
        <v>4.2999999999999997E-2</v>
      </c>
      <c r="CB139" s="2">
        <f t="shared" si="249"/>
        <v>30609.291666666664</v>
      </c>
      <c r="CC139" s="2">
        <f t="shared" ref="CC139:CC162" si="329">SUM(BS139:BU139)*koszt_wczesniejszy_wykup_COI</f>
        <v>610</v>
      </c>
      <c r="CD139" s="2">
        <f t="shared" si="285"/>
        <v>0</v>
      </c>
      <c r="CE139" s="2">
        <f t="shared" si="250"/>
        <v>0</v>
      </c>
      <c r="CF139" s="2">
        <f t="shared" si="251"/>
        <v>72.899999999926877</v>
      </c>
      <c r="CG139" s="1">
        <f t="shared" si="312"/>
        <v>0</v>
      </c>
      <c r="CH139" s="2">
        <f t="shared" si="286"/>
        <v>72.899999999926877</v>
      </c>
      <c r="CI139" s="1">
        <f t="shared" si="242"/>
        <v>0</v>
      </c>
      <c r="CJ139" s="2">
        <f t="shared" si="252"/>
        <v>72.899999999926877</v>
      </c>
      <c r="CK139" s="2">
        <f t="shared" si="253"/>
        <v>156440.74999999991</v>
      </c>
      <c r="CL139" s="2">
        <f t="shared" si="287"/>
        <v>0</v>
      </c>
      <c r="CM139" s="2">
        <f t="shared" si="216"/>
        <v>1430.6693299999993</v>
      </c>
      <c r="CN139" s="2">
        <f t="shared" si="288"/>
        <v>155010.08066999991</v>
      </c>
      <c r="CO139" s="2">
        <f t="shared" si="217"/>
        <v>2856.3333333333321</v>
      </c>
      <c r="CP139" s="2">
        <f t="shared" si="289"/>
        <v>10181.039166666649</v>
      </c>
      <c r="CQ139" s="2">
        <f t="shared" si="290"/>
        <v>141972.70816999991</v>
      </c>
      <c r="CS139" s="5">
        <f t="shared" si="304"/>
        <v>1611</v>
      </c>
      <c r="CT139" s="2">
        <f t="shared" si="305"/>
        <v>160938.90000000002</v>
      </c>
      <c r="CU139" s="2">
        <f t="shared" si="306"/>
        <v>161100</v>
      </c>
      <c r="CV139" s="2">
        <f t="shared" si="307"/>
        <v>161100</v>
      </c>
      <c r="CW139" s="8">
        <f t="shared" si="291"/>
        <v>5.6000000000000001E-2</v>
      </c>
      <c r="CX139" s="2">
        <f t="shared" si="292"/>
        <v>161851.79999999999</v>
      </c>
      <c r="CY139" s="2" t="str">
        <f t="shared" si="293"/>
        <v>nie</v>
      </c>
      <c r="CZ139" s="2">
        <f t="shared" si="222"/>
        <v>0</v>
      </c>
      <c r="DA139" s="2">
        <f t="shared" si="223"/>
        <v>94.314405359298689</v>
      </c>
      <c r="DB139" s="2">
        <f t="shared" si="224"/>
        <v>161946.11440535929</v>
      </c>
      <c r="DC139" s="2">
        <f t="shared" si="294"/>
        <v>0</v>
      </c>
      <c r="DD139" s="2">
        <f t="shared" si="225"/>
        <v>1462.2072355829021</v>
      </c>
      <c r="DE139" s="2">
        <f t="shared" si="226"/>
        <v>160483.90716977639</v>
      </c>
      <c r="DF139" s="2">
        <f t="shared" si="295"/>
        <v>751.79999999998836</v>
      </c>
      <c r="DG139" s="2">
        <f t="shared" si="296"/>
        <v>11609</v>
      </c>
      <c r="DH139" s="2">
        <f t="shared" si="227"/>
        <v>148123.1071697764</v>
      </c>
    </row>
    <row r="140" spans="2:112">
      <c r="B140" s="228"/>
      <c r="C140" s="1">
        <f t="shared" si="321"/>
        <v>103</v>
      </c>
      <c r="D140" s="2">
        <f t="shared" si="259"/>
        <v>145656.11465141154</v>
      </c>
      <c r="E140" s="2">
        <f t="shared" si="260"/>
        <v>135710.64298493907</v>
      </c>
      <c r="F140" s="2">
        <f t="shared" si="261"/>
        <v>145306.43460333327</v>
      </c>
      <c r="G140" s="2">
        <f t="shared" si="262"/>
        <v>134177.48726999995</v>
      </c>
      <c r="H140" s="2">
        <f t="shared" si="263"/>
        <v>149577.73310964071</v>
      </c>
      <c r="I140" s="2">
        <f t="shared" si="264"/>
        <v>137509.93570777858</v>
      </c>
      <c r="J140" s="2">
        <f t="shared" si="322"/>
        <v>134320.45684155941</v>
      </c>
      <c r="K140" s="2">
        <f t="shared" si="323"/>
        <v>126759.66621184547</v>
      </c>
      <c r="W140" s="1">
        <f t="shared" si="297"/>
        <v>122</v>
      </c>
      <c r="X140" s="2">
        <f t="shared" si="274"/>
        <v>132419.86471414531</v>
      </c>
      <c r="Y140" s="8">
        <f t="shared" si="310"/>
        <v>4.1300000000000003E-2</v>
      </c>
      <c r="Z140" s="5">
        <f t="shared" si="298"/>
        <v>1486</v>
      </c>
      <c r="AA140" s="2">
        <f t="shared" si="299"/>
        <v>148451.4</v>
      </c>
      <c r="AB140" s="2">
        <f t="shared" si="207"/>
        <v>148600</v>
      </c>
      <c r="AC140" s="2">
        <f t="shared" si="300"/>
        <v>155509.9</v>
      </c>
      <c r="AD140" s="8">
        <f t="shared" si="275"/>
        <v>4.65E-2</v>
      </c>
      <c r="AE140" s="2">
        <f t="shared" si="179"/>
        <v>156715.10172499999</v>
      </c>
      <c r="AF140" s="2" t="str">
        <f t="shared" si="276"/>
        <v>nie</v>
      </c>
      <c r="AG140" s="2">
        <f t="shared" si="277"/>
        <v>1486</v>
      </c>
      <c r="AH140" s="1">
        <f t="shared" si="233"/>
        <v>0</v>
      </c>
      <c r="AI140" s="1">
        <f t="shared" si="324"/>
        <v>0</v>
      </c>
      <c r="AJ140" s="1">
        <f t="shared" si="308"/>
        <v>1</v>
      </c>
      <c r="AK140" s="1">
        <f t="shared" si="319"/>
        <v>0</v>
      </c>
      <c r="AL140" s="2">
        <f t="shared" si="243"/>
        <v>0</v>
      </c>
      <c r="AM140" s="8">
        <f t="shared" si="313"/>
        <v>4.65E-2</v>
      </c>
      <c r="AN140" s="2">
        <f t="shared" si="244"/>
        <v>0</v>
      </c>
      <c r="AO140" s="2">
        <f t="shared" si="314"/>
        <v>0</v>
      </c>
      <c r="AP140" s="2">
        <f t="shared" si="272"/>
        <v>100</v>
      </c>
      <c r="AQ140" s="8">
        <f t="shared" si="325"/>
        <v>4.1300000000000003E-2</v>
      </c>
      <c r="AR140" s="2">
        <f t="shared" si="267"/>
        <v>100.68833333333333</v>
      </c>
      <c r="AS140" s="2">
        <f t="shared" si="326"/>
        <v>1</v>
      </c>
      <c r="AT140" s="2">
        <f t="shared" si="209"/>
        <v>0</v>
      </c>
      <c r="AU140" s="2">
        <f t="shared" si="245"/>
        <v>0</v>
      </c>
      <c r="AV140" s="2">
        <f t="shared" si="236"/>
        <v>64.620853477515695</v>
      </c>
      <c r="AW140" s="1">
        <f t="shared" si="311"/>
        <v>0</v>
      </c>
      <c r="AX140" s="2">
        <f t="shared" si="278"/>
        <v>64.620853477515695</v>
      </c>
      <c r="AY140" s="1">
        <f t="shared" si="237"/>
        <v>0</v>
      </c>
      <c r="AZ140" s="2">
        <f t="shared" si="210"/>
        <v>64.620853477515695</v>
      </c>
      <c r="BA140" s="2">
        <f t="shared" si="246"/>
        <v>156880.41091181082</v>
      </c>
      <c r="BB140" s="2">
        <f t="shared" si="279"/>
        <v>0</v>
      </c>
      <c r="BC140" s="2">
        <f t="shared" si="211"/>
        <v>1429.6342959399951</v>
      </c>
      <c r="BD140" s="2">
        <f t="shared" si="184"/>
        <v>155450.77661587083</v>
      </c>
      <c r="BE140" s="2">
        <f t="shared" si="212"/>
        <v>1487</v>
      </c>
      <c r="BF140" s="2">
        <f t="shared" si="185"/>
        <v>10524.748073244056</v>
      </c>
      <c r="BG140" s="2">
        <f t="shared" si="186"/>
        <v>143439.02854262677</v>
      </c>
      <c r="BI140" s="8">
        <f t="shared" si="315"/>
        <v>2.8000000000000001E-2</v>
      </c>
      <c r="BJ140" s="5">
        <f t="shared" si="301"/>
        <v>1089</v>
      </c>
      <c r="BK140" s="2">
        <f t="shared" si="302"/>
        <v>108791.1</v>
      </c>
      <c r="BL140" s="2">
        <f t="shared" si="303"/>
        <v>108900</v>
      </c>
      <c r="BM140" s="2">
        <f t="shared" si="280"/>
        <v>108900</v>
      </c>
      <c r="BN140" s="8">
        <f t="shared" si="281"/>
        <v>4.2999999999999997E-2</v>
      </c>
      <c r="BO140" s="2">
        <f t="shared" si="282"/>
        <v>109680.45000000001</v>
      </c>
      <c r="BP140" s="2" t="str">
        <f t="shared" si="283"/>
        <v>nie</v>
      </c>
      <c r="BQ140" s="2">
        <f t="shared" si="284"/>
        <v>2178</v>
      </c>
      <c r="BR140" s="1">
        <f t="shared" si="316"/>
        <v>164</v>
      </c>
      <c r="BS140" s="1">
        <f t="shared" si="327"/>
        <v>178</v>
      </c>
      <c r="BT140" s="1">
        <f t="shared" si="309"/>
        <v>23</v>
      </c>
      <c r="BU140" s="1">
        <f t="shared" si="320"/>
        <v>104</v>
      </c>
      <c r="BV140" s="2">
        <f t="shared" si="247"/>
        <v>16400</v>
      </c>
      <c r="BW140" s="8">
        <f t="shared" si="317"/>
        <v>0.05</v>
      </c>
      <c r="BX140" s="2">
        <f t="shared" si="248"/>
        <v>16536.666666666668</v>
      </c>
      <c r="BY140" s="2">
        <f t="shared" si="318"/>
        <v>136.66666666666788</v>
      </c>
      <c r="BZ140" s="2">
        <f t="shared" si="273"/>
        <v>30500</v>
      </c>
      <c r="CA140" s="8">
        <f t="shared" si="328"/>
        <v>4.2999999999999997E-2</v>
      </c>
      <c r="CB140" s="2">
        <f t="shared" si="249"/>
        <v>30718.583333333336</v>
      </c>
      <c r="CC140" s="2">
        <f t="shared" si="329"/>
        <v>610</v>
      </c>
      <c r="CD140" s="2">
        <f t="shared" si="285"/>
        <v>0</v>
      </c>
      <c r="CE140" s="2">
        <f t="shared" si="250"/>
        <v>0</v>
      </c>
      <c r="CF140" s="2">
        <f t="shared" si="251"/>
        <v>72.899999999926877</v>
      </c>
      <c r="CG140" s="1">
        <f t="shared" si="312"/>
        <v>0</v>
      </c>
      <c r="CH140" s="2">
        <f t="shared" si="286"/>
        <v>72.899999999926877</v>
      </c>
      <c r="CI140" s="1">
        <f t="shared" si="242"/>
        <v>0</v>
      </c>
      <c r="CJ140" s="2">
        <f t="shared" si="252"/>
        <v>72.899999999926877</v>
      </c>
      <c r="CK140" s="2">
        <f t="shared" si="253"/>
        <v>157008.59999999995</v>
      </c>
      <c r="CL140" s="2">
        <f t="shared" si="287"/>
        <v>0</v>
      </c>
      <c r="CM140" s="2">
        <f t="shared" si="216"/>
        <v>1430.6693299999993</v>
      </c>
      <c r="CN140" s="2">
        <f t="shared" si="288"/>
        <v>155577.93066999994</v>
      </c>
      <c r="CO140" s="2">
        <f t="shared" si="217"/>
        <v>2924.6666666666679</v>
      </c>
      <c r="CP140" s="2">
        <f t="shared" si="289"/>
        <v>10275.947333333326</v>
      </c>
      <c r="CQ140" s="2">
        <f t="shared" si="290"/>
        <v>142377.31666999997</v>
      </c>
      <c r="CS140" s="5">
        <f t="shared" si="304"/>
        <v>1611</v>
      </c>
      <c r="CT140" s="2">
        <f t="shared" si="305"/>
        <v>160938.90000000002</v>
      </c>
      <c r="CU140" s="2">
        <f t="shared" si="306"/>
        <v>161100</v>
      </c>
      <c r="CV140" s="2">
        <f t="shared" si="307"/>
        <v>161100</v>
      </c>
      <c r="CW140" s="8">
        <f t="shared" si="291"/>
        <v>5.6000000000000001E-2</v>
      </c>
      <c r="CX140" s="2">
        <f t="shared" si="292"/>
        <v>162603.6</v>
      </c>
      <c r="CY140" s="2" t="str">
        <f t="shared" si="293"/>
        <v>nie</v>
      </c>
      <c r="CZ140" s="2">
        <f t="shared" si="222"/>
        <v>0</v>
      </c>
      <c r="DA140" s="2">
        <f t="shared" si="223"/>
        <v>94.314405359298689</v>
      </c>
      <c r="DB140" s="2">
        <f t="shared" si="224"/>
        <v>162697.9144053593</v>
      </c>
      <c r="DC140" s="2">
        <f t="shared" si="294"/>
        <v>0</v>
      </c>
      <c r="DD140" s="2">
        <f t="shared" si="225"/>
        <v>1462.2072355829021</v>
      </c>
      <c r="DE140" s="2">
        <f t="shared" si="226"/>
        <v>161235.7071697764</v>
      </c>
      <c r="DF140" s="2">
        <f t="shared" si="295"/>
        <v>1503.6000000000058</v>
      </c>
      <c r="DG140" s="2">
        <f t="shared" si="296"/>
        <v>11609</v>
      </c>
      <c r="DH140" s="2">
        <f t="shared" si="227"/>
        <v>148123.1071697764</v>
      </c>
    </row>
    <row r="141" spans="2:112">
      <c r="B141" s="228"/>
      <c r="C141" s="1">
        <f t="shared" si="321"/>
        <v>104</v>
      </c>
      <c r="D141" s="2">
        <f t="shared" si="259"/>
        <v>146209.7272189261</v>
      </c>
      <c r="E141" s="2">
        <f t="shared" si="260"/>
        <v>136159.06916462586</v>
      </c>
      <c r="F141" s="2">
        <f t="shared" si="261"/>
        <v>145881.56793666663</v>
      </c>
      <c r="G141" s="2">
        <f t="shared" si="262"/>
        <v>134643.34526999996</v>
      </c>
      <c r="H141" s="2">
        <f t="shared" si="263"/>
        <v>150164.21267961536</v>
      </c>
      <c r="I141" s="2">
        <f t="shared" si="264"/>
        <v>137984.98415945805</v>
      </c>
      <c r="J141" s="2">
        <f t="shared" si="322"/>
        <v>134705.78865212362</v>
      </c>
      <c r="K141" s="2">
        <f t="shared" si="323"/>
        <v>127050.68545208257</v>
      </c>
      <c r="W141" s="1">
        <f t="shared" si="297"/>
        <v>123</v>
      </c>
      <c r="X141" s="2">
        <f t="shared" si="274"/>
        <v>132727.40919092001</v>
      </c>
      <c r="Y141" s="8">
        <f t="shared" si="310"/>
        <v>4.1300000000000003E-2</v>
      </c>
      <c r="Z141" s="5">
        <f t="shared" si="298"/>
        <v>1486</v>
      </c>
      <c r="AA141" s="2">
        <f t="shared" si="299"/>
        <v>148451.4</v>
      </c>
      <c r="AB141" s="2">
        <f t="shared" si="207"/>
        <v>148600</v>
      </c>
      <c r="AC141" s="2">
        <f t="shared" si="300"/>
        <v>155509.9</v>
      </c>
      <c r="AD141" s="8">
        <f t="shared" si="275"/>
        <v>4.65E-2</v>
      </c>
      <c r="AE141" s="2">
        <f t="shared" si="179"/>
        <v>157317.70258749998</v>
      </c>
      <c r="AF141" s="2" t="str">
        <f t="shared" si="276"/>
        <v>nie</v>
      </c>
      <c r="AG141" s="2">
        <f t="shared" si="277"/>
        <v>1486</v>
      </c>
      <c r="AH141" s="1">
        <f t="shared" si="233"/>
        <v>0</v>
      </c>
      <c r="AI141" s="1">
        <f t="shared" si="324"/>
        <v>0</v>
      </c>
      <c r="AJ141" s="1">
        <f t="shared" si="308"/>
        <v>1</v>
      </c>
      <c r="AK141" s="1">
        <f t="shared" si="319"/>
        <v>0</v>
      </c>
      <c r="AL141" s="2">
        <f t="shared" si="243"/>
        <v>0</v>
      </c>
      <c r="AM141" s="8">
        <f t="shared" si="313"/>
        <v>4.65E-2</v>
      </c>
      <c r="AN141" s="2">
        <f t="shared" si="244"/>
        <v>0</v>
      </c>
      <c r="AO141" s="2">
        <f t="shared" si="314"/>
        <v>0</v>
      </c>
      <c r="AP141" s="2">
        <f t="shared" si="272"/>
        <v>100</v>
      </c>
      <c r="AQ141" s="8">
        <f t="shared" si="325"/>
        <v>4.1300000000000003E-2</v>
      </c>
      <c r="AR141" s="2">
        <f t="shared" si="267"/>
        <v>101.0325</v>
      </c>
      <c r="AS141" s="2">
        <f t="shared" si="326"/>
        <v>1</v>
      </c>
      <c r="AT141" s="2">
        <f t="shared" si="209"/>
        <v>0</v>
      </c>
      <c r="AU141" s="2">
        <f t="shared" si="245"/>
        <v>0</v>
      </c>
      <c r="AV141" s="2">
        <f t="shared" si="236"/>
        <v>64.620853477515695</v>
      </c>
      <c r="AW141" s="1">
        <f t="shared" si="311"/>
        <v>0</v>
      </c>
      <c r="AX141" s="2">
        <f t="shared" si="278"/>
        <v>64.620853477515695</v>
      </c>
      <c r="AY141" s="1">
        <f t="shared" si="237"/>
        <v>0</v>
      </c>
      <c r="AZ141" s="2">
        <f t="shared" si="210"/>
        <v>64.620853477515695</v>
      </c>
      <c r="BA141" s="2">
        <f t="shared" si="246"/>
        <v>157483.35594097749</v>
      </c>
      <c r="BB141" s="2">
        <f t="shared" si="279"/>
        <v>0</v>
      </c>
      <c r="BC141" s="2">
        <f t="shared" si="211"/>
        <v>1429.6342959399951</v>
      </c>
      <c r="BD141" s="2">
        <f t="shared" si="184"/>
        <v>156053.7216450375</v>
      </c>
      <c r="BE141" s="2">
        <f t="shared" si="212"/>
        <v>1487</v>
      </c>
      <c r="BF141" s="2">
        <f t="shared" si="185"/>
        <v>10639.307628785724</v>
      </c>
      <c r="BG141" s="2">
        <f t="shared" si="186"/>
        <v>143927.41401625177</v>
      </c>
      <c r="BI141" s="8">
        <f t="shared" si="315"/>
        <v>2.8000000000000001E-2</v>
      </c>
      <c r="BJ141" s="5">
        <f t="shared" si="301"/>
        <v>1089</v>
      </c>
      <c r="BK141" s="2">
        <f t="shared" si="302"/>
        <v>108791.1</v>
      </c>
      <c r="BL141" s="2">
        <f t="shared" si="303"/>
        <v>108900</v>
      </c>
      <c r="BM141" s="2">
        <f t="shared" si="280"/>
        <v>108900</v>
      </c>
      <c r="BN141" s="8">
        <f t="shared" si="281"/>
        <v>4.2999999999999997E-2</v>
      </c>
      <c r="BO141" s="2">
        <f t="shared" si="282"/>
        <v>110070.675</v>
      </c>
      <c r="BP141" s="2" t="str">
        <f t="shared" si="283"/>
        <v>nie</v>
      </c>
      <c r="BQ141" s="2">
        <f t="shared" si="284"/>
        <v>2178</v>
      </c>
      <c r="BR141" s="1">
        <f t="shared" si="316"/>
        <v>164</v>
      </c>
      <c r="BS141" s="1">
        <f t="shared" si="327"/>
        <v>178</v>
      </c>
      <c r="BT141" s="1">
        <f t="shared" si="309"/>
        <v>23</v>
      </c>
      <c r="BU141" s="1">
        <f t="shared" si="320"/>
        <v>104</v>
      </c>
      <c r="BV141" s="2">
        <f t="shared" si="247"/>
        <v>16400</v>
      </c>
      <c r="BW141" s="8">
        <f t="shared" si="317"/>
        <v>0.05</v>
      </c>
      <c r="BX141" s="2">
        <f t="shared" si="248"/>
        <v>16605</v>
      </c>
      <c r="BY141" s="2">
        <f t="shared" si="318"/>
        <v>205</v>
      </c>
      <c r="BZ141" s="2">
        <f t="shared" si="273"/>
        <v>30500</v>
      </c>
      <c r="CA141" s="8">
        <f t="shared" si="328"/>
        <v>4.2999999999999997E-2</v>
      </c>
      <c r="CB141" s="2">
        <f t="shared" si="249"/>
        <v>30827.875</v>
      </c>
      <c r="CC141" s="2">
        <f t="shared" si="329"/>
        <v>610</v>
      </c>
      <c r="CD141" s="2">
        <f t="shared" si="285"/>
        <v>0</v>
      </c>
      <c r="CE141" s="2">
        <f t="shared" si="250"/>
        <v>0</v>
      </c>
      <c r="CF141" s="2">
        <f t="shared" si="251"/>
        <v>72.899999999926877</v>
      </c>
      <c r="CG141" s="1">
        <f t="shared" si="312"/>
        <v>0</v>
      </c>
      <c r="CH141" s="2">
        <f t="shared" si="286"/>
        <v>72.899999999926877</v>
      </c>
      <c r="CI141" s="1">
        <f t="shared" si="242"/>
        <v>0</v>
      </c>
      <c r="CJ141" s="2">
        <f t="shared" si="252"/>
        <v>72.899999999926877</v>
      </c>
      <c r="CK141" s="2">
        <f t="shared" si="253"/>
        <v>157576.44999999992</v>
      </c>
      <c r="CL141" s="2">
        <f t="shared" si="287"/>
        <v>0</v>
      </c>
      <c r="CM141" s="2">
        <f t="shared" si="216"/>
        <v>1430.6693299999993</v>
      </c>
      <c r="CN141" s="2">
        <f t="shared" si="288"/>
        <v>156145.78066999992</v>
      </c>
      <c r="CO141" s="2">
        <f t="shared" si="217"/>
        <v>2993</v>
      </c>
      <c r="CP141" s="2">
        <f t="shared" si="289"/>
        <v>10370.855499999985</v>
      </c>
      <c r="CQ141" s="2">
        <f t="shared" si="290"/>
        <v>142781.92516999994</v>
      </c>
      <c r="CS141" s="5">
        <f t="shared" si="304"/>
        <v>1611</v>
      </c>
      <c r="CT141" s="2">
        <f t="shared" si="305"/>
        <v>160938.90000000002</v>
      </c>
      <c r="CU141" s="2">
        <f t="shared" si="306"/>
        <v>161100</v>
      </c>
      <c r="CV141" s="2">
        <f t="shared" si="307"/>
        <v>161100</v>
      </c>
      <c r="CW141" s="8">
        <f t="shared" si="291"/>
        <v>5.6000000000000001E-2</v>
      </c>
      <c r="CX141" s="2">
        <f t="shared" si="292"/>
        <v>163355.4</v>
      </c>
      <c r="CY141" s="2" t="str">
        <f t="shared" si="293"/>
        <v>nie</v>
      </c>
      <c r="CZ141" s="2">
        <f t="shared" si="222"/>
        <v>0</v>
      </c>
      <c r="DA141" s="2">
        <f t="shared" si="223"/>
        <v>94.314405359298689</v>
      </c>
      <c r="DB141" s="2">
        <f t="shared" si="224"/>
        <v>163449.71440535929</v>
      </c>
      <c r="DC141" s="2">
        <f t="shared" si="294"/>
        <v>0</v>
      </c>
      <c r="DD141" s="2">
        <f t="shared" si="225"/>
        <v>1462.2072355829021</v>
      </c>
      <c r="DE141" s="2">
        <f t="shared" si="226"/>
        <v>161987.50716977639</v>
      </c>
      <c r="DF141" s="2">
        <f t="shared" si="295"/>
        <v>2255.3999999999942</v>
      </c>
      <c r="DG141" s="2">
        <f t="shared" si="296"/>
        <v>11609</v>
      </c>
      <c r="DH141" s="2">
        <f t="shared" si="227"/>
        <v>148123.1071697764</v>
      </c>
    </row>
    <row r="142" spans="2:112">
      <c r="B142" s="228"/>
      <c r="C142" s="1">
        <f t="shared" si="321"/>
        <v>105</v>
      </c>
      <c r="D142" s="2">
        <f t="shared" si="259"/>
        <v>146763.33978644069</v>
      </c>
      <c r="E142" s="2">
        <f t="shared" si="260"/>
        <v>136607.49534431269</v>
      </c>
      <c r="F142" s="2">
        <f t="shared" si="261"/>
        <v>146456.70126999996</v>
      </c>
      <c r="G142" s="2">
        <f t="shared" si="262"/>
        <v>135109.20326999997</v>
      </c>
      <c r="H142" s="2">
        <f t="shared" si="263"/>
        <v>150750.69224959001</v>
      </c>
      <c r="I142" s="2">
        <f t="shared" si="264"/>
        <v>138460.03261113752</v>
      </c>
      <c r="J142" s="2">
        <f t="shared" si="322"/>
        <v>135092.22588331939</v>
      </c>
      <c r="K142" s="2">
        <f t="shared" si="323"/>
        <v>127341.70469231966</v>
      </c>
      <c r="W142" s="1">
        <f t="shared" si="297"/>
        <v>124</v>
      </c>
      <c r="X142" s="2">
        <f t="shared" si="274"/>
        <v>133034.95366769476</v>
      </c>
      <c r="Y142" s="8">
        <f t="shared" si="310"/>
        <v>4.1300000000000003E-2</v>
      </c>
      <c r="Z142" s="5">
        <f t="shared" si="298"/>
        <v>1486</v>
      </c>
      <c r="AA142" s="2">
        <f t="shared" si="299"/>
        <v>148451.4</v>
      </c>
      <c r="AB142" s="2">
        <f t="shared" si="207"/>
        <v>148600</v>
      </c>
      <c r="AC142" s="2">
        <f t="shared" si="300"/>
        <v>155509.9</v>
      </c>
      <c r="AD142" s="8">
        <f t="shared" si="275"/>
        <v>4.65E-2</v>
      </c>
      <c r="AE142" s="2">
        <f t="shared" si="179"/>
        <v>157920.30345000001</v>
      </c>
      <c r="AF142" s="2" t="str">
        <f t="shared" si="276"/>
        <v>nie</v>
      </c>
      <c r="AG142" s="2">
        <f t="shared" si="277"/>
        <v>1486</v>
      </c>
      <c r="AH142" s="1">
        <f t="shared" si="233"/>
        <v>0</v>
      </c>
      <c r="AI142" s="1">
        <f t="shared" si="324"/>
        <v>0</v>
      </c>
      <c r="AJ142" s="1">
        <f t="shared" si="308"/>
        <v>1</v>
      </c>
      <c r="AK142" s="1">
        <f t="shared" si="319"/>
        <v>0</v>
      </c>
      <c r="AL142" s="2">
        <f t="shared" si="243"/>
        <v>0</v>
      </c>
      <c r="AM142" s="8">
        <f t="shared" si="313"/>
        <v>4.65E-2</v>
      </c>
      <c r="AN142" s="2">
        <f t="shared" si="244"/>
        <v>0</v>
      </c>
      <c r="AO142" s="2">
        <f t="shared" si="314"/>
        <v>0</v>
      </c>
      <c r="AP142" s="2">
        <f t="shared" si="272"/>
        <v>100</v>
      </c>
      <c r="AQ142" s="8">
        <f t="shared" si="325"/>
        <v>4.1300000000000003E-2</v>
      </c>
      <c r="AR142" s="2">
        <f t="shared" si="267"/>
        <v>101.37666666666667</v>
      </c>
      <c r="AS142" s="2">
        <f t="shared" si="326"/>
        <v>1</v>
      </c>
      <c r="AT142" s="2">
        <f t="shared" si="209"/>
        <v>0</v>
      </c>
      <c r="AU142" s="2">
        <f t="shared" si="245"/>
        <v>0</v>
      </c>
      <c r="AV142" s="2">
        <f t="shared" si="236"/>
        <v>64.620853477515695</v>
      </c>
      <c r="AW142" s="1">
        <f t="shared" si="311"/>
        <v>0</v>
      </c>
      <c r="AX142" s="2">
        <f t="shared" si="278"/>
        <v>64.620853477515695</v>
      </c>
      <c r="AY142" s="1">
        <f t="shared" si="237"/>
        <v>0</v>
      </c>
      <c r="AZ142" s="2">
        <f t="shared" si="210"/>
        <v>64.620853477515695</v>
      </c>
      <c r="BA142" s="2">
        <f t="shared" si="246"/>
        <v>158086.30097014419</v>
      </c>
      <c r="BB142" s="2">
        <f t="shared" si="279"/>
        <v>0</v>
      </c>
      <c r="BC142" s="2">
        <f t="shared" si="211"/>
        <v>1429.6342959399951</v>
      </c>
      <c r="BD142" s="2">
        <f t="shared" si="184"/>
        <v>156656.6666742042</v>
      </c>
      <c r="BE142" s="2">
        <f t="shared" si="212"/>
        <v>1487</v>
      </c>
      <c r="BF142" s="2">
        <f t="shared" si="185"/>
        <v>10753.867184327397</v>
      </c>
      <c r="BG142" s="2">
        <f t="shared" si="186"/>
        <v>144415.79948987681</v>
      </c>
      <c r="BI142" s="8">
        <f t="shared" si="315"/>
        <v>2.8000000000000001E-2</v>
      </c>
      <c r="BJ142" s="5">
        <f t="shared" si="301"/>
        <v>1089</v>
      </c>
      <c r="BK142" s="2">
        <f t="shared" si="302"/>
        <v>108791.1</v>
      </c>
      <c r="BL142" s="2">
        <f t="shared" si="303"/>
        <v>108900</v>
      </c>
      <c r="BM142" s="2">
        <f t="shared" si="280"/>
        <v>108900</v>
      </c>
      <c r="BN142" s="8">
        <f t="shared" si="281"/>
        <v>4.2999999999999997E-2</v>
      </c>
      <c r="BO142" s="2">
        <f t="shared" si="282"/>
        <v>110460.9</v>
      </c>
      <c r="BP142" s="2" t="str">
        <f t="shared" si="283"/>
        <v>nie</v>
      </c>
      <c r="BQ142" s="2">
        <f t="shared" si="284"/>
        <v>2178</v>
      </c>
      <c r="BR142" s="1">
        <f t="shared" si="316"/>
        <v>164</v>
      </c>
      <c r="BS142" s="1">
        <f t="shared" si="327"/>
        <v>178</v>
      </c>
      <c r="BT142" s="1">
        <f t="shared" si="309"/>
        <v>23</v>
      </c>
      <c r="BU142" s="1">
        <f t="shared" si="320"/>
        <v>104</v>
      </c>
      <c r="BV142" s="2">
        <f t="shared" si="247"/>
        <v>16400</v>
      </c>
      <c r="BW142" s="8">
        <f t="shared" si="317"/>
        <v>0.05</v>
      </c>
      <c r="BX142" s="2">
        <f t="shared" si="248"/>
        <v>16673.333333333332</v>
      </c>
      <c r="BY142" s="2">
        <f t="shared" si="318"/>
        <v>273.33333333333212</v>
      </c>
      <c r="BZ142" s="2">
        <f t="shared" si="273"/>
        <v>30500</v>
      </c>
      <c r="CA142" s="8">
        <f t="shared" si="328"/>
        <v>4.2999999999999997E-2</v>
      </c>
      <c r="CB142" s="2">
        <f t="shared" si="249"/>
        <v>30937.166666666664</v>
      </c>
      <c r="CC142" s="2">
        <f t="shared" si="329"/>
        <v>610</v>
      </c>
      <c r="CD142" s="2">
        <f t="shared" si="285"/>
        <v>0</v>
      </c>
      <c r="CE142" s="2">
        <f t="shared" si="250"/>
        <v>0</v>
      </c>
      <c r="CF142" s="2">
        <f t="shared" si="251"/>
        <v>72.899999999926877</v>
      </c>
      <c r="CG142" s="1">
        <f t="shared" si="312"/>
        <v>0</v>
      </c>
      <c r="CH142" s="2">
        <f t="shared" si="286"/>
        <v>72.899999999926877</v>
      </c>
      <c r="CI142" s="1">
        <f t="shared" si="242"/>
        <v>0</v>
      </c>
      <c r="CJ142" s="2">
        <f t="shared" si="252"/>
        <v>72.899999999926877</v>
      </c>
      <c r="CK142" s="2">
        <f t="shared" si="253"/>
        <v>158144.29999999993</v>
      </c>
      <c r="CL142" s="2">
        <f t="shared" si="287"/>
        <v>0</v>
      </c>
      <c r="CM142" s="2">
        <f t="shared" si="216"/>
        <v>1430.6693299999993</v>
      </c>
      <c r="CN142" s="2">
        <f t="shared" si="288"/>
        <v>156713.63066999993</v>
      </c>
      <c r="CO142" s="2">
        <f t="shared" si="217"/>
        <v>3061.3333333333321</v>
      </c>
      <c r="CP142" s="2">
        <f t="shared" si="289"/>
        <v>10465.763666666651</v>
      </c>
      <c r="CQ142" s="2">
        <f t="shared" si="290"/>
        <v>143186.53366999992</v>
      </c>
      <c r="CS142" s="5">
        <f t="shared" si="304"/>
        <v>1611</v>
      </c>
      <c r="CT142" s="2">
        <f t="shared" si="305"/>
        <v>160938.90000000002</v>
      </c>
      <c r="CU142" s="2">
        <f t="shared" si="306"/>
        <v>161100</v>
      </c>
      <c r="CV142" s="2">
        <f t="shared" si="307"/>
        <v>161100</v>
      </c>
      <c r="CW142" s="8">
        <f t="shared" si="291"/>
        <v>5.6000000000000001E-2</v>
      </c>
      <c r="CX142" s="2">
        <f t="shared" si="292"/>
        <v>164107.19999999998</v>
      </c>
      <c r="CY142" s="2" t="str">
        <f t="shared" si="293"/>
        <v>nie</v>
      </c>
      <c r="CZ142" s="2">
        <f t="shared" si="222"/>
        <v>0</v>
      </c>
      <c r="DA142" s="2">
        <f t="shared" si="223"/>
        <v>94.314405359298689</v>
      </c>
      <c r="DB142" s="2">
        <f t="shared" si="224"/>
        <v>164201.51440535928</v>
      </c>
      <c r="DC142" s="2">
        <f t="shared" si="294"/>
        <v>0</v>
      </c>
      <c r="DD142" s="2">
        <f t="shared" si="225"/>
        <v>1462.2072355829021</v>
      </c>
      <c r="DE142" s="2">
        <f t="shared" si="226"/>
        <v>162739.30716977638</v>
      </c>
      <c r="DF142" s="2">
        <f t="shared" si="295"/>
        <v>3007.1999999999825</v>
      </c>
      <c r="DG142" s="2">
        <f t="shared" si="296"/>
        <v>11609</v>
      </c>
      <c r="DH142" s="2">
        <f t="shared" si="227"/>
        <v>148123.1071697764</v>
      </c>
    </row>
    <row r="143" spans="2:112">
      <c r="B143" s="228"/>
      <c r="C143" s="1">
        <f t="shared" si="321"/>
        <v>106</v>
      </c>
      <c r="D143" s="2">
        <f t="shared" si="259"/>
        <v>147316.95235395528</v>
      </c>
      <c r="E143" s="2">
        <f t="shared" si="260"/>
        <v>137055.92152399948</v>
      </c>
      <c r="F143" s="2">
        <f t="shared" si="261"/>
        <v>147031.83460333329</v>
      </c>
      <c r="G143" s="2">
        <f t="shared" si="262"/>
        <v>135575.06126999998</v>
      </c>
      <c r="H143" s="2">
        <f t="shared" si="263"/>
        <v>151337.17181956465</v>
      </c>
      <c r="I143" s="2">
        <f t="shared" si="264"/>
        <v>138935.08106281699</v>
      </c>
      <c r="J143" s="2">
        <f t="shared" si="322"/>
        <v>135479.77170632215</v>
      </c>
      <c r="K143" s="2">
        <f t="shared" si="323"/>
        <v>127632.72393255679</v>
      </c>
      <c r="W143" s="1">
        <f t="shared" si="297"/>
        <v>125</v>
      </c>
      <c r="X143" s="2">
        <f t="shared" si="274"/>
        <v>133342.49814446949</v>
      </c>
      <c r="Y143" s="8">
        <f t="shared" si="310"/>
        <v>4.1300000000000003E-2</v>
      </c>
      <c r="Z143" s="5">
        <f t="shared" si="298"/>
        <v>1486</v>
      </c>
      <c r="AA143" s="2">
        <f t="shared" si="299"/>
        <v>148451.4</v>
      </c>
      <c r="AB143" s="2">
        <f t="shared" si="207"/>
        <v>148600</v>
      </c>
      <c r="AC143" s="2">
        <f t="shared" si="300"/>
        <v>155509.9</v>
      </c>
      <c r="AD143" s="8">
        <f t="shared" si="275"/>
        <v>4.65E-2</v>
      </c>
      <c r="AE143" s="2">
        <f t="shared" si="179"/>
        <v>158522.90431249997</v>
      </c>
      <c r="AF143" s="2" t="str">
        <f t="shared" si="276"/>
        <v>nie</v>
      </c>
      <c r="AG143" s="2">
        <f t="shared" si="277"/>
        <v>1486</v>
      </c>
      <c r="AH143" s="1">
        <f t="shared" si="233"/>
        <v>0</v>
      </c>
      <c r="AI143" s="1">
        <f t="shared" si="324"/>
        <v>0</v>
      </c>
      <c r="AJ143" s="1">
        <f t="shared" si="308"/>
        <v>1</v>
      </c>
      <c r="AK143" s="1">
        <f t="shared" si="319"/>
        <v>0</v>
      </c>
      <c r="AL143" s="2">
        <f t="shared" si="243"/>
        <v>0</v>
      </c>
      <c r="AM143" s="8">
        <f t="shared" si="313"/>
        <v>4.65E-2</v>
      </c>
      <c r="AN143" s="2">
        <f t="shared" si="244"/>
        <v>0</v>
      </c>
      <c r="AO143" s="2">
        <f t="shared" si="314"/>
        <v>0</v>
      </c>
      <c r="AP143" s="2">
        <f t="shared" si="272"/>
        <v>100</v>
      </c>
      <c r="AQ143" s="8">
        <f t="shared" si="325"/>
        <v>4.1300000000000003E-2</v>
      </c>
      <c r="AR143" s="2">
        <f t="shared" si="267"/>
        <v>101.72083333333333</v>
      </c>
      <c r="AS143" s="2">
        <f t="shared" si="326"/>
        <v>1</v>
      </c>
      <c r="AT143" s="2">
        <f t="shared" si="209"/>
        <v>0</v>
      </c>
      <c r="AU143" s="2">
        <f t="shared" si="245"/>
        <v>0</v>
      </c>
      <c r="AV143" s="2">
        <f t="shared" si="236"/>
        <v>64.620853477515695</v>
      </c>
      <c r="AW143" s="1">
        <f t="shared" si="311"/>
        <v>0</v>
      </c>
      <c r="AX143" s="2">
        <f t="shared" si="278"/>
        <v>64.620853477515695</v>
      </c>
      <c r="AY143" s="1">
        <f t="shared" si="237"/>
        <v>0</v>
      </c>
      <c r="AZ143" s="2">
        <f t="shared" si="210"/>
        <v>64.620853477515695</v>
      </c>
      <c r="BA143" s="2">
        <f t="shared" si="246"/>
        <v>158689.24599931081</v>
      </c>
      <c r="BB143" s="2">
        <f t="shared" si="279"/>
        <v>0</v>
      </c>
      <c r="BC143" s="2">
        <f t="shared" si="211"/>
        <v>1429.6342959399951</v>
      </c>
      <c r="BD143" s="2">
        <f t="shared" si="184"/>
        <v>157259.61170337081</v>
      </c>
      <c r="BE143" s="2">
        <f t="shared" si="212"/>
        <v>1487</v>
      </c>
      <c r="BF143" s="2">
        <f t="shared" si="185"/>
        <v>10868.426739869054</v>
      </c>
      <c r="BG143" s="2">
        <f t="shared" si="186"/>
        <v>144904.18496350176</v>
      </c>
      <c r="BI143" s="8">
        <f t="shared" si="315"/>
        <v>2.8000000000000001E-2</v>
      </c>
      <c r="BJ143" s="5">
        <f t="shared" si="301"/>
        <v>1089</v>
      </c>
      <c r="BK143" s="2">
        <f t="shared" si="302"/>
        <v>108791.1</v>
      </c>
      <c r="BL143" s="2">
        <f t="shared" si="303"/>
        <v>108900</v>
      </c>
      <c r="BM143" s="2">
        <f t="shared" si="280"/>
        <v>108900</v>
      </c>
      <c r="BN143" s="8">
        <f t="shared" si="281"/>
        <v>4.2999999999999997E-2</v>
      </c>
      <c r="BO143" s="2">
        <f t="shared" si="282"/>
        <v>110851.12499999999</v>
      </c>
      <c r="BP143" s="2" t="str">
        <f t="shared" si="283"/>
        <v>nie</v>
      </c>
      <c r="BQ143" s="2">
        <f t="shared" si="284"/>
        <v>2178</v>
      </c>
      <c r="BR143" s="1">
        <f t="shared" si="316"/>
        <v>164</v>
      </c>
      <c r="BS143" s="1">
        <f t="shared" si="327"/>
        <v>178</v>
      </c>
      <c r="BT143" s="1">
        <f t="shared" si="309"/>
        <v>23</v>
      </c>
      <c r="BU143" s="1">
        <f t="shared" si="320"/>
        <v>104</v>
      </c>
      <c r="BV143" s="2">
        <f t="shared" si="247"/>
        <v>16400</v>
      </c>
      <c r="BW143" s="8">
        <f t="shared" si="317"/>
        <v>0.05</v>
      </c>
      <c r="BX143" s="2">
        <f t="shared" si="248"/>
        <v>16741.666666666664</v>
      </c>
      <c r="BY143" s="2">
        <f t="shared" si="318"/>
        <v>328</v>
      </c>
      <c r="BZ143" s="2">
        <f t="shared" si="273"/>
        <v>30500</v>
      </c>
      <c r="CA143" s="8">
        <f t="shared" si="328"/>
        <v>4.2999999999999997E-2</v>
      </c>
      <c r="CB143" s="2">
        <f t="shared" si="249"/>
        <v>31046.458333333332</v>
      </c>
      <c r="CC143" s="2">
        <f t="shared" si="329"/>
        <v>610</v>
      </c>
      <c r="CD143" s="2">
        <f t="shared" si="285"/>
        <v>0</v>
      </c>
      <c r="CE143" s="2">
        <f t="shared" si="250"/>
        <v>0</v>
      </c>
      <c r="CF143" s="2">
        <f t="shared" si="251"/>
        <v>72.899999999926877</v>
      </c>
      <c r="CG143" s="1">
        <f t="shared" si="312"/>
        <v>0</v>
      </c>
      <c r="CH143" s="2">
        <f t="shared" si="286"/>
        <v>72.899999999926877</v>
      </c>
      <c r="CI143" s="1">
        <f t="shared" si="242"/>
        <v>0</v>
      </c>
      <c r="CJ143" s="2">
        <f t="shared" si="252"/>
        <v>72.899999999926877</v>
      </c>
      <c r="CK143" s="2">
        <f t="shared" si="253"/>
        <v>158712.14999999994</v>
      </c>
      <c r="CL143" s="2">
        <f t="shared" si="287"/>
        <v>0</v>
      </c>
      <c r="CM143" s="2">
        <f t="shared" si="216"/>
        <v>1430.6693299999993</v>
      </c>
      <c r="CN143" s="2">
        <f t="shared" si="288"/>
        <v>157281.48066999993</v>
      </c>
      <c r="CO143" s="2">
        <f t="shared" si="217"/>
        <v>3116</v>
      </c>
      <c r="CP143" s="2">
        <f t="shared" si="289"/>
        <v>10563.268499999987</v>
      </c>
      <c r="CQ143" s="2">
        <f t="shared" si="290"/>
        <v>143602.21216999996</v>
      </c>
      <c r="CS143" s="5">
        <f t="shared" si="304"/>
        <v>1611</v>
      </c>
      <c r="CT143" s="2">
        <f t="shared" si="305"/>
        <v>160938.90000000002</v>
      </c>
      <c r="CU143" s="2">
        <f t="shared" si="306"/>
        <v>161100</v>
      </c>
      <c r="CV143" s="2">
        <f t="shared" si="307"/>
        <v>161100</v>
      </c>
      <c r="CW143" s="8">
        <f t="shared" si="291"/>
        <v>5.6000000000000001E-2</v>
      </c>
      <c r="CX143" s="2">
        <f t="shared" si="292"/>
        <v>164859.00000000003</v>
      </c>
      <c r="CY143" s="2" t="str">
        <f t="shared" si="293"/>
        <v>nie</v>
      </c>
      <c r="CZ143" s="2">
        <f t="shared" si="222"/>
        <v>0</v>
      </c>
      <c r="DA143" s="2">
        <f t="shared" si="223"/>
        <v>94.314405359298689</v>
      </c>
      <c r="DB143" s="2">
        <f t="shared" si="224"/>
        <v>164953.31440535933</v>
      </c>
      <c r="DC143" s="2">
        <f t="shared" si="294"/>
        <v>0</v>
      </c>
      <c r="DD143" s="2">
        <f t="shared" si="225"/>
        <v>1462.2072355829021</v>
      </c>
      <c r="DE143" s="2">
        <f t="shared" si="226"/>
        <v>163491.10716977643</v>
      </c>
      <c r="DF143" s="2">
        <f t="shared" si="295"/>
        <v>3759.0000000000291</v>
      </c>
      <c r="DG143" s="2">
        <f t="shared" si="296"/>
        <v>11609</v>
      </c>
      <c r="DH143" s="2">
        <f t="shared" si="227"/>
        <v>148123.1071697764</v>
      </c>
    </row>
    <row r="144" spans="2:112">
      <c r="B144" s="229"/>
      <c r="C144" s="1">
        <f t="shared" si="321"/>
        <v>107</v>
      </c>
      <c r="D144" s="2">
        <f t="shared" si="259"/>
        <v>147870.56492146986</v>
      </c>
      <c r="E144" s="2">
        <f t="shared" si="260"/>
        <v>137504.3477036863</v>
      </c>
      <c r="F144" s="2">
        <f t="shared" si="261"/>
        <v>147606.96793666662</v>
      </c>
      <c r="G144" s="2">
        <f t="shared" si="262"/>
        <v>136040.91926999995</v>
      </c>
      <c r="H144" s="2">
        <f t="shared" si="263"/>
        <v>151923.6513895393</v>
      </c>
      <c r="I144" s="2">
        <f t="shared" si="264"/>
        <v>139410.12951449642</v>
      </c>
      <c r="J144" s="2">
        <f t="shared" si="322"/>
        <v>135868.42930140466</v>
      </c>
      <c r="K144" s="2">
        <f t="shared" si="323"/>
        <v>127923.74317279388</v>
      </c>
      <c r="W144" s="1">
        <f t="shared" si="297"/>
        <v>126</v>
      </c>
      <c r="X144" s="2">
        <f t="shared" si="274"/>
        <v>133650.04262124421</v>
      </c>
      <c r="Y144" s="8">
        <f t="shared" si="310"/>
        <v>4.1300000000000003E-2</v>
      </c>
      <c r="Z144" s="5">
        <f t="shared" si="298"/>
        <v>1486</v>
      </c>
      <c r="AA144" s="2">
        <f t="shared" si="299"/>
        <v>148451.4</v>
      </c>
      <c r="AB144" s="2">
        <f t="shared" si="207"/>
        <v>148600</v>
      </c>
      <c r="AC144" s="2">
        <f t="shared" si="300"/>
        <v>155509.9</v>
      </c>
      <c r="AD144" s="8">
        <f t="shared" si="275"/>
        <v>4.65E-2</v>
      </c>
      <c r="AE144" s="2">
        <f t="shared" si="179"/>
        <v>159125.505175</v>
      </c>
      <c r="AF144" s="2" t="str">
        <f t="shared" si="276"/>
        <v>nie</v>
      </c>
      <c r="AG144" s="2">
        <f t="shared" si="277"/>
        <v>1486</v>
      </c>
      <c r="AH144" s="1">
        <f t="shared" si="233"/>
        <v>0</v>
      </c>
      <c r="AI144" s="1">
        <f t="shared" si="324"/>
        <v>0</v>
      </c>
      <c r="AJ144" s="1">
        <f t="shared" si="308"/>
        <v>1</v>
      </c>
      <c r="AK144" s="1">
        <f t="shared" si="319"/>
        <v>0</v>
      </c>
      <c r="AL144" s="2">
        <f t="shared" si="243"/>
        <v>0</v>
      </c>
      <c r="AM144" s="8">
        <f t="shared" si="313"/>
        <v>4.65E-2</v>
      </c>
      <c r="AN144" s="2">
        <f t="shared" si="244"/>
        <v>0</v>
      </c>
      <c r="AO144" s="2">
        <f t="shared" si="314"/>
        <v>0</v>
      </c>
      <c r="AP144" s="2">
        <f t="shared" si="272"/>
        <v>100</v>
      </c>
      <c r="AQ144" s="8">
        <f t="shared" si="325"/>
        <v>4.1300000000000003E-2</v>
      </c>
      <c r="AR144" s="2">
        <f t="shared" si="267"/>
        <v>102.06500000000001</v>
      </c>
      <c r="AS144" s="2">
        <f t="shared" si="326"/>
        <v>1</v>
      </c>
      <c r="AT144" s="2">
        <f t="shared" si="209"/>
        <v>0</v>
      </c>
      <c r="AU144" s="2">
        <f t="shared" si="245"/>
        <v>0</v>
      </c>
      <c r="AV144" s="2">
        <f t="shared" si="236"/>
        <v>64.620853477515695</v>
      </c>
      <c r="AW144" s="1">
        <f t="shared" si="311"/>
        <v>0</v>
      </c>
      <c r="AX144" s="2">
        <f t="shared" si="278"/>
        <v>64.620853477515695</v>
      </c>
      <c r="AY144" s="1">
        <f t="shared" si="237"/>
        <v>0</v>
      </c>
      <c r="AZ144" s="2">
        <f t="shared" si="210"/>
        <v>64.620853477515695</v>
      </c>
      <c r="BA144" s="2">
        <f t="shared" si="246"/>
        <v>159292.19102847751</v>
      </c>
      <c r="BB144" s="2">
        <f t="shared" si="279"/>
        <v>0</v>
      </c>
      <c r="BC144" s="2">
        <f t="shared" si="211"/>
        <v>1429.6342959399951</v>
      </c>
      <c r="BD144" s="2">
        <f t="shared" si="184"/>
        <v>157862.55673253752</v>
      </c>
      <c r="BE144" s="2">
        <f t="shared" si="212"/>
        <v>1487</v>
      </c>
      <c r="BF144" s="2">
        <f t="shared" si="185"/>
        <v>10982.986295410727</v>
      </c>
      <c r="BG144" s="2">
        <f t="shared" si="186"/>
        <v>145392.57043712679</v>
      </c>
      <c r="BI144" s="8">
        <f t="shared" si="315"/>
        <v>2.8000000000000001E-2</v>
      </c>
      <c r="BJ144" s="5">
        <f t="shared" si="301"/>
        <v>1089</v>
      </c>
      <c r="BK144" s="2">
        <f t="shared" si="302"/>
        <v>108791.1</v>
      </c>
      <c r="BL144" s="2">
        <f t="shared" si="303"/>
        <v>108900</v>
      </c>
      <c r="BM144" s="2">
        <f t="shared" si="280"/>
        <v>108900</v>
      </c>
      <c r="BN144" s="8">
        <f t="shared" si="281"/>
        <v>4.2999999999999997E-2</v>
      </c>
      <c r="BO144" s="2">
        <f t="shared" si="282"/>
        <v>111241.35</v>
      </c>
      <c r="BP144" s="2" t="str">
        <f t="shared" si="283"/>
        <v>nie</v>
      </c>
      <c r="BQ144" s="2">
        <f t="shared" si="284"/>
        <v>2178</v>
      </c>
      <c r="BR144" s="1">
        <f t="shared" si="316"/>
        <v>164</v>
      </c>
      <c r="BS144" s="1">
        <f t="shared" si="327"/>
        <v>178</v>
      </c>
      <c r="BT144" s="1">
        <f t="shared" si="309"/>
        <v>23</v>
      </c>
      <c r="BU144" s="1">
        <f t="shared" si="320"/>
        <v>104</v>
      </c>
      <c r="BV144" s="2">
        <f t="shared" si="247"/>
        <v>16400</v>
      </c>
      <c r="BW144" s="8">
        <f t="shared" si="317"/>
        <v>0.05</v>
      </c>
      <c r="BX144" s="2">
        <f t="shared" si="248"/>
        <v>16810</v>
      </c>
      <c r="BY144" s="2">
        <f t="shared" si="318"/>
        <v>328</v>
      </c>
      <c r="BZ144" s="2">
        <f t="shared" si="273"/>
        <v>30500</v>
      </c>
      <c r="CA144" s="8">
        <f t="shared" si="328"/>
        <v>4.2999999999999997E-2</v>
      </c>
      <c r="CB144" s="2">
        <f t="shared" si="249"/>
        <v>31155.750000000004</v>
      </c>
      <c r="CC144" s="2">
        <f t="shared" si="329"/>
        <v>610</v>
      </c>
      <c r="CD144" s="2">
        <f t="shared" si="285"/>
        <v>0</v>
      </c>
      <c r="CE144" s="2">
        <f t="shared" si="250"/>
        <v>0</v>
      </c>
      <c r="CF144" s="2">
        <f t="shared" si="251"/>
        <v>72.899999999926877</v>
      </c>
      <c r="CG144" s="1">
        <f t="shared" si="312"/>
        <v>0</v>
      </c>
      <c r="CH144" s="2">
        <f t="shared" si="286"/>
        <v>72.899999999926877</v>
      </c>
      <c r="CI144" s="1">
        <f t="shared" si="242"/>
        <v>0</v>
      </c>
      <c r="CJ144" s="2">
        <f t="shared" si="252"/>
        <v>72.899999999926877</v>
      </c>
      <c r="CK144" s="2">
        <f t="shared" si="253"/>
        <v>159279.99999999994</v>
      </c>
      <c r="CL144" s="2">
        <f t="shared" si="287"/>
        <v>0</v>
      </c>
      <c r="CM144" s="2">
        <f t="shared" si="216"/>
        <v>1430.6693299999993</v>
      </c>
      <c r="CN144" s="2">
        <f t="shared" si="288"/>
        <v>157849.33066999994</v>
      </c>
      <c r="CO144" s="2">
        <f t="shared" si="217"/>
        <v>3116</v>
      </c>
      <c r="CP144" s="2">
        <f t="shared" si="289"/>
        <v>10671.159999999989</v>
      </c>
      <c r="CQ144" s="2">
        <f t="shared" si="290"/>
        <v>144062.17066999996</v>
      </c>
      <c r="CS144" s="5">
        <f t="shared" si="304"/>
        <v>1611</v>
      </c>
      <c r="CT144" s="2">
        <f t="shared" si="305"/>
        <v>160938.90000000002</v>
      </c>
      <c r="CU144" s="2">
        <f t="shared" si="306"/>
        <v>161100</v>
      </c>
      <c r="CV144" s="2">
        <f t="shared" si="307"/>
        <v>161100</v>
      </c>
      <c r="CW144" s="8">
        <f t="shared" si="291"/>
        <v>5.6000000000000001E-2</v>
      </c>
      <c r="CX144" s="2">
        <f t="shared" si="292"/>
        <v>165610.80000000002</v>
      </c>
      <c r="CY144" s="2" t="str">
        <f t="shared" si="293"/>
        <v>nie</v>
      </c>
      <c r="CZ144" s="2">
        <f t="shared" si="222"/>
        <v>0</v>
      </c>
      <c r="DA144" s="2">
        <f t="shared" si="223"/>
        <v>94.314405359298689</v>
      </c>
      <c r="DB144" s="2">
        <f t="shared" si="224"/>
        <v>165705.11440535932</v>
      </c>
      <c r="DC144" s="2">
        <f t="shared" si="294"/>
        <v>0</v>
      </c>
      <c r="DD144" s="2">
        <f t="shared" si="225"/>
        <v>1462.2072355829021</v>
      </c>
      <c r="DE144" s="2">
        <f t="shared" si="226"/>
        <v>164242.90716977642</v>
      </c>
      <c r="DF144" s="2">
        <f t="shared" si="295"/>
        <v>4510.8000000000175</v>
      </c>
      <c r="DG144" s="2">
        <f t="shared" si="296"/>
        <v>11609</v>
      </c>
      <c r="DH144" s="2">
        <f t="shared" si="227"/>
        <v>148123.1071697764</v>
      </c>
    </row>
    <row r="145" spans="2:112">
      <c r="B145" s="227">
        <f>ROUNDUP(C146/12,0)</f>
        <v>10</v>
      </c>
      <c r="C145" s="3">
        <f t="shared" si="321"/>
        <v>108</v>
      </c>
      <c r="D145" s="10">
        <f t="shared" si="259"/>
        <v>147533.90107839101</v>
      </c>
      <c r="E145" s="10">
        <f t="shared" si="260"/>
        <v>138257.99651623028</v>
      </c>
      <c r="F145" s="10">
        <f t="shared" si="261"/>
        <v>148032.79366999996</v>
      </c>
      <c r="G145" s="10">
        <f t="shared" si="262"/>
        <v>136357.46966999996</v>
      </c>
      <c r="H145" s="10">
        <f t="shared" si="263"/>
        <v>152356.47331218058</v>
      </c>
      <c r="I145" s="10">
        <f t="shared" si="264"/>
        <v>139731.52031884252</v>
      </c>
      <c r="J145" s="10">
        <f t="shared" si="322"/>
        <v>136258.20185796305</v>
      </c>
      <c r="K145" s="10">
        <f t="shared" si="323"/>
        <v>128214.76241303099</v>
      </c>
      <c r="W145" s="1">
        <f t="shared" si="297"/>
        <v>127</v>
      </c>
      <c r="X145" s="2">
        <f t="shared" si="274"/>
        <v>133957.58709801894</v>
      </c>
      <c r="Y145" s="8">
        <f t="shared" si="310"/>
        <v>4.1300000000000003E-2</v>
      </c>
      <c r="Z145" s="5">
        <f t="shared" si="298"/>
        <v>1486</v>
      </c>
      <c r="AA145" s="2">
        <f t="shared" si="299"/>
        <v>148451.4</v>
      </c>
      <c r="AB145" s="2">
        <f t="shared" si="207"/>
        <v>148600</v>
      </c>
      <c r="AC145" s="2">
        <f t="shared" si="300"/>
        <v>155509.9</v>
      </c>
      <c r="AD145" s="8">
        <f t="shared" si="275"/>
        <v>4.65E-2</v>
      </c>
      <c r="AE145" s="2">
        <f t="shared" si="179"/>
        <v>159728.10603749999</v>
      </c>
      <c r="AF145" s="2" t="str">
        <f t="shared" si="276"/>
        <v>nie</v>
      </c>
      <c r="AG145" s="2">
        <f t="shared" si="277"/>
        <v>1486</v>
      </c>
      <c r="AH145" s="1">
        <f t="shared" si="233"/>
        <v>0</v>
      </c>
      <c r="AI145" s="1">
        <f t="shared" si="324"/>
        <v>0</v>
      </c>
      <c r="AJ145" s="1">
        <f t="shared" si="308"/>
        <v>1</v>
      </c>
      <c r="AK145" s="1">
        <f t="shared" si="319"/>
        <v>0</v>
      </c>
      <c r="AL145" s="2">
        <f t="shared" si="243"/>
        <v>0</v>
      </c>
      <c r="AM145" s="8">
        <f t="shared" si="313"/>
        <v>4.65E-2</v>
      </c>
      <c r="AN145" s="2">
        <f t="shared" si="244"/>
        <v>0</v>
      </c>
      <c r="AO145" s="2">
        <f t="shared" si="314"/>
        <v>0</v>
      </c>
      <c r="AP145" s="2">
        <f t="shared" si="272"/>
        <v>100</v>
      </c>
      <c r="AQ145" s="8">
        <f t="shared" si="325"/>
        <v>4.1300000000000003E-2</v>
      </c>
      <c r="AR145" s="2">
        <f t="shared" si="267"/>
        <v>102.40916666666666</v>
      </c>
      <c r="AS145" s="2">
        <f t="shared" si="326"/>
        <v>1</v>
      </c>
      <c r="AT145" s="2">
        <f t="shared" si="209"/>
        <v>0</v>
      </c>
      <c r="AU145" s="2">
        <f t="shared" si="245"/>
        <v>0</v>
      </c>
      <c r="AV145" s="2">
        <f t="shared" si="236"/>
        <v>64.620853477515695</v>
      </c>
      <c r="AW145" s="1">
        <f t="shared" si="311"/>
        <v>0</v>
      </c>
      <c r="AX145" s="2">
        <f t="shared" si="278"/>
        <v>64.620853477515695</v>
      </c>
      <c r="AY145" s="1">
        <f t="shared" si="237"/>
        <v>0</v>
      </c>
      <c r="AZ145" s="2">
        <f t="shared" si="210"/>
        <v>64.620853477515695</v>
      </c>
      <c r="BA145" s="2">
        <f t="shared" si="246"/>
        <v>159895.13605764418</v>
      </c>
      <c r="BB145" s="2">
        <f t="shared" si="279"/>
        <v>0</v>
      </c>
      <c r="BC145" s="2">
        <f t="shared" si="211"/>
        <v>1429.6342959399951</v>
      </c>
      <c r="BD145" s="2">
        <f t="shared" si="184"/>
        <v>158465.50176170419</v>
      </c>
      <c r="BE145" s="2">
        <f t="shared" si="212"/>
        <v>1487</v>
      </c>
      <c r="BF145" s="2">
        <f t="shared" si="185"/>
        <v>11097.545850952394</v>
      </c>
      <c r="BG145" s="2">
        <f t="shared" si="186"/>
        <v>145880.9559107518</v>
      </c>
      <c r="BI145" s="8">
        <f t="shared" si="315"/>
        <v>2.8000000000000001E-2</v>
      </c>
      <c r="BJ145" s="5">
        <f t="shared" si="301"/>
        <v>1089</v>
      </c>
      <c r="BK145" s="2">
        <f t="shared" si="302"/>
        <v>108791.1</v>
      </c>
      <c r="BL145" s="2">
        <f t="shared" si="303"/>
        <v>108900</v>
      </c>
      <c r="BM145" s="2">
        <f t="shared" si="280"/>
        <v>108900</v>
      </c>
      <c r="BN145" s="8">
        <f t="shared" si="281"/>
        <v>4.2999999999999997E-2</v>
      </c>
      <c r="BO145" s="2">
        <f t="shared" si="282"/>
        <v>111631.575</v>
      </c>
      <c r="BP145" s="2" t="str">
        <f t="shared" si="283"/>
        <v>nie</v>
      </c>
      <c r="BQ145" s="2">
        <f t="shared" si="284"/>
        <v>2178</v>
      </c>
      <c r="BR145" s="1">
        <f t="shared" si="316"/>
        <v>164</v>
      </c>
      <c r="BS145" s="1">
        <f t="shared" si="327"/>
        <v>178</v>
      </c>
      <c r="BT145" s="1">
        <f t="shared" si="309"/>
        <v>23</v>
      </c>
      <c r="BU145" s="1">
        <f t="shared" si="320"/>
        <v>104</v>
      </c>
      <c r="BV145" s="2">
        <f t="shared" si="247"/>
        <v>16400</v>
      </c>
      <c r="BW145" s="8">
        <f t="shared" si="317"/>
        <v>0.05</v>
      </c>
      <c r="BX145" s="2">
        <f t="shared" si="248"/>
        <v>16878.333333333332</v>
      </c>
      <c r="BY145" s="2">
        <f t="shared" si="318"/>
        <v>328</v>
      </c>
      <c r="BZ145" s="2">
        <f t="shared" si="273"/>
        <v>30500</v>
      </c>
      <c r="CA145" s="8">
        <f t="shared" si="328"/>
        <v>4.2999999999999997E-2</v>
      </c>
      <c r="CB145" s="2">
        <f t="shared" si="249"/>
        <v>31265.041666666668</v>
      </c>
      <c r="CC145" s="2">
        <f t="shared" si="329"/>
        <v>610</v>
      </c>
      <c r="CD145" s="2">
        <f t="shared" si="285"/>
        <v>0</v>
      </c>
      <c r="CE145" s="2">
        <f t="shared" si="250"/>
        <v>0</v>
      </c>
      <c r="CF145" s="2">
        <f t="shared" si="251"/>
        <v>72.899999999926877</v>
      </c>
      <c r="CG145" s="1">
        <f t="shared" si="312"/>
        <v>0</v>
      </c>
      <c r="CH145" s="2">
        <f t="shared" si="286"/>
        <v>72.899999999926877</v>
      </c>
      <c r="CI145" s="1">
        <f t="shared" si="242"/>
        <v>0</v>
      </c>
      <c r="CJ145" s="2">
        <f t="shared" si="252"/>
        <v>72.899999999926877</v>
      </c>
      <c r="CK145" s="2">
        <f t="shared" si="253"/>
        <v>159847.84999999992</v>
      </c>
      <c r="CL145" s="2">
        <f t="shared" si="287"/>
        <v>0</v>
      </c>
      <c r="CM145" s="2">
        <f t="shared" si="216"/>
        <v>1430.6693299999993</v>
      </c>
      <c r="CN145" s="2">
        <f t="shared" si="288"/>
        <v>158417.18066999991</v>
      </c>
      <c r="CO145" s="2">
        <f t="shared" si="217"/>
        <v>3116</v>
      </c>
      <c r="CP145" s="2">
        <f t="shared" si="289"/>
        <v>10779.051499999985</v>
      </c>
      <c r="CQ145" s="2">
        <f t="shared" si="290"/>
        <v>144522.12916999994</v>
      </c>
      <c r="CS145" s="5">
        <f t="shared" si="304"/>
        <v>1611</v>
      </c>
      <c r="CT145" s="2">
        <f t="shared" si="305"/>
        <v>160938.90000000002</v>
      </c>
      <c r="CU145" s="2">
        <f t="shared" si="306"/>
        <v>161100</v>
      </c>
      <c r="CV145" s="2">
        <f t="shared" si="307"/>
        <v>161100</v>
      </c>
      <c r="CW145" s="8">
        <f t="shared" si="291"/>
        <v>5.6000000000000001E-2</v>
      </c>
      <c r="CX145" s="2">
        <f t="shared" si="292"/>
        <v>166362.6</v>
      </c>
      <c r="CY145" s="2" t="str">
        <f t="shared" si="293"/>
        <v>nie</v>
      </c>
      <c r="CZ145" s="2">
        <f t="shared" si="222"/>
        <v>0</v>
      </c>
      <c r="DA145" s="2">
        <f t="shared" si="223"/>
        <v>94.314405359298689</v>
      </c>
      <c r="DB145" s="2">
        <f t="shared" si="224"/>
        <v>166456.9144053593</v>
      </c>
      <c r="DC145" s="2">
        <f t="shared" si="294"/>
        <v>0</v>
      </c>
      <c r="DD145" s="2">
        <f t="shared" si="225"/>
        <v>1462.2072355829021</v>
      </c>
      <c r="DE145" s="2">
        <f t="shared" si="226"/>
        <v>164994.7071697764</v>
      </c>
      <c r="DF145" s="2">
        <f t="shared" si="295"/>
        <v>4833</v>
      </c>
      <c r="DG145" s="2">
        <f t="shared" si="296"/>
        <v>11690.624000000002</v>
      </c>
      <c r="DH145" s="2">
        <f t="shared" si="227"/>
        <v>148471.08316977639</v>
      </c>
    </row>
    <row r="146" spans="2:112">
      <c r="B146" s="228"/>
      <c r="C146" s="1">
        <f t="shared" si="321"/>
        <v>109</v>
      </c>
      <c r="D146" s="2">
        <f t="shared" si="259"/>
        <v>148159.01441172435</v>
      </c>
      <c r="E146" s="2">
        <f t="shared" si="260"/>
        <v>138298.73006623029</v>
      </c>
      <c r="F146" s="2">
        <f t="shared" si="261"/>
        <v>148589.06866999995</v>
      </c>
      <c r="G146" s="2">
        <f t="shared" si="262"/>
        <v>136924.55741999997</v>
      </c>
      <c r="H146" s="2">
        <f t="shared" si="263"/>
        <v>152971.103901514</v>
      </c>
      <c r="I146" s="2">
        <f t="shared" si="264"/>
        <v>140229.37109620261</v>
      </c>
      <c r="J146" s="2">
        <f t="shared" si="322"/>
        <v>136649.09257454309</v>
      </c>
      <c r="K146" s="2">
        <f t="shared" si="323"/>
        <v>128513.93019199472</v>
      </c>
      <c r="W146" s="1">
        <f t="shared" si="297"/>
        <v>128</v>
      </c>
      <c r="X146" s="2">
        <f t="shared" si="274"/>
        <v>134265.13157479363</v>
      </c>
      <c r="Y146" s="8">
        <f t="shared" si="310"/>
        <v>4.1300000000000003E-2</v>
      </c>
      <c r="Z146" s="5">
        <f t="shared" si="298"/>
        <v>1486</v>
      </c>
      <c r="AA146" s="2">
        <f t="shared" si="299"/>
        <v>148451.4</v>
      </c>
      <c r="AB146" s="2">
        <f t="shared" si="207"/>
        <v>148600</v>
      </c>
      <c r="AC146" s="2">
        <f t="shared" si="300"/>
        <v>155509.9</v>
      </c>
      <c r="AD146" s="8">
        <f t="shared" si="275"/>
        <v>4.65E-2</v>
      </c>
      <c r="AE146" s="2">
        <f t="shared" si="179"/>
        <v>160330.70689999999</v>
      </c>
      <c r="AF146" s="2" t="str">
        <f t="shared" si="276"/>
        <v>nie</v>
      </c>
      <c r="AG146" s="2">
        <f t="shared" si="277"/>
        <v>1486</v>
      </c>
      <c r="AH146" s="1">
        <f t="shared" si="233"/>
        <v>0</v>
      </c>
      <c r="AI146" s="1">
        <f t="shared" si="324"/>
        <v>0</v>
      </c>
      <c r="AJ146" s="1">
        <f t="shared" si="308"/>
        <v>1</v>
      </c>
      <c r="AK146" s="1">
        <f t="shared" si="319"/>
        <v>0</v>
      </c>
      <c r="AL146" s="2">
        <f t="shared" si="243"/>
        <v>0</v>
      </c>
      <c r="AM146" s="8">
        <f t="shared" si="313"/>
        <v>4.65E-2</v>
      </c>
      <c r="AN146" s="2">
        <f t="shared" si="244"/>
        <v>0</v>
      </c>
      <c r="AO146" s="2">
        <f t="shared" si="314"/>
        <v>0</v>
      </c>
      <c r="AP146" s="2">
        <f t="shared" si="272"/>
        <v>100</v>
      </c>
      <c r="AQ146" s="8">
        <f t="shared" si="325"/>
        <v>4.1300000000000003E-2</v>
      </c>
      <c r="AR146" s="2">
        <f t="shared" si="267"/>
        <v>102.75333333333334</v>
      </c>
      <c r="AS146" s="2">
        <f t="shared" si="326"/>
        <v>1</v>
      </c>
      <c r="AT146" s="2">
        <f t="shared" si="209"/>
        <v>0</v>
      </c>
      <c r="AU146" s="2">
        <f t="shared" si="245"/>
        <v>0</v>
      </c>
      <c r="AV146" s="2">
        <f t="shared" si="236"/>
        <v>64.620853477515695</v>
      </c>
      <c r="AW146" s="1">
        <f t="shared" si="311"/>
        <v>0</v>
      </c>
      <c r="AX146" s="2">
        <f t="shared" si="278"/>
        <v>64.620853477515695</v>
      </c>
      <c r="AY146" s="1">
        <f t="shared" si="237"/>
        <v>0</v>
      </c>
      <c r="AZ146" s="2">
        <f t="shared" si="210"/>
        <v>64.620853477515695</v>
      </c>
      <c r="BA146" s="2">
        <f t="shared" si="246"/>
        <v>160498.08108681082</v>
      </c>
      <c r="BB146" s="2">
        <f t="shared" si="279"/>
        <v>0</v>
      </c>
      <c r="BC146" s="2">
        <f t="shared" si="211"/>
        <v>1429.6342959399951</v>
      </c>
      <c r="BD146" s="2">
        <f t="shared" si="184"/>
        <v>159068.44679087083</v>
      </c>
      <c r="BE146" s="2">
        <f t="shared" si="212"/>
        <v>1487</v>
      </c>
      <c r="BF146" s="2">
        <f t="shared" si="185"/>
        <v>11212.105406494056</v>
      </c>
      <c r="BG146" s="2">
        <f t="shared" si="186"/>
        <v>146369.34138437678</v>
      </c>
      <c r="BI146" s="8">
        <f t="shared" si="315"/>
        <v>2.8000000000000001E-2</v>
      </c>
      <c r="BJ146" s="5">
        <f t="shared" si="301"/>
        <v>1089</v>
      </c>
      <c r="BK146" s="2">
        <f t="shared" si="302"/>
        <v>108791.1</v>
      </c>
      <c r="BL146" s="2">
        <f t="shared" si="303"/>
        <v>108900</v>
      </c>
      <c r="BM146" s="2">
        <f t="shared" si="280"/>
        <v>108900</v>
      </c>
      <c r="BN146" s="8">
        <f t="shared" si="281"/>
        <v>4.2999999999999997E-2</v>
      </c>
      <c r="BO146" s="2">
        <f t="shared" si="282"/>
        <v>112021.79999999999</v>
      </c>
      <c r="BP146" s="2" t="str">
        <f t="shared" si="283"/>
        <v>nie</v>
      </c>
      <c r="BQ146" s="2">
        <f t="shared" si="284"/>
        <v>2178</v>
      </c>
      <c r="BR146" s="1">
        <f t="shared" si="316"/>
        <v>164</v>
      </c>
      <c r="BS146" s="1">
        <f t="shared" si="327"/>
        <v>178</v>
      </c>
      <c r="BT146" s="1">
        <f t="shared" si="309"/>
        <v>23</v>
      </c>
      <c r="BU146" s="1">
        <f t="shared" si="320"/>
        <v>104</v>
      </c>
      <c r="BV146" s="2">
        <f t="shared" si="247"/>
        <v>16400</v>
      </c>
      <c r="BW146" s="8">
        <f t="shared" si="317"/>
        <v>0.05</v>
      </c>
      <c r="BX146" s="2">
        <f t="shared" si="248"/>
        <v>16946.666666666668</v>
      </c>
      <c r="BY146" s="2">
        <f t="shared" si="318"/>
        <v>328</v>
      </c>
      <c r="BZ146" s="2">
        <f t="shared" si="273"/>
        <v>30500</v>
      </c>
      <c r="CA146" s="8">
        <f t="shared" si="328"/>
        <v>4.2999999999999997E-2</v>
      </c>
      <c r="CB146" s="2">
        <f t="shared" si="249"/>
        <v>31374.333333333332</v>
      </c>
      <c r="CC146" s="2">
        <f t="shared" si="329"/>
        <v>610</v>
      </c>
      <c r="CD146" s="2">
        <f t="shared" si="285"/>
        <v>0</v>
      </c>
      <c r="CE146" s="2">
        <f t="shared" si="250"/>
        <v>0</v>
      </c>
      <c r="CF146" s="2">
        <f t="shared" si="251"/>
        <v>72.899999999926877</v>
      </c>
      <c r="CG146" s="1">
        <f t="shared" si="312"/>
        <v>0</v>
      </c>
      <c r="CH146" s="2">
        <f t="shared" si="286"/>
        <v>72.899999999926877</v>
      </c>
      <c r="CI146" s="1">
        <f t="shared" si="242"/>
        <v>0</v>
      </c>
      <c r="CJ146" s="2">
        <f t="shared" si="252"/>
        <v>72.899999999926877</v>
      </c>
      <c r="CK146" s="2">
        <f t="shared" si="253"/>
        <v>160415.69999999992</v>
      </c>
      <c r="CL146" s="2">
        <f t="shared" si="287"/>
        <v>0</v>
      </c>
      <c r="CM146" s="2">
        <f t="shared" si="216"/>
        <v>1430.6693299999993</v>
      </c>
      <c r="CN146" s="2">
        <f t="shared" si="288"/>
        <v>158985.03066999992</v>
      </c>
      <c r="CO146" s="2">
        <f t="shared" si="217"/>
        <v>3116</v>
      </c>
      <c r="CP146" s="2">
        <f t="shared" si="289"/>
        <v>10886.942999999987</v>
      </c>
      <c r="CQ146" s="2">
        <f t="shared" si="290"/>
        <v>144982.08766999992</v>
      </c>
      <c r="CS146" s="5">
        <f t="shared" si="304"/>
        <v>1611</v>
      </c>
      <c r="CT146" s="2">
        <f t="shared" si="305"/>
        <v>160938.90000000002</v>
      </c>
      <c r="CU146" s="2">
        <f t="shared" si="306"/>
        <v>161100</v>
      </c>
      <c r="CV146" s="2">
        <f t="shared" si="307"/>
        <v>161100</v>
      </c>
      <c r="CW146" s="8">
        <f t="shared" si="291"/>
        <v>5.6000000000000001E-2</v>
      </c>
      <c r="CX146" s="2">
        <f t="shared" si="292"/>
        <v>167114.40000000002</v>
      </c>
      <c r="CY146" s="2" t="str">
        <f t="shared" si="293"/>
        <v>nie</v>
      </c>
      <c r="CZ146" s="2">
        <f t="shared" si="222"/>
        <v>0</v>
      </c>
      <c r="DA146" s="2">
        <f t="shared" si="223"/>
        <v>94.314405359298689</v>
      </c>
      <c r="DB146" s="2">
        <f t="shared" si="224"/>
        <v>167208.71440535932</v>
      </c>
      <c r="DC146" s="2">
        <f t="shared" si="294"/>
        <v>0</v>
      </c>
      <c r="DD146" s="2">
        <f t="shared" si="225"/>
        <v>1462.2072355829021</v>
      </c>
      <c r="DE146" s="2">
        <f t="shared" si="226"/>
        <v>165746.50716977642</v>
      </c>
      <c r="DF146" s="2">
        <f t="shared" si="295"/>
        <v>4833</v>
      </c>
      <c r="DG146" s="2">
        <f t="shared" si="296"/>
        <v>11833.466000000004</v>
      </c>
      <c r="DH146" s="2">
        <f t="shared" si="227"/>
        <v>149080.04116977641</v>
      </c>
    </row>
    <row r="147" spans="2:112">
      <c r="B147" s="228"/>
      <c r="C147" s="1">
        <f t="shared" si="321"/>
        <v>110</v>
      </c>
      <c r="D147" s="2">
        <f t="shared" si="259"/>
        <v>148735.52774505768</v>
      </c>
      <c r="E147" s="2">
        <f t="shared" si="260"/>
        <v>138299.28761623029</v>
      </c>
      <c r="F147" s="2">
        <f t="shared" si="261"/>
        <v>149134.44366999995</v>
      </c>
      <c r="G147" s="2">
        <f t="shared" si="262"/>
        <v>137306.23616999996</v>
      </c>
      <c r="H147" s="2">
        <f t="shared" si="263"/>
        <v>153585.73449084745</v>
      </c>
      <c r="I147" s="2">
        <f t="shared" si="264"/>
        <v>140727.2218735627</v>
      </c>
      <c r="J147" s="2">
        <f t="shared" si="322"/>
        <v>137041.1046588663</v>
      </c>
      <c r="K147" s="2">
        <f t="shared" si="323"/>
        <v>128813.09797095845</v>
      </c>
      <c r="W147" s="1">
        <f t="shared" si="297"/>
        <v>129</v>
      </c>
      <c r="X147" s="2">
        <f t="shared" ref="X147:X162" si="330">zakup_domyslny_wartosc*IFERROR((INDEX(scenariusz_I_inflacja_skumulowana,MATCH(ROUNDDOWN(W147/12,0),scenariusz_I_rok,0))+1),1)
*(1+MOD(W147,12)*INDEX(scenariusz_I_inflacja,MATCH(ROUNDUP(W147/12,0),scenariusz_I_rok,0))/12)</f>
        <v>134572.67605156836</v>
      </c>
      <c r="Y147" s="8">
        <f t="shared" si="310"/>
        <v>4.1300000000000003E-2</v>
      </c>
      <c r="Z147" s="5">
        <f t="shared" si="298"/>
        <v>1486</v>
      </c>
      <c r="AA147" s="2">
        <f t="shared" si="299"/>
        <v>148451.4</v>
      </c>
      <c r="AB147" s="2">
        <f t="shared" si="207"/>
        <v>148600</v>
      </c>
      <c r="AC147" s="2">
        <f t="shared" si="300"/>
        <v>155509.9</v>
      </c>
      <c r="AD147" s="8">
        <f t="shared" ref="AD147:AD162" si="331">IF(AND(MOD($W147,zapadalnosc_TOS)&lt;=zmiana_oprocentowania_co_ile_mc_TOS,MOD($W147,zapadalnosc_TOS)&lt;&gt;0),proc_I_okres_TOS,(marza_TOS+$Y147))</f>
        <v>4.65E-2</v>
      </c>
      <c r="AE147" s="2">
        <f t="shared" ref="AE147:AE162" si="332">AC147*(1+AD147*IF(MOD($W147,12)&lt;&gt;0,MOD($W147,12),12)/12)</f>
        <v>160933.30776249999</v>
      </c>
      <c r="AF147" s="2" t="str">
        <f t="shared" ref="AF147:AF162" si="333">IF(MOD($W147,zapadalnosc_TOS)=0,"tak","nie")</f>
        <v>nie</v>
      </c>
      <c r="AG147" s="2">
        <f t="shared" ref="AG147:AG162" si="334">IF(MOD($W147,zapadalnosc_TOS)=0,0,
IF(AND(MOD($W147,zapadalnosc_TOS)&lt;zapadalnosc_TOS,MOD($W147,zapadalnosc_TOS)&lt;=koszt_wczesniejszy_wykup_ochrona_TOS),
MIN(AE147-AB147,Z147*koszt_wczesniejszy_wykup_TOS),Z147*koszt_wczesniejszy_wykup_TOS))</f>
        <v>1486</v>
      </c>
      <c r="AH147" s="1">
        <f t="shared" si="233"/>
        <v>0</v>
      </c>
      <c r="AI147" s="1">
        <f t="shared" si="324"/>
        <v>0</v>
      </c>
      <c r="AJ147" s="1">
        <f t="shared" si="308"/>
        <v>1</v>
      </c>
      <c r="AK147" s="1">
        <f t="shared" si="319"/>
        <v>0</v>
      </c>
      <c r="AL147" s="2">
        <f t="shared" si="243"/>
        <v>0</v>
      </c>
      <c r="AM147" s="8">
        <f t="shared" si="313"/>
        <v>4.65E-2</v>
      </c>
      <c r="AN147" s="2">
        <f t="shared" si="244"/>
        <v>0</v>
      </c>
      <c r="AO147" s="2">
        <f t="shared" si="314"/>
        <v>0</v>
      </c>
      <c r="AP147" s="2">
        <f t="shared" si="272"/>
        <v>100</v>
      </c>
      <c r="AQ147" s="8">
        <f t="shared" si="325"/>
        <v>4.1300000000000003E-2</v>
      </c>
      <c r="AR147" s="2">
        <f t="shared" si="267"/>
        <v>103.0975</v>
      </c>
      <c r="AS147" s="2">
        <f t="shared" si="326"/>
        <v>1</v>
      </c>
      <c r="AT147" s="2">
        <f t="shared" si="209"/>
        <v>0</v>
      </c>
      <c r="AU147" s="2">
        <f t="shared" si="245"/>
        <v>0</v>
      </c>
      <c r="AV147" s="2">
        <f t="shared" si="236"/>
        <v>64.620853477515695</v>
      </c>
      <c r="AW147" s="1">
        <f t="shared" si="311"/>
        <v>0</v>
      </c>
      <c r="AX147" s="2">
        <f t="shared" ref="AX147:AX162" si="335">AV147-AW147*zamiana_TOS</f>
        <v>64.620853477515695</v>
      </c>
      <c r="AY147" s="1">
        <f t="shared" si="237"/>
        <v>0</v>
      </c>
      <c r="AZ147" s="2">
        <f t="shared" si="210"/>
        <v>64.620853477515695</v>
      </c>
      <c r="BA147" s="2">
        <f t="shared" si="246"/>
        <v>161101.0261159775</v>
      </c>
      <c r="BB147" s="2">
        <f t="shared" ref="BB147:BB162" si="336">MIN(IF(MOD($W147,12)=0,INDEX(IKE_oplata_wskaznik,MATCH(ROUNDUP($W147/12,0),IKE_oplata_rok,0)),0)*BA147,200)</f>
        <v>0</v>
      </c>
      <c r="BC147" s="2">
        <f t="shared" si="211"/>
        <v>1429.6342959399951</v>
      </c>
      <c r="BD147" s="2">
        <f t="shared" ref="BD147:BD162" si="337">BA147-BC147</f>
        <v>159671.3918200375</v>
      </c>
      <c r="BE147" s="2">
        <f t="shared" si="212"/>
        <v>1487</v>
      </c>
      <c r="BF147" s="2">
        <f t="shared" ref="BF147:BF162" si="338">(BA147-BE147-zakup_domyslny_wartosc)*podatek_Belki</f>
        <v>11326.664962035724</v>
      </c>
      <c r="BG147" s="2">
        <f t="shared" ref="BG147:BG162" si="339">BA147-BC147-BE147-BF147</f>
        <v>146857.72685800178</v>
      </c>
      <c r="BI147" s="8">
        <f t="shared" si="315"/>
        <v>2.8000000000000001E-2</v>
      </c>
      <c r="BJ147" s="5">
        <f t="shared" si="301"/>
        <v>1089</v>
      </c>
      <c r="BK147" s="2">
        <f t="shared" si="302"/>
        <v>108791.1</v>
      </c>
      <c r="BL147" s="2">
        <f t="shared" si="303"/>
        <v>108900</v>
      </c>
      <c r="BM147" s="2">
        <f t="shared" ref="BM147:BM162" si="340">BL147</f>
        <v>108900</v>
      </c>
      <c r="BN147" s="8">
        <f t="shared" ref="BN147:BN162" si="341">IF(AND(MOD($W147,zapadalnosc_COI)&lt;=zmiana_oprocentowania_co_ile_mc_COI,MOD($W147,zapadalnosc_COI)&lt;&gt;0),proc_I_okres_COI,(marza_COI+$BI147))</f>
        <v>4.2999999999999997E-2</v>
      </c>
      <c r="BO147" s="2">
        <f t="shared" ref="BO147:BO162" si="342">BM147*(1+BN147*IF(MOD($W147,12)&lt;&gt;0,MOD($W147,12),12)/12)</f>
        <v>112412.02499999999</v>
      </c>
      <c r="BP147" s="2" t="str">
        <f t="shared" ref="BP147:BP162" si="343">IF(MOD($W147,zapadalnosc_COI)=0,"tak","nie")</f>
        <v>nie</v>
      </c>
      <c r="BQ147" s="2">
        <f t="shared" ref="BQ147:BQ162" si="344">IF(MOD($W147,zapadalnosc_COI)=0,0,
IF(AND(MOD($W147,zapadalnosc_COI)&lt;zapadalnosc_COI,MOD($W147,zapadalnosc_COI)&lt;=koszt_wczesniejszy_wykup_ochrona_COI),
MIN(BO147-BL147,BJ147*koszt_wczesniejszy_wykup_COI),BJ147*koszt_wczesniejszy_wykup_COI))</f>
        <v>2178</v>
      </c>
      <c r="BR147" s="1">
        <f t="shared" si="316"/>
        <v>164</v>
      </c>
      <c r="BS147" s="1">
        <f t="shared" si="327"/>
        <v>178</v>
      </c>
      <c r="BT147" s="1">
        <f t="shared" si="309"/>
        <v>23</v>
      </c>
      <c r="BU147" s="1">
        <f t="shared" si="320"/>
        <v>104</v>
      </c>
      <c r="BV147" s="2">
        <f t="shared" si="247"/>
        <v>16400</v>
      </c>
      <c r="BW147" s="8">
        <f t="shared" si="317"/>
        <v>0.05</v>
      </c>
      <c r="BX147" s="2">
        <f t="shared" si="248"/>
        <v>17015</v>
      </c>
      <c r="BY147" s="2">
        <f t="shared" si="318"/>
        <v>328</v>
      </c>
      <c r="BZ147" s="2">
        <f t="shared" si="273"/>
        <v>30500</v>
      </c>
      <c r="CA147" s="8">
        <f t="shared" si="328"/>
        <v>4.2999999999999997E-2</v>
      </c>
      <c r="CB147" s="2">
        <f t="shared" si="249"/>
        <v>31483.624999999996</v>
      </c>
      <c r="CC147" s="2">
        <f t="shared" si="329"/>
        <v>610</v>
      </c>
      <c r="CD147" s="2">
        <f t="shared" ref="CD147:CD161" si="345">IF(MOD($W147,wyplata_odsetek_COI)=0, (BO147-BL147),0)
-IF(AND(BP147="tak",BK148&lt;&gt;""),BK148-BL147,0)</f>
        <v>0</v>
      </c>
      <c r="CE147" s="2">
        <f t="shared" si="250"/>
        <v>0</v>
      </c>
      <c r="CF147" s="2">
        <f t="shared" si="251"/>
        <v>72.899999999926877</v>
      </c>
      <c r="CG147" s="1">
        <f t="shared" si="312"/>
        <v>0</v>
      </c>
      <c r="CH147" s="2">
        <f t="shared" ref="CH147:CH162" si="346">CF147-CG147*zamiana_COI</f>
        <v>72.899999999926877</v>
      </c>
      <c r="CI147" s="1">
        <f t="shared" si="242"/>
        <v>0</v>
      </c>
      <c r="CJ147" s="2">
        <f t="shared" si="252"/>
        <v>72.899999999926877</v>
      </c>
      <c r="CK147" s="2">
        <f t="shared" si="253"/>
        <v>160983.54999999993</v>
      </c>
      <c r="CL147" s="2">
        <f t="shared" ref="CL147:CL162" si="347">MIN(IF(MOD($W147,12)=0,INDEX(IKE_oplata_wskaznik,MATCH(ROUNDUP($W147/12,0),IKE_oplata_rok,0)),0)*CK147,200)</f>
        <v>0</v>
      </c>
      <c r="CM147" s="2">
        <f t="shared" si="216"/>
        <v>1430.6693299999993</v>
      </c>
      <c r="CN147" s="2">
        <f t="shared" ref="CN147:CN162" si="348">CK147-CM147</f>
        <v>159552.88066999993</v>
      </c>
      <c r="CO147" s="2">
        <f t="shared" si="217"/>
        <v>3116</v>
      </c>
      <c r="CP147" s="2">
        <f t="shared" ref="CP147:CP162" si="349">(CK147-CO147-zakup_domyslny_wartosc)*podatek_Belki</f>
        <v>10994.834499999986</v>
      </c>
      <c r="CQ147" s="2">
        <f t="shared" ref="CQ147:CQ162" si="350">CK147-CM147-CO147-CP147</f>
        <v>145442.04616999993</v>
      </c>
      <c r="CS147" s="5">
        <f t="shared" si="304"/>
        <v>1611</v>
      </c>
      <c r="CT147" s="2">
        <f t="shared" si="305"/>
        <v>160938.90000000002</v>
      </c>
      <c r="CU147" s="2">
        <f t="shared" si="306"/>
        <v>161100</v>
      </c>
      <c r="CV147" s="2">
        <f t="shared" si="307"/>
        <v>161100</v>
      </c>
      <c r="CW147" s="8">
        <f t="shared" ref="CW147:CW162" si="351">IF(AND(MOD($W147,zapadalnosc_EDO)&lt;=12,MOD($W147,zapadalnosc_EDO)&lt;&gt;0),proc_I_okres_EDO,(marza_EDO+$BI147))</f>
        <v>5.6000000000000001E-2</v>
      </c>
      <c r="CX147" s="2">
        <f t="shared" ref="CX147:CX162" si="352">CV147*(1+CW147*IF(MOD($W147,12)&lt;&gt;0,MOD($W147,12),12)/12)</f>
        <v>167866.2</v>
      </c>
      <c r="CY147" s="2" t="str">
        <f t="shared" ref="CY147:CY162" si="353">IF(MOD($W147,zapadalnosc_EDO)=0,"tak","nie")</f>
        <v>nie</v>
      </c>
      <c r="CZ147" s="2">
        <f t="shared" si="222"/>
        <v>0</v>
      </c>
      <c r="DA147" s="2">
        <f t="shared" si="223"/>
        <v>94.314405359298689</v>
      </c>
      <c r="DB147" s="2">
        <f t="shared" si="224"/>
        <v>167960.51440535931</v>
      </c>
      <c r="DC147" s="2">
        <f t="shared" ref="DC147:DC162" si="354">MIN(IF(MOD(W147,12)=0,INDEX(IKE_oplata_wskaznik,MATCH(ROUNDUP(W147/12,0),IKE_oplata_rok,0)),0)*DB147,200)</f>
        <v>0</v>
      </c>
      <c r="DD147" s="2">
        <f t="shared" si="225"/>
        <v>1462.2072355829021</v>
      </c>
      <c r="DE147" s="2">
        <f t="shared" si="226"/>
        <v>166498.30716977641</v>
      </c>
      <c r="DF147" s="2">
        <f t="shared" ref="DF147:DF162" si="355">IF(AND(MOD($W147,zapadalnosc_EDO)&lt;zapadalnosc_EDO,MOD($W147,zapadalnosc_EDO)&lt;&gt;0),MIN(CX147-CU147,CS147*koszt_wczesniejszy_wykup_EDO),0)</f>
        <v>4833</v>
      </c>
      <c r="DG147" s="2">
        <f t="shared" ref="DG147:DG162" si="356">(CX147-DF147-zakup_domyslny_wartosc)*podatek_Belki</f>
        <v>11976.308000000003</v>
      </c>
      <c r="DH147" s="2">
        <f t="shared" si="227"/>
        <v>149688.99916977642</v>
      </c>
    </row>
    <row r="148" spans="2:112">
      <c r="B148" s="228"/>
      <c r="C148" s="1">
        <f t="shared" si="321"/>
        <v>111</v>
      </c>
      <c r="D148" s="2">
        <f t="shared" si="259"/>
        <v>149312.04107839102</v>
      </c>
      <c r="E148" s="2">
        <f t="shared" si="260"/>
        <v>138495.43991623027</v>
      </c>
      <c r="F148" s="2">
        <f t="shared" si="261"/>
        <v>149679.81866999995</v>
      </c>
      <c r="G148" s="2">
        <f t="shared" si="262"/>
        <v>137687.91491999995</v>
      </c>
      <c r="H148" s="2">
        <f t="shared" si="263"/>
        <v>154200.36508018087</v>
      </c>
      <c r="I148" s="2">
        <f t="shared" si="264"/>
        <v>141225.07265092278</v>
      </c>
      <c r="J148" s="2">
        <f t="shared" si="322"/>
        <v>137434.24132785643</v>
      </c>
      <c r="K148" s="2">
        <f t="shared" si="323"/>
        <v>129112.26574992218</v>
      </c>
      <c r="W148" s="1">
        <f t="shared" ref="W148:W162" si="357">W147+1</f>
        <v>130</v>
      </c>
      <c r="X148" s="2">
        <f t="shared" si="330"/>
        <v>134880.22052834311</v>
      </c>
      <c r="Y148" s="8">
        <f t="shared" si="310"/>
        <v>4.1300000000000003E-2</v>
      </c>
      <c r="Z148" s="5">
        <f t="shared" ref="Z148:Z162" si="358">IF(AF147="tak",
ROUNDDOWN(AE147/zamiana_TOS,0),
Z147)</f>
        <v>1486</v>
      </c>
      <c r="AA148" s="2">
        <f t="shared" ref="AA148:AA162" si="359">IF(AF147="tak",
Z148*zamiana_TOS,
AA147)</f>
        <v>148451.4</v>
      </c>
      <c r="AB148" s="2">
        <f t="shared" ref="AB148:AB162" si="360">IF(AF147="tak",
Z148*100,
AB147)</f>
        <v>148600</v>
      </c>
      <c r="AC148" s="2">
        <f t="shared" ref="AC148:AC162" si="361">IF(AF147="tak",
 AB148,
IF(MOD($W148,kapitalizacja_odsetek_mc_TOS)&lt;&gt;1,AC147,AE147))</f>
        <v>155509.9</v>
      </c>
      <c r="AD148" s="8">
        <f t="shared" si="331"/>
        <v>4.65E-2</v>
      </c>
      <c r="AE148" s="2">
        <f t="shared" si="332"/>
        <v>161535.90862500001</v>
      </c>
      <c r="AF148" s="2" t="str">
        <f t="shared" si="333"/>
        <v>nie</v>
      </c>
      <c r="AG148" s="2">
        <f t="shared" si="334"/>
        <v>1486</v>
      </c>
      <c r="AH148" s="1">
        <f t="shared" si="233"/>
        <v>0</v>
      </c>
      <c r="AI148" s="1">
        <f t="shared" si="324"/>
        <v>0</v>
      </c>
      <c r="AJ148" s="1">
        <f t="shared" si="308"/>
        <v>1</v>
      </c>
      <c r="AK148" s="1">
        <f t="shared" si="319"/>
        <v>0</v>
      </c>
      <c r="AL148" s="2">
        <f t="shared" si="243"/>
        <v>0</v>
      </c>
      <c r="AM148" s="8">
        <f t="shared" si="313"/>
        <v>4.65E-2</v>
      </c>
      <c r="AN148" s="2">
        <f t="shared" si="244"/>
        <v>0</v>
      </c>
      <c r="AO148" s="2">
        <f t="shared" si="314"/>
        <v>0</v>
      </c>
      <c r="AP148" s="2">
        <f t="shared" si="272"/>
        <v>100</v>
      </c>
      <c r="AQ148" s="8">
        <f t="shared" si="325"/>
        <v>4.1300000000000003E-2</v>
      </c>
      <c r="AR148" s="2">
        <f t="shared" si="267"/>
        <v>103.44166666666668</v>
      </c>
      <c r="AS148" s="2">
        <f t="shared" si="326"/>
        <v>1</v>
      </c>
      <c r="AT148" s="2">
        <f t="shared" ref="AT148:AT161" si="362">IF(AND(AF148="tak",AA149&lt;&gt;""),
 AE148-AA149,
0)</f>
        <v>0</v>
      </c>
      <c r="AU148" s="2">
        <f t="shared" si="245"/>
        <v>0</v>
      </c>
      <c r="AV148" s="2">
        <f t="shared" si="236"/>
        <v>64.620853477515695</v>
      </c>
      <c r="AW148" s="1">
        <f t="shared" si="311"/>
        <v>0</v>
      </c>
      <c r="AX148" s="2">
        <f t="shared" si="335"/>
        <v>64.620853477515695</v>
      </c>
      <c r="AY148" s="1">
        <f t="shared" si="237"/>
        <v>0</v>
      </c>
      <c r="AZ148" s="2">
        <f t="shared" ref="AZ148:AZ162" si="363">AX148-AY148*100</f>
        <v>64.620853477515695</v>
      </c>
      <c r="BA148" s="2">
        <f t="shared" si="246"/>
        <v>161703.9711451442</v>
      </c>
      <c r="BB148" s="2">
        <f t="shared" si="336"/>
        <v>0</v>
      </c>
      <c r="BC148" s="2">
        <f t="shared" ref="BC148:BC162" si="364">BB148+BC147</f>
        <v>1429.6342959399951</v>
      </c>
      <c r="BD148" s="2">
        <f t="shared" si="337"/>
        <v>160274.33684920421</v>
      </c>
      <c r="BE148" s="2">
        <f t="shared" ref="BE148:BE162" si="365">AG148+AO148+AS148</f>
        <v>1487</v>
      </c>
      <c r="BF148" s="2">
        <f t="shared" si="338"/>
        <v>11441.224517577397</v>
      </c>
      <c r="BG148" s="2">
        <f t="shared" si="339"/>
        <v>147346.11233162682</v>
      </c>
      <c r="BI148" s="8">
        <f t="shared" si="315"/>
        <v>2.8000000000000001E-2</v>
      </c>
      <c r="BJ148" s="5">
        <f t="shared" ref="BJ148:BJ162" si="366">IF(BP147="tak",
ROUNDDOWN(BO147/zamiana_COI,0),
BJ147)</f>
        <v>1089</v>
      </c>
      <c r="BK148" s="2">
        <f t="shared" ref="BK148:BK162" si="367">IF(BP147="tak",
BJ148*zamiana_COI,
BK147)</f>
        <v>108791.1</v>
      </c>
      <c r="BL148" s="2">
        <f t="shared" ref="BL148:BL162" si="368">IF(BP147="tak",
BJ148*100,
BL147)</f>
        <v>108900</v>
      </c>
      <c r="BM148" s="2">
        <f t="shared" si="340"/>
        <v>108900</v>
      </c>
      <c r="BN148" s="8">
        <f t="shared" si="341"/>
        <v>4.2999999999999997E-2</v>
      </c>
      <c r="BO148" s="2">
        <f t="shared" si="342"/>
        <v>112802.25</v>
      </c>
      <c r="BP148" s="2" t="str">
        <f t="shared" si="343"/>
        <v>nie</v>
      </c>
      <c r="BQ148" s="2">
        <f t="shared" si="344"/>
        <v>2178</v>
      </c>
      <c r="BR148" s="1">
        <f t="shared" si="316"/>
        <v>164</v>
      </c>
      <c r="BS148" s="1">
        <f t="shared" si="327"/>
        <v>178</v>
      </c>
      <c r="BT148" s="1">
        <f t="shared" si="309"/>
        <v>23</v>
      </c>
      <c r="BU148" s="1">
        <f t="shared" si="320"/>
        <v>104</v>
      </c>
      <c r="BV148" s="2">
        <f t="shared" si="247"/>
        <v>16400</v>
      </c>
      <c r="BW148" s="8">
        <f t="shared" si="317"/>
        <v>0.05</v>
      </c>
      <c r="BX148" s="2">
        <f t="shared" si="248"/>
        <v>17083.333333333336</v>
      </c>
      <c r="BY148" s="2">
        <f t="shared" si="318"/>
        <v>328</v>
      </c>
      <c r="BZ148" s="2">
        <f t="shared" si="273"/>
        <v>30500</v>
      </c>
      <c r="CA148" s="8">
        <f t="shared" si="328"/>
        <v>4.2999999999999997E-2</v>
      </c>
      <c r="CB148" s="2">
        <f t="shared" si="249"/>
        <v>31592.916666666668</v>
      </c>
      <c r="CC148" s="2">
        <f t="shared" si="329"/>
        <v>610</v>
      </c>
      <c r="CD148" s="2">
        <f t="shared" si="345"/>
        <v>0</v>
      </c>
      <c r="CE148" s="2">
        <f t="shared" si="250"/>
        <v>0</v>
      </c>
      <c r="CF148" s="2">
        <f t="shared" si="251"/>
        <v>72.899999999926877</v>
      </c>
      <c r="CG148" s="1">
        <f t="shared" si="312"/>
        <v>0</v>
      </c>
      <c r="CH148" s="2">
        <f t="shared" si="346"/>
        <v>72.899999999926877</v>
      </c>
      <c r="CI148" s="1">
        <f t="shared" si="242"/>
        <v>0</v>
      </c>
      <c r="CJ148" s="2">
        <f t="shared" si="252"/>
        <v>72.899999999926877</v>
      </c>
      <c r="CK148" s="2">
        <f t="shared" si="253"/>
        <v>161551.39999999994</v>
      </c>
      <c r="CL148" s="2">
        <f t="shared" si="347"/>
        <v>0</v>
      </c>
      <c r="CM148" s="2">
        <f t="shared" ref="CM148:CM162" si="369">CL148+CM147</f>
        <v>1430.6693299999993</v>
      </c>
      <c r="CN148" s="2">
        <f t="shared" si="348"/>
        <v>160120.73066999993</v>
      </c>
      <c r="CO148" s="2">
        <f t="shared" ref="CO148:CO162" si="370">BQ148+BY148+CC148</f>
        <v>3116</v>
      </c>
      <c r="CP148" s="2">
        <f t="shared" si="349"/>
        <v>11102.725999999988</v>
      </c>
      <c r="CQ148" s="2">
        <f t="shared" si="350"/>
        <v>145902.00466999994</v>
      </c>
      <c r="CS148" s="5">
        <f t="shared" ref="CS148:CS162" si="371">IF(CY147="tak",
ROUNDDOWN(CX147/zamiana_EDO,0),
CS147)</f>
        <v>1611</v>
      </c>
      <c r="CT148" s="2">
        <f t="shared" ref="CT148:CT162" si="372">IF(CY147="tak",
CS148*zamiana_EDO,
CT147)</f>
        <v>160938.90000000002</v>
      </c>
      <c r="CU148" s="2">
        <f t="shared" ref="CU148:CU162" si="373">IF(CY147="tak",
CS148*100,
CU147)</f>
        <v>161100</v>
      </c>
      <c r="CV148" s="2">
        <f t="shared" ref="CV148:CV162" si="374">IF(CY147="tak",
 CU148,
IF(MOD($W148,kapitalizacja_odsetek_mc_EDO)&lt;&gt;1,CV147,CX147))</f>
        <v>161100</v>
      </c>
      <c r="CW148" s="8">
        <f t="shared" si="351"/>
        <v>5.6000000000000001E-2</v>
      </c>
      <c r="CX148" s="2">
        <f t="shared" si="352"/>
        <v>168618</v>
      </c>
      <c r="CY148" s="2" t="str">
        <f t="shared" si="353"/>
        <v>nie</v>
      </c>
      <c r="CZ148" s="2">
        <f t="shared" ref="CZ148:CZ162" si="375">IF(AND(CY148="tak",CT149&lt;&gt;""),
 CX148-CT149,
0)</f>
        <v>0</v>
      </c>
      <c r="DA148" s="2">
        <f t="shared" ref="DA148:DA162" si="376">DA147+CZ148</f>
        <v>94.314405359298689</v>
      </c>
      <c r="DB148" s="2">
        <f t="shared" ref="DB148:DB162" si="377">DA147+CX148</f>
        <v>168712.3144053593</v>
      </c>
      <c r="DC148" s="2">
        <f t="shared" si="354"/>
        <v>0</v>
      </c>
      <c r="DD148" s="2">
        <f t="shared" ref="DD148:DD162" si="378">DC148+DD147</f>
        <v>1462.2072355829021</v>
      </c>
      <c r="DE148" s="2">
        <f t="shared" ref="DE148:DE162" si="379">DB148-DD148</f>
        <v>167250.1071697764</v>
      </c>
      <c r="DF148" s="2">
        <f t="shared" si="355"/>
        <v>4833</v>
      </c>
      <c r="DG148" s="2">
        <f t="shared" si="356"/>
        <v>12119.15</v>
      </c>
      <c r="DH148" s="2">
        <f t="shared" ref="DH148:DH162" si="380">DB148-DD148-DF148-DG148</f>
        <v>150297.9571697764</v>
      </c>
    </row>
    <row r="149" spans="2:112">
      <c r="B149" s="228"/>
      <c r="C149" s="1">
        <f t="shared" si="321"/>
        <v>112</v>
      </c>
      <c r="D149" s="2">
        <f t="shared" si="259"/>
        <v>149888.55441172436</v>
      </c>
      <c r="E149" s="2">
        <f t="shared" si="260"/>
        <v>138962.41571623029</v>
      </c>
      <c r="F149" s="2">
        <f t="shared" si="261"/>
        <v>150225.19366999995</v>
      </c>
      <c r="G149" s="2">
        <f t="shared" si="262"/>
        <v>138069.59366999997</v>
      </c>
      <c r="H149" s="2">
        <f t="shared" si="263"/>
        <v>154814.99566951432</v>
      </c>
      <c r="I149" s="2">
        <f t="shared" si="264"/>
        <v>141722.92342828287</v>
      </c>
      <c r="J149" s="2">
        <f t="shared" si="322"/>
        <v>137828.50580766573</v>
      </c>
      <c r="K149" s="2">
        <f t="shared" si="323"/>
        <v>129411.43352888596</v>
      </c>
      <c r="W149" s="1">
        <f t="shared" si="357"/>
        <v>131</v>
      </c>
      <c r="X149" s="2">
        <f t="shared" si="330"/>
        <v>135187.76500511784</v>
      </c>
      <c r="Y149" s="8">
        <f t="shared" si="310"/>
        <v>4.1300000000000003E-2</v>
      </c>
      <c r="Z149" s="5">
        <f t="shared" si="358"/>
        <v>1486</v>
      </c>
      <c r="AA149" s="2">
        <f t="shared" si="359"/>
        <v>148451.4</v>
      </c>
      <c r="AB149" s="2">
        <f t="shared" si="360"/>
        <v>148600</v>
      </c>
      <c r="AC149" s="2">
        <f t="shared" si="361"/>
        <v>155509.9</v>
      </c>
      <c r="AD149" s="8">
        <f t="shared" si="331"/>
        <v>4.65E-2</v>
      </c>
      <c r="AE149" s="2">
        <f t="shared" si="332"/>
        <v>162138.50948749998</v>
      </c>
      <c r="AF149" s="2" t="str">
        <f t="shared" si="333"/>
        <v>nie</v>
      </c>
      <c r="AG149" s="2">
        <f t="shared" si="334"/>
        <v>1486</v>
      </c>
      <c r="AH149" s="1">
        <f t="shared" si="233"/>
        <v>0</v>
      </c>
      <c r="AI149" s="1">
        <f t="shared" si="324"/>
        <v>0</v>
      </c>
      <c r="AJ149" s="1">
        <f t="shared" si="308"/>
        <v>1</v>
      </c>
      <c r="AK149" s="1">
        <f t="shared" si="319"/>
        <v>0</v>
      </c>
      <c r="AL149" s="2">
        <f t="shared" si="243"/>
        <v>0</v>
      </c>
      <c r="AM149" s="8">
        <f t="shared" si="313"/>
        <v>4.65E-2</v>
      </c>
      <c r="AN149" s="2">
        <f t="shared" si="244"/>
        <v>0</v>
      </c>
      <c r="AO149" s="2">
        <f t="shared" si="314"/>
        <v>0</v>
      </c>
      <c r="AP149" s="2">
        <f t="shared" si="272"/>
        <v>100</v>
      </c>
      <c r="AQ149" s="8">
        <f t="shared" si="325"/>
        <v>4.1300000000000003E-2</v>
      </c>
      <c r="AR149" s="2">
        <f t="shared" si="267"/>
        <v>103.78583333333333</v>
      </c>
      <c r="AS149" s="2">
        <f t="shared" si="326"/>
        <v>1</v>
      </c>
      <c r="AT149" s="2">
        <f t="shared" si="362"/>
        <v>0</v>
      </c>
      <c r="AU149" s="2">
        <f t="shared" si="245"/>
        <v>0</v>
      </c>
      <c r="AV149" s="2">
        <f t="shared" si="236"/>
        <v>64.620853477515695</v>
      </c>
      <c r="AW149" s="1">
        <f t="shared" si="311"/>
        <v>0</v>
      </c>
      <c r="AX149" s="2">
        <f t="shared" si="335"/>
        <v>64.620853477515695</v>
      </c>
      <c r="AY149" s="1">
        <f t="shared" si="237"/>
        <v>0</v>
      </c>
      <c r="AZ149" s="2">
        <f t="shared" si="363"/>
        <v>64.620853477515695</v>
      </c>
      <c r="BA149" s="2">
        <f t="shared" si="246"/>
        <v>162306.91617431081</v>
      </c>
      <c r="BB149" s="2">
        <f t="shared" si="336"/>
        <v>0</v>
      </c>
      <c r="BC149" s="2">
        <f t="shared" si="364"/>
        <v>1429.6342959399951</v>
      </c>
      <c r="BD149" s="2">
        <f t="shared" si="337"/>
        <v>160877.28187837082</v>
      </c>
      <c r="BE149" s="2">
        <f t="shared" si="365"/>
        <v>1487</v>
      </c>
      <c r="BF149" s="2">
        <f t="shared" si="338"/>
        <v>11555.784073119055</v>
      </c>
      <c r="BG149" s="2">
        <f t="shared" si="339"/>
        <v>147834.49780525177</v>
      </c>
      <c r="BI149" s="8">
        <f t="shared" si="315"/>
        <v>2.8000000000000001E-2</v>
      </c>
      <c r="BJ149" s="5">
        <f t="shared" si="366"/>
        <v>1089</v>
      </c>
      <c r="BK149" s="2">
        <f t="shared" si="367"/>
        <v>108791.1</v>
      </c>
      <c r="BL149" s="2">
        <f t="shared" si="368"/>
        <v>108900</v>
      </c>
      <c r="BM149" s="2">
        <f t="shared" si="340"/>
        <v>108900</v>
      </c>
      <c r="BN149" s="8">
        <f t="shared" si="341"/>
        <v>4.2999999999999997E-2</v>
      </c>
      <c r="BO149" s="2">
        <f t="shared" si="342"/>
        <v>113192.47500000001</v>
      </c>
      <c r="BP149" s="2" t="str">
        <f t="shared" si="343"/>
        <v>nie</v>
      </c>
      <c r="BQ149" s="2">
        <f t="shared" si="344"/>
        <v>2178</v>
      </c>
      <c r="BR149" s="1">
        <f t="shared" si="316"/>
        <v>164</v>
      </c>
      <c r="BS149" s="1">
        <f t="shared" si="327"/>
        <v>178</v>
      </c>
      <c r="BT149" s="1">
        <f t="shared" si="309"/>
        <v>23</v>
      </c>
      <c r="BU149" s="1">
        <f t="shared" si="320"/>
        <v>104</v>
      </c>
      <c r="BV149" s="2">
        <f t="shared" si="247"/>
        <v>16400</v>
      </c>
      <c r="BW149" s="8">
        <f t="shared" si="317"/>
        <v>0.05</v>
      </c>
      <c r="BX149" s="2">
        <f t="shared" si="248"/>
        <v>17151.666666666668</v>
      </c>
      <c r="BY149" s="2">
        <f t="shared" si="318"/>
        <v>328</v>
      </c>
      <c r="BZ149" s="2">
        <f t="shared" si="273"/>
        <v>30500</v>
      </c>
      <c r="CA149" s="8">
        <f t="shared" si="328"/>
        <v>4.2999999999999997E-2</v>
      </c>
      <c r="CB149" s="2">
        <f t="shared" si="249"/>
        <v>31702.208333333332</v>
      </c>
      <c r="CC149" s="2">
        <f t="shared" si="329"/>
        <v>610</v>
      </c>
      <c r="CD149" s="2">
        <f t="shared" si="345"/>
        <v>0</v>
      </c>
      <c r="CE149" s="2">
        <f t="shared" si="250"/>
        <v>0</v>
      </c>
      <c r="CF149" s="2">
        <f t="shared" si="251"/>
        <v>72.899999999926877</v>
      </c>
      <c r="CG149" s="1">
        <f t="shared" si="312"/>
        <v>0</v>
      </c>
      <c r="CH149" s="2">
        <f t="shared" si="346"/>
        <v>72.899999999926877</v>
      </c>
      <c r="CI149" s="1">
        <f t="shared" si="242"/>
        <v>0</v>
      </c>
      <c r="CJ149" s="2">
        <f t="shared" si="252"/>
        <v>72.899999999926877</v>
      </c>
      <c r="CK149" s="2">
        <f t="shared" si="253"/>
        <v>162119.24999999994</v>
      </c>
      <c r="CL149" s="2">
        <f t="shared" si="347"/>
        <v>0</v>
      </c>
      <c r="CM149" s="2">
        <f t="shared" si="369"/>
        <v>1430.6693299999993</v>
      </c>
      <c r="CN149" s="2">
        <f t="shared" si="348"/>
        <v>160688.58066999994</v>
      </c>
      <c r="CO149" s="2">
        <f t="shared" si="370"/>
        <v>3116</v>
      </c>
      <c r="CP149" s="2">
        <f t="shared" si="349"/>
        <v>11210.617499999989</v>
      </c>
      <c r="CQ149" s="2">
        <f t="shared" si="350"/>
        <v>146361.96316999994</v>
      </c>
      <c r="CS149" s="5">
        <f t="shared" si="371"/>
        <v>1611</v>
      </c>
      <c r="CT149" s="2">
        <f t="shared" si="372"/>
        <v>160938.90000000002</v>
      </c>
      <c r="CU149" s="2">
        <f t="shared" si="373"/>
        <v>161100</v>
      </c>
      <c r="CV149" s="2">
        <f t="shared" si="374"/>
        <v>161100</v>
      </c>
      <c r="CW149" s="8">
        <f t="shared" si="351"/>
        <v>5.6000000000000001E-2</v>
      </c>
      <c r="CX149" s="2">
        <f t="shared" si="352"/>
        <v>169369.8</v>
      </c>
      <c r="CY149" s="2" t="str">
        <f t="shared" si="353"/>
        <v>nie</v>
      </c>
      <c r="CZ149" s="2">
        <f t="shared" si="375"/>
        <v>0</v>
      </c>
      <c r="DA149" s="2">
        <f t="shared" si="376"/>
        <v>94.314405359298689</v>
      </c>
      <c r="DB149" s="2">
        <f t="shared" si="377"/>
        <v>169464.11440535929</v>
      </c>
      <c r="DC149" s="2">
        <f t="shared" si="354"/>
        <v>0</v>
      </c>
      <c r="DD149" s="2">
        <f t="shared" si="378"/>
        <v>1462.2072355829021</v>
      </c>
      <c r="DE149" s="2">
        <f t="shared" si="379"/>
        <v>168001.90716977639</v>
      </c>
      <c r="DF149" s="2">
        <f t="shared" si="355"/>
        <v>4833</v>
      </c>
      <c r="DG149" s="2">
        <f t="shared" si="356"/>
        <v>12261.991999999998</v>
      </c>
      <c r="DH149" s="2">
        <f t="shared" si="380"/>
        <v>150906.91516977639</v>
      </c>
    </row>
    <row r="150" spans="2:112">
      <c r="B150" s="228"/>
      <c r="C150" s="1">
        <f t="shared" si="321"/>
        <v>113</v>
      </c>
      <c r="D150" s="2">
        <f t="shared" si="259"/>
        <v>150465.06774505769</v>
      </c>
      <c r="E150" s="2">
        <f t="shared" si="260"/>
        <v>139429.3915162303</v>
      </c>
      <c r="F150" s="2">
        <f t="shared" si="261"/>
        <v>150770.56866999992</v>
      </c>
      <c r="G150" s="2">
        <f t="shared" si="262"/>
        <v>138463.28741999995</v>
      </c>
      <c r="H150" s="2">
        <f t="shared" si="263"/>
        <v>155429.62625884774</v>
      </c>
      <c r="I150" s="2">
        <f t="shared" si="264"/>
        <v>142220.77420564293</v>
      </c>
      <c r="J150" s="2">
        <f t="shared" si="322"/>
        <v>138223.90133370148</v>
      </c>
      <c r="K150" s="2">
        <f t="shared" si="323"/>
        <v>129710.60130784969</v>
      </c>
      <c r="W150" s="1">
        <f t="shared" si="357"/>
        <v>132</v>
      </c>
      <c r="X150" s="2">
        <f t="shared" si="330"/>
        <v>135495.30948189253</v>
      </c>
      <c r="Y150" s="8">
        <f t="shared" si="310"/>
        <v>4.1300000000000003E-2</v>
      </c>
      <c r="Z150" s="5">
        <f t="shared" si="358"/>
        <v>1486</v>
      </c>
      <c r="AA150" s="2">
        <f t="shared" si="359"/>
        <v>148451.4</v>
      </c>
      <c r="AB150" s="2">
        <f t="shared" si="360"/>
        <v>148600</v>
      </c>
      <c r="AC150" s="2">
        <f t="shared" si="361"/>
        <v>155509.9</v>
      </c>
      <c r="AD150" s="8">
        <f t="shared" si="331"/>
        <v>4.65E-2</v>
      </c>
      <c r="AE150" s="2">
        <f t="shared" si="332"/>
        <v>162741.11035</v>
      </c>
      <c r="AF150" s="2" t="str">
        <f t="shared" si="333"/>
        <v>nie</v>
      </c>
      <c r="AG150" s="2">
        <f t="shared" si="334"/>
        <v>1486</v>
      </c>
      <c r="AH150" s="1">
        <f t="shared" si="233"/>
        <v>0</v>
      </c>
      <c r="AI150" s="1">
        <f t="shared" si="324"/>
        <v>0</v>
      </c>
      <c r="AJ150" s="1">
        <f t="shared" si="308"/>
        <v>1</v>
      </c>
      <c r="AK150" s="1">
        <f t="shared" si="319"/>
        <v>0</v>
      </c>
      <c r="AL150" s="2">
        <f t="shared" si="243"/>
        <v>0</v>
      </c>
      <c r="AM150" s="8">
        <f t="shared" si="313"/>
        <v>4.65E-2</v>
      </c>
      <c r="AN150" s="2">
        <f t="shared" si="244"/>
        <v>0</v>
      </c>
      <c r="AO150" s="2">
        <f t="shared" si="314"/>
        <v>0</v>
      </c>
      <c r="AP150" s="2">
        <f t="shared" si="272"/>
        <v>100</v>
      </c>
      <c r="AQ150" s="8">
        <f t="shared" si="325"/>
        <v>4.1300000000000003E-2</v>
      </c>
      <c r="AR150" s="2">
        <f t="shared" si="267"/>
        <v>104.13000000000001</v>
      </c>
      <c r="AS150" s="2">
        <f t="shared" si="326"/>
        <v>1</v>
      </c>
      <c r="AT150" s="2">
        <f t="shared" si="362"/>
        <v>0</v>
      </c>
      <c r="AU150" s="2">
        <f t="shared" si="245"/>
        <v>4.1300000000000097</v>
      </c>
      <c r="AV150" s="2">
        <f t="shared" si="236"/>
        <v>68.750853477515705</v>
      </c>
      <c r="AW150" s="1">
        <f t="shared" si="311"/>
        <v>0</v>
      </c>
      <c r="AX150" s="2">
        <f t="shared" si="335"/>
        <v>68.750853477515705</v>
      </c>
      <c r="AY150" s="1">
        <f t="shared" si="237"/>
        <v>0</v>
      </c>
      <c r="AZ150" s="2">
        <f t="shared" si="363"/>
        <v>68.750853477515705</v>
      </c>
      <c r="BA150" s="2">
        <f t="shared" si="246"/>
        <v>162909.86120347751</v>
      </c>
      <c r="BB150" s="2">
        <f t="shared" si="336"/>
        <v>162.9098612034775</v>
      </c>
      <c r="BC150" s="2">
        <f t="shared" si="364"/>
        <v>1592.5441571434726</v>
      </c>
      <c r="BD150" s="2">
        <f t="shared" si="337"/>
        <v>161317.31704633404</v>
      </c>
      <c r="BE150" s="2">
        <f t="shared" si="365"/>
        <v>1487</v>
      </c>
      <c r="BF150" s="2">
        <f t="shared" si="338"/>
        <v>11670.343628660728</v>
      </c>
      <c r="BG150" s="2">
        <f t="shared" si="339"/>
        <v>148159.97341767332</v>
      </c>
      <c r="BI150" s="8">
        <f t="shared" si="315"/>
        <v>2.8000000000000001E-2</v>
      </c>
      <c r="BJ150" s="5">
        <f t="shared" si="366"/>
        <v>1089</v>
      </c>
      <c r="BK150" s="2">
        <f t="shared" si="367"/>
        <v>108791.1</v>
      </c>
      <c r="BL150" s="2">
        <f t="shared" si="368"/>
        <v>108900</v>
      </c>
      <c r="BM150" s="2">
        <f t="shared" si="340"/>
        <v>108900</v>
      </c>
      <c r="BN150" s="8">
        <f t="shared" si="341"/>
        <v>4.2999999999999997E-2</v>
      </c>
      <c r="BO150" s="2">
        <f t="shared" si="342"/>
        <v>113582.7</v>
      </c>
      <c r="BP150" s="2" t="str">
        <f t="shared" si="343"/>
        <v>nie</v>
      </c>
      <c r="BQ150" s="2">
        <f t="shared" si="344"/>
        <v>2178</v>
      </c>
      <c r="BR150" s="1">
        <f t="shared" si="316"/>
        <v>164</v>
      </c>
      <c r="BS150" s="1">
        <f t="shared" si="327"/>
        <v>178</v>
      </c>
      <c r="BT150" s="1">
        <f t="shared" si="309"/>
        <v>23</v>
      </c>
      <c r="BU150" s="1">
        <f t="shared" si="320"/>
        <v>104</v>
      </c>
      <c r="BV150" s="2">
        <f t="shared" si="247"/>
        <v>16400</v>
      </c>
      <c r="BW150" s="8">
        <f t="shared" si="317"/>
        <v>0.05</v>
      </c>
      <c r="BX150" s="2">
        <f t="shared" si="248"/>
        <v>17220</v>
      </c>
      <c r="BY150" s="2">
        <f t="shared" si="318"/>
        <v>328</v>
      </c>
      <c r="BZ150" s="2">
        <f t="shared" si="273"/>
        <v>30500</v>
      </c>
      <c r="CA150" s="8">
        <f t="shared" si="328"/>
        <v>4.2999999999999997E-2</v>
      </c>
      <c r="CB150" s="2">
        <f t="shared" si="249"/>
        <v>31811.499999999996</v>
      </c>
      <c r="CC150" s="2">
        <f t="shared" si="329"/>
        <v>610</v>
      </c>
      <c r="CD150" s="2">
        <f t="shared" si="345"/>
        <v>4682.6999999999971</v>
      </c>
      <c r="CE150" s="2">
        <f t="shared" si="250"/>
        <v>12531.499999999996</v>
      </c>
      <c r="CF150" s="2">
        <f t="shared" si="251"/>
        <v>17287.099999999919</v>
      </c>
      <c r="CG150" s="1">
        <f t="shared" si="312"/>
        <v>104</v>
      </c>
      <c r="CH150" s="2">
        <f t="shared" si="346"/>
        <v>6897.4999999999181</v>
      </c>
      <c r="CI150" s="1">
        <f t="shared" si="242"/>
        <v>68</v>
      </c>
      <c r="CJ150" s="2">
        <f t="shared" si="252"/>
        <v>97.499999999918145</v>
      </c>
      <c r="CK150" s="2">
        <f t="shared" si="253"/>
        <v>162687.09999999992</v>
      </c>
      <c r="CL150" s="2">
        <f t="shared" si="347"/>
        <v>162.68709999999993</v>
      </c>
      <c r="CM150" s="2">
        <f t="shared" si="369"/>
        <v>1593.3564299999991</v>
      </c>
      <c r="CN150" s="2">
        <f t="shared" si="348"/>
        <v>161093.74356999993</v>
      </c>
      <c r="CO150" s="2">
        <f t="shared" si="370"/>
        <v>3116</v>
      </c>
      <c r="CP150" s="2">
        <f t="shared" si="349"/>
        <v>11318.508999999985</v>
      </c>
      <c r="CQ150" s="2">
        <f t="shared" si="350"/>
        <v>146659.23456999994</v>
      </c>
      <c r="CS150" s="5">
        <f t="shared" si="371"/>
        <v>1611</v>
      </c>
      <c r="CT150" s="2">
        <f t="shared" si="372"/>
        <v>160938.90000000002</v>
      </c>
      <c r="CU150" s="2">
        <f t="shared" si="373"/>
        <v>161100</v>
      </c>
      <c r="CV150" s="2">
        <f t="shared" si="374"/>
        <v>161100</v>
      </c>
      <c r="CW150" s="8">
        <f t="shared" si="351"/>
        <v>5.6000000000000001E-2</v>
      </c>
      <c r="CX150" s="2">
        <f t="shared" si="352"/>
        <v>170121.60000000001</v>
      </c>
      <c r="CY150" s="2" t="str">
        <f t="shared" si="353"/>
        <v>nie</v>
      </c>
      <c r="CZ150" s="2">
        <f t="shared" si="375"/>
        <v>0</v>
      </c>
      <c r="DA150" s="2">
        <f t="shared" si="376"/>
        <v>94.314405359298689</v>
      </c>
      <c r="DB150" s="2">
        <f t="shared" si="377"/>
        <v>170215.9144053593</v>
      </c>
      <c r="DC150" s="2">
        <f t="shared" si="354"/>
        <v>170.21591440535931</v>
      </c>
      <c r="DD150" s="2">
        <f t="shared" si="378"/>
        <v>1632.4231499882615</v>
      </c>
      <c r="DE150" s="2">
        <f t="shared" si="379"/>
        <v>168583.49125537105</v>
      </c>
      <c r="DF150" s="2">
        <f t="shared" si="355"/>
        <v>4833</v>
      </c>
      <c r="DG150" s="2">
        <f t="shared" si="356"/>
        <v>12404.834000000001</v>
      </c>
      <c r="DH150" s="2">
        <f t="shared" si="380"/>
        <v>151345.65725537104</v>
      </c>
    </row>
    <row r="151" spans="2:112">
      <c r="B151" s="228"/>
      <c r="C151" s="1">
        <f t="shared" si="321"/>
        <v>114</v>
      </c>
      <c r="D151" s="2">
        <f t="shared" si="259"/>
        <v>151041.58107839103</v>
      </c>
      <c r="E151" s="2">
        <f t="shared" si="260"/>
        <v>139896.36731623029</v>
      </c>
      <c r="F151" s="2">
        <f t="shared" si="261"/>
        <v>151315.94366999995</v>
      </c>
      <c r="G151" s="2">
        <f t="shared" si="262"/>
        <v>138905.04116999995</v>
      </c>
      <c r="H151" s="2">
        <f t="shared" si="263"/>
        <v>156044.25684818116</v>
      </c>
      <c r="I151" s="2">
        <f t="shared" si="264"/>
        <v>142718.62498300301</v>
      </c>
      <c r="J151" s="2">
        <f t="shared" si="322"/>
        <v>138620.43115065253</v>
      </c>
      <c r="K151" s="2">
        <f t="shared" si="323"/>
        <v>130009.76908681342</v>
      </c>
      <c r="W151" s="1">
        <f t="shared" si="357"/>
        <v>133</v>
      </c>
      <c r="X151" s="2">
        <f t="shared" si="330"/>
        <v>135811.46520401695</v>
      </c>
      <c r="Y151" s="8">
        <f t="shared" si="310"/>
        <v>4.1300000000000003E-2</v>
      </c>
      <c r="Z151" s="5">
        <f t="shared" si="358"/>
        <v>1486</v>
      </c>
      <c r="AA151" s="2">
        <f t="shared" si="359"/>
        <v>148451.4</v>
      </c>
      <c r="AB151" s="2">
        <f t="shared" si="360"/>
        <v>148600</v>
      </c>
      <c r="AC151" s="2">
        <f t="shared" si="361"/>
        <v>162741.11035</v>
      </c>
      <c r="AD151" s="8">
        <f t="shared" si="331"/>
        <v>4.65E-2</v>
      </c>
      <c r="AE151" s="2">
        <f t="shared" si="332"/>
        <v>163371.73215260627</v>
      </c>
      <c r="AF151" s="2" t="str">
        <f t="shared" si="333"/>
        <v>nie</v>
      </c>
      <c r="AG151" s="2">
        <f t="shared" si="334"/>
        <v>1486</v>
      </c>
      <c r="AH151" s="1">
        <f t="shared" si="233"/>
        <v>0</v>
      </c>
      <c r="AI151" s="1">
        <f t="shared" si="324"/>
        <v>0</v>
      </c>
      <c r="AJ151" s="1">
        <f t="shared" ref="AJ151:AJ162" si="381">IF(zapadalnosc_TOS/12&gt;=AJ$18,AI139,0)</f>
        <v>0</v>
      </c>
      <c r="AK151" s="1">
        <f t="shared" si="319"/>
        <v>0</v>
      </c>
      <c r="AL151" s="2">
        <f t="shared" si="243"/>
        <v>0</v>
      </c>
      <c r="AM151" s="8">
        <f t="shared" si="313"/>
        <v>4.65E-2</v>
      </c>
      <c r="AN151" s="2">
        <f t="shared" si="244"/>
        <v>0</v>
      </c>
      <c r="AO151" s="2">
        <f t="shared" si="314"/>
        <v>0</v>
      </c>
      <c r="AP151" s="2">
        <f t="shared" si="272"/>
        <v>0</v>
      </c>
      <c r="AQ151" s="8">
        <f t="shared" si="325"/>
        <v>4.1300000000000003E-2</v>
      </c>
      <c r="AR151" s="2">
        <f t="shared" si="267"/>
        <v>0</v>
      </c>
      <c r="AS151" s="2">
        <f t="shared" si="326"/>
        <v>0</v>
      </c>
      <c r="AT151" s="2">
        <f t="shared" si="362"/>
        <v>0</v>
      </c>
      <c r="AU151" s="2">
        <f t="shared" si="245"/>
        <v>0</v>
      </c>
      <c r="AV151" s="2">
        <f t="shared" si="236"/>
        <v>68.750853477515705</v>
      </c>
      <c r="AW151" s="1">
        <f t="shared" si="311"/>
        <v>0</v>
      </c>
      <c r="AX151" s="2">
        <f t="shared" si="335"/>
        <v>68.750853477515705</v>
      </c>
      <c r="AY151" s="1">
        <f t="shared" si="237"/>
        <v>0</v>
      </c>
      <c r="AZ151" s="2">
        <f t="shared" si="363"/>
        <v>68.750853477515705</v>
      </c>
      <c r="BA151" s="2">
        <f t="shared" si="246"/>
        <v>163440.48300608378</v>
      </c>
      <c r="BB151" s="2">
        <f t="shared" si="336"/>
        <v>0</v>
      </c>
      <c r="BC151" s="2">
        <f t="shared" si="364"/>
        <v>1592.5441571434726</v>
      </c>
      <c r="BD151" s="2">
        <f t="shared" si="337"/>
        <v>161847.93884894031</v>
      </c>
      <c r="BE151" s="2">
        <f t="shared" si="365"/>
        <v>1486</v>
      </c>
      <c r="BF151" s="2">
        <f t="shared" si="338"/>
        <v>11771.35177115592</v>
      </c>
      <c r="BG151" s="2">
        <f t="shared" si="339"/>
        <v>148590.58707778438</v>
      </c>
      <c r="BI151" s="8">
        <f t="shared" si="315"/>
        <v>2.8000000000000001E-2</v>
      </c>
      <c r="BJ151" s="5">
        <f t="shared" si="366"/>
        <v>1089</v>
      </c>
      <c r="BK151" s="2">
        <f t="shared" si="367"/>
        <v>108791.1</v>
      </c>
      <c r="BL151" s="2">
        <f t="shared" si="368"/>
        <v>108900</v>
      </c>
      <c r="BM151" s="2">
        <f t="shared" si="340"/>
        <v>108900</v>
      </c>
      <c r="BN151" s="8">
        <f t="shared" si="341"/>
        <v>4.2999999999999997E-2</v>
      </c>
      <c r="BO151" s="2">
        <f t="shared" si="342"/>
        <v>109290.22499999999</v>
      </c>
      <c r="BP151" s="2" t="str">
        <f t="shared" si="343"/>
        <v>nie</v>
      </c>
      <c r="BQ151" s="2">
        <f t="shared" si="344"/>
        <v>2178</v>
      </c>
      <c r="BR151" s="1">
        <f t="shared" si="316"/>
        <v>172</v>
      </c>
      <c r="BS151" s="1">
        <f t="shared" si="327"/>
        <v>164</v>
      </c>
      <c r="BT151" s="1">
        <f t="shared" ref="BT151:BT162" si="382">IF(zapadalnosc_COI/12&gt;=BT$18,BS139,0)</f>
        <v>178</v>
      </c>
      <c r="BU151" s="1">
        <f t="shared" si="320"/>
        <v>23</v>
      </c>
      <c r="BV151" s="2">
        <f t="shared" si="247"/>
        <v>17200</v>
      </c>
      <c r="BW151" s="8">
        <f t="shared" si="317"/>
        <v>0.05</v>
      </c>
      <c r="BX151" s="2">
        <f t="shared" si="248"/>
        <v>17271.666666666668</v>
      </c>
      <c r="BY151" s="2">
        <f t="shared" si="318"/>
        <v>71.666666666667879</v>
      </c>
      <c r="BZ151" s="2">
        <f t="shared" si="273"/>
        <v>36500</v>
      </c>
      <c r="CA151" s="8">
        <f t="shared" si="328"/>
        <v>4.2999999999999997E-2</v>
      </c>
      <c r="CB151" s="2">
        <f t="shared" si="249"/>
        <v>36630.791666666664</v>
      </c>
      <c r="CC151" s="2">
        <f t="shared" si="329"/>
        <v>730</v>
      </c>
      <c r="CD151" s="2">
        <f t="shared" si="345"/>
        <v>0</v>
      </c>
      <c r="CE151" s="2">
        <f t="shared" si="250"/>
        <v>0</v>
      </c>
      <c r="CF151" s="2">
        <f t="shared" si="251"/>
        <v>97.499999999918145</v>
      </c>
      <c r="CG151" s="1">
        <f t="shared" si="312"/>
        <v>0</v>
      </c>
      <c r="CH151" s="2">
        <f t="shared" si="346"/>
        <v>97.499999999918145</v>
      </c>
      <c r="CI151" s="1">
        <f t="shared" si="242"/>
        <v>0</v>
      </c>
      <c r="CJ151" s="2">
        <f t="shared" si="252"/>
        <v>97.499999999918145</v>
      </c>
      <c r="CK151" s="2">
        <f t="shared" si="253"/>
        <v>163290.18333333323</v>
      </c>
      <c r="CL151" s="2">
        <f t="shared" si="347"/>
        <v>0</v>
      </c>
      <c r="CM151" s="2">
        <f t="shared" si="369"/>
        <v>1593.3564299999991</v>
      </c>
      <c r="CN151" s="2">
        <f t="shared" si="348"/>
        <v>161696.82690333325</v>
      </c>
      <c r="CO151" s="2">
        <f t="shared" si="370"/>
        <v>2979.6666666666679</v>
      </c>
      <c r="CP151" s="2">
        <f t="shared" si="349"/>
        <v>11458.99816666665</v>
      </c>
      <c r="CQ151" s="2">
        <f t="shared" si="350"/>
        <v>147258.16206999993</v>
      </c>
      <c r="CS151" s="5">
        <f t="shared" si="371"/>
        <v>1611</v>
      </c>
      <c r="CT151" s="2">
        <f t="shared" si="372"/>
        <v>160938.90000000002</v>
      </c>
      <c r="CU151" s="2">
        <f t="shared" si="373"/>
        <v>161100</v>
      </c>
      <c r="CV151" s="2">
        <f t="shared" si="374"/>
        <v>170121.60000000001</v>
      </c>
      <c r="CW151" s="8">
        <f t="shared" si="351"/>
        <v>4.8000000000000001E-2</v>
      </c>
      <c r="CX151" s="2">
        <f t="shared" si="352"/>
        <v>170802.0864</v>
      </c>
      <c r="CY151" s="2" t="str">
        <f t="shared" si="353"/>
        <v>nie</v>
      </c>
      <c r="CZ151" s="2">
        <f t="shared" si="375"/>
        <v>0</v>
      </c>
      <c r="DA151" s="2">
        <f t="shared" si="376"/>
        <v>94.314405359298689</v>
      </c>
      <c r="DB151" s="2">
        <f t="shared" si="377"/>
        <v>170896.4008053593</v>
      </c>
      <c r="DC151" s="2">
        <f t="shared" si="354"/>
        <v>0</v>
      </c>
      <c r="DD151" s="2">
        <f t="shared" si="378"/>
        <v>1632.4231499882615</v>
      </c>
      <c r="DE151" s="2">
        <f t="shared" si="379"/>
        <v>169263.97765537104</v>
      </c>
      <c r="DF151" s="2">
        <f t="shared" si="355"/>
        <v>4833</v>
      </c>
      <c r="DG151" s="2">
        <f t="shared" si="356"/>
        <v>12534.126416000001</v>
      </c>
      <c r="DH151" s="2">
        <f t="shared" si="380"/>
        <v>151896.85123937103</v>
      </c>
    </row>
    <row r="152" spans="2:112">
      <c r="B152" s="228"/>
      <c r="C152" s="1">
        <f t="shared" si="321"/>
        <v>115</v>
      </c>
      <c r="D152" s="2">
        <f t="shared" si="259"/>
        <v>151618.09441172436</v>
      </c>
      <c r="E152" s="2">
        <f t="shared" si="260"/>
        <v>140363.3431162303</v>
      </c>
      <c r="F152" s="2">
        <f t="shared" si="261"/>
        <v>151861.31866999995</v>
      </c>
      <c r="G152" s="2">
        <f t="shared" si="262"/>
        <v>139346.79491999996</v>
      </c>
      <c r="H152" s="2">
        <f t="shared" si="263"/>
        <v>156658.88743751461</v>
      </c>
      <c r="I152" s="2">
        <f t="shared" si="264"/>
        <v>143216.4757603631</v>
      </c>
      <c r="J152" s="2">
        <f t="shared" si="322"/>
        <v>139018.09851251595</v>
      </c>
      <c r="K152" s="2">
        <f t="shared" si="323"/>
        <v>130308.93686577716</v>
      </c>
      <c r="W152" s="1">
        <f t="shared" si="357"/>
        <v>134</v>
      </c>
      <c r="X152" s="2">
        <f t="shared" si="330"/>
        <v>136127.62092614136</v>
      </c>
      <c r="Y152" s="8">
        <f t="shared" si="310"/>
        <v>4.1300000000000003E-2</v>
      </c>
      <c r="Z152" s="5">
        <f t="shared" si="358"/>
        <v>1486</v>
      </c>
      <c r="AA152" s="2">
        <f t="shared" si="359"/>
        <v>148451.4</v>
      </c>
      <c r="AB152" s="2">
        <f t="shared" si="360"/>
        <v>148600</v>
      </c>
      <c r="AC152" s="2">
        <f t="shared" si="361"/>
        <v>162741.11035</v>
      </c>
      <c r="AD152" s="8">
        <f t="shared" si="331"/>
        <v>4.65E-2</v>
      </c>
      <c r="AE152" s="2">
        <f t="shared" si="332"/>
        <v>164002.35395521249</v>
      </c>
      <c r="AF152" s="2" t="str">
        <f t="shared" si="333"/>
        <v>nie</v>
      </c>
      <c r="AG152" s="2">
        <f t="shared" si="334"/>
        <v>1486</v>
      </c>
      <c r="AH152" s="1">
        <f t="shared" si="233"/>
        <v>0</v>
      </c>
      <c r="AI152" s="1">
        <f t="shared" si="324"/>
        <v>0</v>
      </c>
      <c r="AJ152" s="1">
        <f t="shared" si="381"/>
        <v>0</v>
      </c>
      <c r="AK152" s="1">
        <f t="shared" si="319"/>
        <v>0</v>
      </c>
      <c r="AL152" s="2">
        <f t="shared" si="243"/>
        <v>0</v>
      </c>
      <c r="AM152" s="8">
        <f t="shared" si="313"/>
        <v>4.65E-2</v>
      </c>
      <c r="AN152" s="2">
        <f t="shared" si="244"/>
        <v>0</v>
      </c>
      <c r="AO152" s="2">
        <f t="shared" si="314"/>
        <v>0</v>
      </c>
      <c r="AP152" s="2">
        <f t="shared" si="272"/>
        <v>0</v>
      </c>
      <c r="AQ152" s="8">
        <f t="shared" si="325"/>
        <v>4.1300000000000003E-2</v>
      </c>
      <c r="AR152" s="2">
        <f t="shared" si="267"/>
        <v>0</v>
      </c>
      <c r="AS152" s="2">
        <f t="shared" si="326"/>
        <v>0</v>
      </c>
      <c r="AT152" s="2">
        <f t="shared" si="362"/>
        <v>0</v>
      </c>
      <c r="AU152" s="2">
        <f t="shared" si="245"/>
        <v>0</v>
      </c>
      <c r="AV152" s="2">
        <f t="shared" si="236"/>
        <v>68.750853477515705</v>
      </c>
      <c r="AW152" s="1">
        <f t="shared" si="311"/>
        <v>0</v>
      </c>
      <c r="AX152" s="2">
        <f t="shared" si="335"/>
        <v>68.750853477515705</v>
      </c>
      <c r="AY152" s="1">
        <f t="shared" si="237"/>
        <v>0</v>
      </c>
      <c r="AZ152" s="2">
        <f t="shared" si="363"/>
        <v>68.750853477515705</v>
      </c>
      <c r="BA152" s="2">
        <f t="shared" si="246"/>
        <v>164071.10480869</v>
      </c>
      <c r="BB152" s="2">
        <f t="shared" si="336"/>
        <v>0</v>
      </c>
      <c r="BC152" s="2">
        <f t="shared" si="364"/>
        <v>1592.5441571434726</v>
      </c>
      <c r="BD152" s="2">
        <f t="shared" si="337"/>
        <v>162478.56065154652</v>
      </c>
      <c r="BE152" s="2">
        <f t="shared" si="365"/>
        <v>1486</v>
      </c>
      <c r="BF152" s="2">
        <f t="shared" si="338"/>
        <v>11891.1699136511</v>
      </c>
      <c r="BG152" s="2">
        <f t="shared" si="339"/>
        <v>149101.39073789542</v>
      </c>
      <c r="BI152" s="8">
        <f t="shared" si="315"/>
        <v>2.8000000000000001E-2</v>
      </c>
      <c r="BJ152" s="5">
        <f t="shared" si="366"/>
        <v>1089</v>
      </c>
      <c r="BK152" s="2">
        <f t="shared" si="367"/>
        <v>108791.1</v>
      </c>
      <c r="BL152" s="2">
        <f t="shared" si="368"/>
        <v>108900</v>
      </c>
      <c r="BM152" s="2">
        <f t="shared" si="340"/>
        <v>108900</v>
      </c>
      <c r="BN152" s="8">
        <f t="shared" si="341"/>
        <v>4.2999999999999997E-2</v>
      </c>
      <c r="BO152" s="2">
        <f t="shared" si="342"/>
        <v>109680.45000000001</v>
      </c>
      <c r="BP152" s="2" t="str">
        <f t="shared" si="343"/>
        <v>nie</v>
      </c>
      <c r="BQ152" s="2">
        <f t="shared" si="344"/>
        <v>2178</v>
      </c>
      <c r="BR152" s="1">
        <f t="shared" si="316"/>
        <v>172</v>
      </c>
      <c r="BS152" s="1">
        <f t="shared" si="327"/>
        <v>164</v>
      </c>
      <c r="BT152" s="1">
        <f t="shared" si="382"/>
        <v>178</v>
      </c>
      <c r="BU152" s="1">
        <f t="shared" si="320"/>
        <v>23</v>
      </c>
      <c r="BV152" s="2">
        <f t="shared" si="247"/>
        <v>17200</v>
      </c>
      <c r="BW152" s="8">
        <f t="shared" si="317"/>
        <v>0.05</v>
      </c>
      <c r="BX152" s="2">
        <f t="shared" si="248"/>
        <v>17343.333333333332</v>
      </c>
      <c r="BY152" s="2">
        <f t="shared" si="318"/>
        <v>143.33333333333212</v>
      </c>
      <c r="BZ152" s="2">
        <f t="shared" si="273"/>
        <v>36500</v>
      </c>
      <c r="CA152" s="8">
        <f t="shared" si="328"/>
        <v>4.2999999999999997E-2</v>
      </c>
      <c r="CB152" s="2">
        <f t="shared" si="249"/>
        <v>36761.583333333336</v>
      </c>
      <c r="CC152" s="2">
        <f t="shared" si="329"/>
        <v>730</v>
      </c>
      <c r="CD152" s="2">
        <f t="shared" si="345"/>
        <v>0</v>
      </c>
      <c r="CE152" s="2">
        <f t="shared" si="250"/>
        <v>0</v>
      </c>
      <c r="CF152" s="2">
        <f t="shared" si="251"/>
        <v>97.499999999918145</v>
      </c>
      <c r="CG152" s="1">
        <f t="shared" si="312"/>
        <v>0</v>
      </c>
      <c r="CH152" s="2">
        <f t="shared" si="346"/>
        <v>97.499999999918145</v>
      </c>
      <c r="CI152" s="1">
        <f t="shared" si="242"/>
        <v>0</v>
      </c>
      <c r="CJ152" s="2">
        <f t="shared" si="252"/>
        <v>97.499999999918145</v>
      </c>
      <c r="CK152" s="2">
        <f t="shared" si="253"/>
        <v>163882.86666666658</v>
      </c>
      <c r="CL152" s="2">
        <f t="shared" si="347"/>
        <v>0</v>
      </c>
      <c r="CM152" s="2">
        <f t="shared" si="369"/>
        <v>1593.3564299999991</v>
      </c>
      <c r="CN152" s="2">
        <f t="shared" si="348"/>
        <v>162289.5102366666</v>
      </c>
      <c r="CO152" s="2">
        <f t="shared" si="370"/>
        <v>3051.3333333333321</v>
      </c>
      <c r="CP152" s="2">
        <f t="shared" si="349"/>
        <v>11557.991333333315</v>
      </c>
      <c r="CQ152" s="2">
        <f t="shared" si="350"/>
        <v>147680.18556999994</v>
      </c>
      <c r="CS152" s="5">
        <f t="shared" si="371"/>
        <v>1611</v>
      </c>
      <c r="CT152" s="2">
        <f t="shared" si="372"/>
        <v>160938.90000000002</v>
      </c>
      <c r="CU152" s="2">
        <f t="shared" si="373"/>
        <v>161100</v>
      </c>
      <c r="CV152" s="2">
        <f t="shared" si="374"/>
        <v>170121.60000000001</v>
      </c>
      <c r="CW152" s="8">
        <f t="shared" si="351"/>
        <v>4.8000000000000001E-2</v>
      </c>
      <c r="CX152" s="2">
        <f t="shared" si="352"/>
        <v>171482.57279999999</v>
      </c>
      <c r="CY152" s="2" t="str">
        <f t="shared" si="353"/>
        <v>nie</v>
      </c>
      <c r="CZ152" s="2">
        <f t="shared" si="375"/>
        <v>0</v>
      </c>
      <c r="DA152" s="2">
        <f t="shared" si="376"/>
        <v>94.314405359298689</v>
      </c>
      <c r="DB152" s="2">
        <f t="shared" si="377"/>
        <v>171576.88720535929</v>
      </c>
      <c r="DC152" s="2">
        <f t="shared" si="354"/>
        <v>0</v>
      </c>
      <c r="DD152" s="2">
        <f t="shared" si="378"/>
        <v>1632.4231499882615</v>
      </c>
      <c r="DE152" s="2">
        <f t="shared" si="379"/>
        <v>169944.46405537103</v>
      </c>
      <c r="DF152" s="2">
        <f t="shared" si="355"/>
        <v>4833</v>
      </c>
      <c r="DG152" s="2">
        <f t="shared" si="356"/>
        <v>12663.418831999999</v>
      </c>
      <c r="DH152" s="2">
        <f t="shared" si="380"/>
        <v>152448.04522337104</v>
      </c>
    </row>
    <row r="153" spans="2:112">
      <c r="B153" s="228"/>
      <c r="C153" s="1">
        <f t="shared" si="321"/>
        <v>116</v>
      </c>
      <c r="D153" s="2">
        <f t="shared" si="259"/>
        <v>152194.60774505764</v>
      </c>
      <c r="E153" s="2">
        <f t="shared" si="260"/>
        <v>140830.31891623026</v>
      </c>
      <c r="F153" s="2">
        <f t="shared" si="261"/>
        <v>152406.69366999995</v>
      </c>
      <c r="G153" s="2">
        <f t="shared" si="262"/>
        <v>139788.54866999996</v>
      </c>
      <c r="H153" s="2">
        <f t="shared" si="263"/>
        <v>157273.51802684803</v>
      </c>
      <c r="I153" s="2">
        <f t="shared" si="264"/>
        <v>143714.32653772319</v>
      </c>
      <c r="J153" s="2">
        <f t="shared" si="322"/>
        <v>139416.90668262372</v>
      </c>
      <c r="K153" s="2">
        <f t="shared" si="323"/>
        <v>130608.10464474089</v>
      </c>
      <c r="W153" s="1">
        <f t="shared" si="357"/>
        <v>135</v>
      </c>
      <c r="X153" s="2">
        <f t="shared" si="330"/>
        <v>136443.77664826578</v>
      </c>
      <c r="Y153" s="8">
        <f t="shared" ref="Y153:Y162" si="383">MAX(INDEX(scenariusz_I_WIBOR6M,MATCH(ROUNDUP(W153/12,0),scenariusz_I_rok,0)),0)</f>
        <v>4.1300000000000003E-2</v>
      </c>
      <c r="Z153" s="5">
        <f t="shared" si="358"/>
        <v>1486</v>
      </c>
      <c r="AA153" s="2">
        <f t="shared" si="359"/>
        <v>148451.4</v>
      </c>
      <c r="AB153" s="2">
        <f t="shared" si="360"/>
        <v>148600</v>
      </c>
      <c r="AC153" s="2">
        <f t="shared" si="361"/>
        <v>162741.11035</v>
      </c>
      <c r="AD153" s="8">
        <f t="shared" si="331"/>
        <v>4.65E-2</v>
      </c>
      <c r="AE153" s="2">
        <f t="shared" si="332"/>
        <v>164632.97575781876</v>
      </c>
      <c r="AF153" s="2" t="str">
        <f t="shared" si="333"/>
        <v>nie</v>
      </c>
      <c r="AG153" s="2">
        <f t="shared" si="334"/>
        <v>1486</v>
      </c>
      <c r="AH153" s="1">
        <f t="shared" si="233"/>
        <v>0</v>
      </c>
      <c r="AI153" s="1">
        <f t="shared" si="324"/>
        <v>0</v>
      </c>
      <c r="AJ153" s="1">
        <f t="shared" si="381"/>
        <v>0</v>
      </c>
      <c r="AK153" s="1">
        <f t="shared" si="319"/>
        <v>0</v>
      </c>
      <c r="AL153" s="2">
        <f t="shared" si="243"/>
        <v>0</v>
      </c>
      <c r="AM153" s="8">
        <f t="shared" si="313"/>
        <v>4.65E-2</v>
      </c>
      <c r="AN153" s="2">
        <f t="shared" si="244"/>
        <v>0</v>
      </c>
      <c r="AO153" s="2">
        <f t="shared" si="314"/>
        <v>0</v>
      </c>
      <c r="AP153" s="2">
        <f t="shared" si="272"/>
        <v>0</v>
      </c>
      <c r="AQ153" s="8">
        <f t="shared" si="325"/>
        <v>4.1300000000000003E-2</v>
      </c>
      <c r="AR153" s="2">
        <f t="shared" si="267"/>
        <v>0</v>
      </c>
      <c r="AS153" s="2">
        <f t="shared" si="326"/>
        <v>0</v>
      </c>
      <c r="AT153" s="2">
        <f t="shared" si="362"/>
        <v>0</v>
      </c>
      <c r="AU153" s="2">
        <f t="shared" si="245"/>
        <v>0</v>
      </c>
      <c r="AV153" s="2">
        <f t="shared" si="236"/>
        <v>68.750853477515705</v>
      </c>
      <c r="AW153" s="1">
        <f t="shared" si="311"/>
        <v>0</v>
      </c>
      <c r="AX153" s="2">
        <f t="shared" si="335"/>
        <v>68.750853477515705</v>
      </c>
      <c r="AY153" s="1">
        <f t="shared" si="237"/>
        <v>0</v>
      </c>
      <c r="AZ153" s="2">
        <f t="shared" si="363"/>
        <v>68.750853477515705</v>
      </c>
      <c r="BA153" s="2">
        <f t="shared" si="246"/>
        <v>164701.72661129627</v>
      </c>
      <c r="BB153" s="2">
        <f t="shared" si="336"/>
        <v>0</v>
      </c>
      <c r="BC153" s="2">
        <f t="shared" si="364"/>
        <v>1592.5441571434726</v>
      </c>
      <c r="BD153" s="2">
        <f t="shared" si="337"/>
        <v>163109.18245415279</v>
      </c>
      <c r="BE153" s="2">
        <f t="shared" si="365"/>
        <v>1486</v>
      </c>
      <c r="BF153" s="2">
        <f t="shared" si="338"/>
        <v>12010.988056146291</v>
      </c>
      <c r="BG153" s="2">
        <f t="shared" si="339"/>
        <v>149612.19439800651</v>
      </c>
      <c r="BI153" s="8">
        <f t="shared" si="315"/>
        <v>2.8000000000000001E-2</v>
      </c>
      <c r="BJ153" s="5">
        <f t="shared" si="366"/>
        <v>1089</v>
      </c>
      <c r="BK153" s="2">
        <f t="shared" si="367"/>
        <v>108791.1</v>
      </c>
      <c r="BL153" s="2">
        <f t="shared" si="368"/>
        <v>108900</v>
      </c>
      <c r="BM153" s="2">
        <f t="shared" si="340"/>
        <v>108900</v>
      </c>
      <c r="BN153" s="8">
        <f t="shared" si="341"/>
        <v>4.2999999999999997E-2</v>
      </c>
      <c r="BO153" s="2">
        <f t="shared" si="342"/>
        <v>110070.675</v>
      </c>
      <c r="BP153" s="2" t="str">
        <f t="shared" si="343"/>
        <v>nie</v>
      </c>
      <c r="BQ153" s="2">
        <f t="shared" si="344"/>
        <v>2178</v>
      </c>
      <c r="BR153" s="1">
        <f t="shared" si="316"/>
        <v>172</v>
      </c>
      <c r="BS153" s="1">
        <f t="shared" si="327"/>
        <v>164</v>
      </c>
      <c r="BT153" s="1">
        <f t="shared" si="382"/>
        <v>178</v>
      </c>
      <c r="BU153" s="1">
        <f t="shared" si="320"/>
        <v>23</v>
      </c>
      <c r="BV153" s="2">
        <f t="shared" si="247"/>
        <v>17200</v>
      </c>
      <c r="BW153" s="8">
        <f t="shared" si="317"/>
        <v>0.05</v>
      </c>
      <c r="BX153" s="2">
        <f t="shared" si="248"/>
        <v>17415</v>
      </c>
      <c r="BY153" s="2">
        <f t="shared" si="318"/>
        <v>215</v>
      </c>
      <c r="BZ153" s="2">
        <f t="shared" si="273"/>
        <v>36500</v>
      </c>
      <c r="CA153" s="8">
        <f t="shared" si="328"/>
        <v>4.2999999999999997E-2</v>
      </c>
      <c r="CB153" s="2">
        <f t="shared" si="249"/>
        <v>36892.375</v>
      </c>
      <c r="CC153" s="2">
        <f t="shared" si="329"/>
        <v>730</v>
      </c>
      <c r="CD153" s="2">
        <f t="shared" si="345"/>
        <v>0</v>
      </c>
      <c r="CE153" s="2">
        <f t="shared" si="250"/>
        <v>0</v>
      </c>
      <c r="CF153" s="2">
        <f t="shared" si="251"/>
        <v>97.499999999918145</v>
      </c>
      <c r="CG153" s="1">
        <f t="shared" si="312"/>
        <v>0</v>
      </c>
      <c r="CH153" s="2">
        <f t="shared" si="346"/>
        <v>97.499999999918145</v>
      </c>
      <c r="CI153" s="1">
        <f t="shared" si="242"/>
        <v>0</v>
      </c>
      <c r="CJ153" s="2">
        <f t="shared" si="252"/>
        <v>97.499999999918145</v>
      </c>
      <c r="CK153" s="2">
        <f t="shared" si="253"/>
        <v>164475.5499999999</v>
      </c>
      <c r="CL153" s="2">
        <f t="shared" si="347"/>
        <v>0</v>
      </c>
      <c r="CM153" s="2">
        <f t="shared" si="369"/>
        <v>1593.3564299999991</v>
      </c>
      <c r="CN153" s="2">
        <f t="shared" si="348"/>
        <v>162882.19356999992</v>
      </c>
      <c r="CO153" s="2">
        <f t="shared" si="370"/>
        <v>3123</v>
      </c>
      <c r="CP153" s="2">
        <f t="shared" si="349"/>
        <v>11656.98449999998</v>
      </c>
      <c r="CQ153" s="2">
        <f t="shared" si="350"/>
        <v>148102.20906999992</v>
      </c>
      <c r="CS153" s="5">
        <f t="shared" si="371"/>
        <v>1611</v>
      </c>
      <c r="CT153" s="2">
        <f t="shared" si="372"/>
        <v>160938.90000000002</v>
      </c>
      <c r="CU153" s="2">
        <f t="shared" si="373"/>
        <v>161100</v>
      </c>
      <c r="CV153" s="2">
        <f t="shared" si="374"/>
        <v>170121.60000000001</v>
      </c>
      <c r="CW153" s="8">
        <f t="shared" si="351"/>
        <v>4.8000000000000001E-2</v>
      </c>
      <c r="CX153" s="2">
        <f t="shared" si="352"/>
        <v>172163.05920000002</v>
      </c>
      <c r="CY153" s="2" t="str">
        <f t="shared" si="353"/>
        <v>nie</v>
      </c>
      <c r="CZ153" s="2">
        <f t="shared" si="375"/>
        <v>0</v>
      </c>
      <c r="DA153" s="2">
        <f t="shared" si="376"/>
        <v>94.314405359298689</v>
      </c>
      <c r="DB153" s="2">
        <f t="shared" si="377"/>
        <v>172257.37360535932</v>
      </c>
      <c r="DC153" s="2">
        <f t="shared" si="354"/>
        <v>0</v>
      </c>
      <c r="DD153" s="2">
        <f t="shared" si="378"/>
        <v>1632.4231499882615</v>
      </c>
      <c r="DE153" s="2">
        <f t="shared" si="379"/>
        <v>170624.95045537106</v>
      </c>
      <c r="DF153" s="2">
        <f t="shared" si="355"/>
        <v>4833</v>
      </c>
      <c r="DG153" s="2">
        <f t="shared" si="356"/>
        <v>12792.711248000003</v>
      </c>
      <c r="DH153" s="2">
        <f t="shared" si="380"/>
        <v>152999.23920737105</v>
      </c>
    </row>
    <row r="154" spans="2:112">
      <c r="B154" s="228"/>
      <c r="C154" s="1">
        <f t="shared" si="321"/>
        <v>117</v>
      </c>
      <c r="D154" s="2">
        <f t="shared" si="259"/>
        <v>152771.12107839101</v>
      </c>
      <c r="E154" s="2">
        <f t="shared" si="260"/>
        <v>141297.29471623027</v>
      </c>
      <c r="F154" s="2">
        <f t="shared" si="261"/>
        <v>152952.06866999995</v>
      </c>
      <c r="G154" s="2">
        <f t="shared" si="262"/>
        <v>140230.30241999996</v>
      </c>
      <c r="H154" s="2">
        <f t="shared" si="263"/>
        <v>157888.14861618148</v>
      </c>
      <c r="I154" s="2">
        <f t="shared" si="264"/>
        <v>144212.17731508327</v>
      </c>
      <c r="J154" s="2">
        <f t="shared" si="322"/>
        <v>139816.85893366949</v>
      </c>
      <c r="K154" s="2">
        <f t="shared" si="323"/>
        <v>130907.27242370462</v>
      </c>
      <c r="W154" s="1">
        <f t="shared" si="357"/>
        <v>136</v>
      </c>
      <c r="X154" s="2">
        <f t="shared" si="330"/>
        <v>136759.93237039022</v>
      </c>
      <c r="Y154" s="8">
        <f t="shared" si="383"/>
        <v>4.1300000000000003E-2</v>
      </c>
      <c r="Z154" s="5">
        <f t="shared" si="358"/>
        <v>1486</v>
      </c>
      <c r="AA154" s="2">
        <f t="shared" si="359"/>
        <v>148451.4</v>
      </c>
      <c r="AB154" s="2">
        <f t="shared" si="360"/>
        <v>148600</v>
      </c>
      <c r="AC154" s="2">
        <f t="shared" si="361"/>
        <v>162741.11035</v>
      </c>
      <c r="AD154" s="8">
        <f t="shared" si="331"/>
        <v>4.65E-2</v>
      </c>
      <c r="AE154" s="2">
        <f t="shared" si="332"/>
        <v>165263.59756042503</v>
      </c>
      <c r="AF154" s="2" t="str">
        <f t="shared" si="333"/>
        <v>nie</v>
      </c>
      <c r="AG154" s="2">
        <f t="shared" si="334"/>
        <v>1486</v>
      </c>
      <c r="AH154" s="1">
        <f t="shared" si="233"/>
        <v>0</v>
      </c>
      <c r="AI154" s="1">
        <f t="shared" si="324"/>
        <v>0</v>
      </c>
      <c r="AJ154" s="1">
        <f t="shared" si="381"/>
        <v>0</v>
      </c>
      <c r="AK154" s="1">
        <f t="shared" si="319"/>
        <v>0</v>
      </c>
      <c r="AL154" s="2">
        <f t="shared" si="243"/>
        <v>0</v>
      </c>
      <c r="AM154" s="8">
        <f t="shared" si="313"/>
        <v>4.65E-2</v>
      </c>
      <c r="AN154" s="2">
        <f t="shared" si="244"/>
        <v>0</v>
      </c>
      <c r="AO154" s="2">
        <f t="shared" si="314"/>
        <v>0</v>
      </c>
      <c r="AP154" s="2">
        <f t="shared" si="272"/>
        <v>0</v>
      </c>
      <c r="AQ154" s="8">
        <f t="shared" si="325"/>
        <v>4.1300000000000003E-2</v>
      </c>
      <c r="AR154" s="2">
        <f t="shared" si="267"/>
        <v>0</v>
      </c>
      <c r="AS154" s="2">
        <f t="shared" si="326"/>
        <v>0</v>
      </c>
      <c r="AT154" s="2">
        <f t="shared" si="362"/>
        <v>0</v>
      </c>
      <c r="AU154" s="2">
        <f t="shared" si="245"/>
        <v>0</v>
      </c>
      <c r="AV154" s="2">
        <f t="shared" si="236"/>
        <v>68.750853477515705</v>
      </c>
      <c r="AW154" s="1">
        <f t="shared" si="311"/>
        <v>0</v>
      </c>
      <c r="AX154" s="2">
        <f t="shared" si="335"/>
        <v>68.750853477515705</v>
      </c>
      <c r="AY154" s="1">
        <f t="shared" si="237"/>
        <v>0</v>
      </c>
      <c r="AZ154" s="2">
        <f t="shared" si="363"/>
        <v>68.750853477515705</v>
      </c>
      <c r="BA154" s="2">
        <f t="shared" si="246"/>
        <v>165332.34841390254</v>
      </c>
      <c r="BB154" s="2">
        <f t="shared" si="336"/>
        <v>0</v>
      </c>
      <c r="BC154" s="2">
        <f t="shared" si="364"/>
        <v>1592.5441571434726</v>
      </c>
      <c r="BD154" s="2">
        <f t="shared" si="337"/>
        <v>163739.80425675906</v>
      </c>
      <c r="BE154" s="2">
        <f t="shared" si="365"/>
        <v>1486</v>
      </c>
      <c r="BF154" s="2">
        <f t="shared" si="338"/>
        <v>12130.806198641483</v>
      </c>
      <c r="BG154" s="2">
        <f t="shared" si="339"/>
        <v>150122.99805811758</v>
      </c>
      <c r="BI154" s="8">
        <f t="shared" si="315"/>
        <v>2.8000000000000001E-2</v>
      </c>
      <c r="BJ154" s="5">
        <f t="shared" si="366"/>
        <v>1089</v>
      </c>
      <c r="BK154" s="2">
        <f t="shared" si="367"/>
        <v>108791.1</v>
      </c>
      <c r="BL154" s="2">
        <f t="shared" si="368"/>
        <v>108900</v>
      </c>
      <c r="BM154" s="2">
        <f t="shared" si="340"/>
        <v>108900</v>
      </c>
      <c r="BN154" s="8">
        <f t="shared" si="341"/>
        <v>4.2999999999999997E-2</v>
      </c>
      <c r="BO154" s="2">
        <f t="shared" si="342"/>
        <v>110460.9</v>
      </c>
      <c r="BP154" s="2" t="str">
        <f t="shared" si="343"/>
        <v>nie</v>
      </c>
      <c r="BQ154" s="2">
        <f t="shared" si="344"/>
        <v>2178</v>
      </c>
      <c r="BR154" s="1">
        <f t="shared" si="316"/>
        <v>172</v>
      </c>
      <c r="BS154" s="1">
        <f t="shared" si="327"/>
        <v>164</v>
      </c>
      <c r="BT154" s="1">
        <f t="shared" si="382"/>
        <v>178</v>
      </c>
      <c r="BU154" s="1">
        <f t="shared" si="320"/>
        <v>23</v>
      </c>
      <c r="BV154" s="2">
        <f t="shared" si="247"/>
        <v>17200</v>
      </c>
      <c r="BW154" s="8">
        <f t="shared" si="317"/>
        <v>0.05</v>
      </c>
      <c r="BX154" s="2">
        <f t="shared" si="248"/>
        <v>17486.666666666664</v>
      </c>
      <c r="BY154" s="2">
        <f t="shared" si="318"/>
        <v>286.66666666666424</v>
      </c>
      <c r="BZ154" s="2">
        <f t="shared" si="273"/>
        <v>36500</v>
      </c>
      <c r="CA154" s="8">
        <f t="shared" si="328"/>
        <v>4.2999999999999997E-2</v>
      </c>
      <c r="CB154" s="2">
        <f t="shared" si="249"/>
        <v>37023.166666666664</v>
      </c>
      <c r="CC154" s="2">
        <f t="shared" si="329"/>
        <v>730</v>
      </c>
      <c r="CD154" s="2">
        <f t="shared" si="345"/>
        <v>0</v>
      </c>
      <c r="CE154" s="2">
        <f t="shared" si="250"/>
        <v>0</v>
      </c>
      <c r="CF154" s="2">
        <f t="shared" si="251"/>
        <v>97.499999999918145</v>
      </c>
      <c r="CG154" s="1">
        <f t="shared" si="312"/>
        <v>0</v>
      </c>
      <c r="CH154" s="2">
        <f t="shared" si="346"/>
        <v>97.499999999918145</v>
      </c>
      <c r="CI154" s="1">
        <f t="shared" si="242"/>
        <v>0</v>
      </c>
      <c r="CJ154" s="2">
        <f t="shared" si="252"/>
        <v>97.499999999918145</v>
      </c>
      <c r="CK154" s="2">
        <f t="shared" si="253"/>
        <v>165068.23333333322</v>
      </c>
      <c r="CL154" s="2">
        <f t="shared" si="347"/>
        <v>0</v>
      </c>
      <c r="CM154" s="2">
        <f t="shared" si="369"/>
        <v>1593.3564299999991</v>
      </c>
      <c r="CN154" s="2">
        <f t="shared" si="348"/>
        <v>163474.87690333324</v>
      </c>
      <c r="CO154" s="2">
        <f t="shared" si="370"/>
        <v>3194.6666666666642</v>
      </c>
      <c r="CP154" s="2">
        <f t="shared" si="349"/>
        <v>11755.977666666648</v>
      </c>
      <c r="CQ154" s="2">
        <f t="shared" si="350"/>
        <v>148524.23256999993</v>
      </c>
      <c r="CS154" s="5">
        <f t="shared" si="371"/>
        <v>1611</v>
      </c>
      <c r="CT154" s="2">
        <f t="shared" si="372"/>
        <v>160938.90000000002</v>
      </c>
      <c r="CU154" s="2">
        <f t="shared" si="373"/>
        <v>161100</v>
      </c>
      <c r="CV154" s="2">
        <f t="shared" si="374"/>
        <v>170121.60000000001</v>
      </c>
      <c r="CW154" s="8">
        <f t="shared" si="351"/>
        <v>4.8000000000000001E-2</v>
      </c>
      <c r="CX154" s="2">
        <f t="shared" si="352"/>
        <v>172843.54560000001</v>
      </c>
      <c r="CY154" s="2" t="str">
        <f t="shared" si="353"/>
        <v>nie</v>
      </c>
      <c r="CZ154" s="2">
        <f t="shared" si="375"/>
        <v>0</v>
      </c>
      <c r="DA154" s="2">
        <f t="shared" si="376"/>
        <v>94.314405359298689</v>
      </c>
      <c r="DB154" s="2">
        <f t="shared" si="377"/>
        <v>172937.86000535931</v>
      </c>
      <c r="DC154" s="2">
        <f t="shared" si="354"/>
        <v>0</v>
      </c>
      <c r="DD154" s="2">
        <f t="shared" si="378"/>
        <v>1632.4231499882615</v>
      </c>
      <c r="DE154" s="2">
        <f t="shared" si="379"/>
        <v>171305.43685537105</v>
      </c>
      <c r="DF154" s="2">
        <f t="shared" si="355"/>
        <v>4833</v>
      </c>
      <c r="DG154" s="2">
        <f t="shared" si="356"/>
        <v>12922.003664000002</v>
      </c>
      <c r="DH154" s="2">
        <f t="shared" si="380"/>
        <v>153550.43319137106</v>
      </c>
    </row>
    <row r="155" spans="2:112">
      <c r="B155" s="228"/>
      <c r="C155" s="1">
        <f t="shared" si="321"/>
        <v>118</v>
      </c>
      <c r="D155" s="2">
        <f t="shared" si="259"/>
        <v>153347.63441172434</v>
      </c>
      <c r="E155" s="2">
        <f t="shared" si="260"/>
        <v>141764.27051623029</v>
      </c>
      <c r="F155" s="2">
        <f t="shared" si="261"/>
        <v>153497.44366999995</v>
      </c>
      <c r="G155" s="2">
        <f t="shared" si="262"/>
        <v>140672.05616999997</v>
      </c>
      <c r="H155" s="2">
        <f t="shared" si="263"/>
        <v>158502.7792055149</v>
      </c>
      <c r="I155" s="2">
        <f t="shared" si="264"/>
        <v>144710.02809244333</v>
      </c>
      <c r="J155" s="2">
        <f t="shared" si="322"/>
        <v>140217.95854773544</v>
      </c>
      <c r="K155" s="2">
        <f t="shared" si="323"/>
        <v>131206.4402026684</v>
      </c>
      <c r="W155" s="1">
        <f t="shared" si="357"/>
        <v>137</v>
      </c>
      <c r="X155" s="2">
        <f t="shared" si="330"/>
        <v>137076.0880925146</v>
      </c>
      <c r="Y155" s="8">
        <f t="shared" si="383"/>
        <v>4.1300000000000003E-2</v>
      </c>
      <c r="Z155" s="5">
        <f t="shared" si="358"/>
        <v>1486</v>
      </c>
      <c r="AA155" s="2">
        <f t="shared" si="359"/>
        <v>148451.4</v>
      </c>
      <c r="AB155" s="2">
        <f t="shared" si="360"/>
        <v>148600</v>
      </c>
      <c r="AC155" s="2">
        <f t="shared" si="361"/>
        <v>162741.11035</v>
      </c>
      <c r="AD155" s="8">
        <f t="shared" si="331"/>
        <v>4.65E-2</v>
      </c>
      <c r="AE155" s="2">
        <f t="shared" si="332"/>
        <v>165894.21936303124</v>
      </c>
      <c r="AF155" s="2" t="str">
        <f t="shared" si="333"/>
        <v>nie</v>
      </c>
      <c r="AG155" s="2">
        <f t="shared" si="334"/>
        <v>1486</v>
      </c>
      <c r="AH155" s="1">
        <f t="shared" si="233"/>
        <v>0</v>
      </c>
      <c r="AI155" s="1">
        <f t="shared" si="324"/>
        <v>0</v>
      </c>
      <c r="AJ155" s="1">
        <f t="shared" si="381"/>
        <v>0</v>
      </c>
      <c r="AK155" s="1">
        <f t="shared" si="319"/>
        <v>0</v>
      </c>
      <c r="AL155" s="2">
        <f t="shared" si="243"/>
        <v>0</v>
      </c>
      <c r="AM155" s="8">
        <f t="shared" si="313"/>
        <v>4.65E-2</v>
      </c>
      <c r="AN155" s="2">
        <f t="shared" si="244"/>
        <v>0</v>
      </c>
      <c r="AO155" s="2">
        <f t="shared" si="314"/>
        <v>0</v>
      </c>
      <c r="AP155" s="2">
        <f t="shared" si="272"/>
        <v>0</v>
      </c>
      <c r="AQ155" s="8">
        <f t="shared" si="325"/>
        <v>4.1300000000000003E-2</v>
      </c>
      <c r="AR155" s="2">
        <f t="shared" si="267"/>
        <v>0</v>
      </c>
      <c r="AS155" s="2">
        <f t="shared" si="326"/>
        <v>0</v>
      </c>
      <c r="AT155" s="2">
        <f t="shared" si="362"/>
        <v>0</v>
      </c>
      <c r="AU155" s="2">
        <f t="shared" si="245"/>
        <v>0</v>
      </c>
      <c r="AV155" s="2">
        <f t="shared" si="236"/>
        <v>68.750853477515705</v>
      </c>
      <c r="AW155" s="1">
        <f t="shared" si="311"/>
        <v>0</v>
      </c>
      <c r="AX155" s="2">
        <f t="shared" si="335"/>
        <v>68.750853477515705</v>
      </c>
      <c r="AY155" s="1">
        <f t="shared" si="237"/>
        <v>0</v>
      </c>
      <c r="AZ155" s="2">
        <f t="shared" si="363"/>
        <v>68.750853477515705</v>
      </c>
      <c r="BA155" s="2">
        <f t="shared" si="246"/>
        <v>165962.97021650875</v>
      </c>
      <c r="BB155" s="2">
        <f t="shared" si="336"/>
        <v>0</v>
      </c>
      <c r="BC155" s="2">
        <f t="shared" si="364"/>
        <v>1592.5441571434726</v>
      </c>
      <c r="BD155" s="2">
        <f t="shared" si="337"/>
        <v>164370.42605936527</v>
      </c>
      <c r="BE155" s="2">
        <f t="shared" si="365"/>
        <v>1486</v>
      </c>
      <c r="BF155" s="2">
        <f t="shared" si="338"/>
        <v>12250.624341136663</v>
      </c>
      <c r="BG155" s="2">
        <f t="shared" si="339"/>
        <v>150633.80171822861</v>
      </c>
      <c r="BI155" s="8">
        <f t="shared" si="315"/>
        <v>2.8000000000000001E-2</v>
      </c>
      <c r="BJ155" s="5">
        <f t="shared" si="366"/>
        <v>1089</v>
      </c>
      <c r="BK155" s="2">
        <f t="shared" si="367"/>
        <v>108791.1</v>
      </c>
      <c r="BL155" s="2">
        <f t="shared" si="368"/>
        <v>108900</v>
      </c>
      <c r="BM155" s="2">
        <f t="shared" si="340"/>
        <v>108900</v>
      </c>
      <c r="BN155" s="8">
        <f t="shared" si="341"/>
        <v>4.2999999999999997E-2</v>
      </c>
      <c r="BO155" s="2">
        <f t="shared" si="342"/>
        <v>110851.12499999999</v>
      </c>
      <c r="BP155" s="2" t="str">
        <f t="shared" si="343"/>
        <v>nie</v>
      </c>
      <c r="BQ155" s="2">
        <f t="shared" si="344"/>
        <v>2178</v>
      </c>
      <c r="BR155" s="1">
        <f t="shared" si="316"/>
        <v>172</v>
      </c>
      <c r="BS155" s="1">
        <f t="shared" si="327"/>
        <v>164</v>
      </c>
      <c r="BT155" s="1">
        <f t="shared" si="382"/>
        <v>178</v>
      </c>
      <c r="BU155" s="1">
        <f t="shared" si="320"/>
        <v>23</v>
      </c>
      <c r="BV155" s="2">
        <f t="shared" si="247"/>
        <v>17200</v>
      </c>
      <c r="BW155" s="8">
        <f t="shared" si="317"/>
        <v>0.05</v>
      </c>
      <c r="BX155" s="2">
        <f t="shared" si="248"/>
        <v>17558.333333333332</v>
      </c>
      <c r="BY155" s="2">
        <f t="shared" si="318"/>
        <v>344</v>
      </c>
      <c r="BZ155" s="2">
        <f t="shared" si="273"/>
        <v>36500</v>
      </c>
      <c r="CA155" s="8">
        <f t="shared" si="328"/>
        <v>4.2999999999999997E-2</v>
      </c>
      <c r="CB155" s="2">
        <f t="shared" si="249"/>
        <v>37153.958333333328</v>
      </c>
      <c r="CC155" s="2">
        <f t="shared" si="329"/>
        <v>730</v>
      </c>
      <c r="CD155" s="2">
        <f t="shared" si="345"/>
        <v>0</v>
      </c>
      <c r="CE155" s="2">
        <f t="shared" si="250"/>
        <v>0</v>
      </c>
      <c r="CF155" s="2">
        <f t="shared" si="251"/>
        <v>97.499999999918145</v>
      </c>
      <c r="CG155" s="1">
        <f t="shared" si="312"/>
        <v>0</v>
      </c>
      <c r="CH155" s="2">
        <f t="shared" si="346"/>
        <v>97.499999999918145</v>
      </c>
      <c r="CI155" s="1">
        <f t="shared" si="242"/>
        <v>0</v>
      </c>
      <c r="CJ155" s="2">
        <f t="shared" si="252"/>
        <v>97.499999999918145</v>
      </c>
      <c r="CK155" s="2">
        <f t="shared" si="253"/>
        <v>165660.91666666654</v>
      </c>
      <c r="CL155" s="2">
        <f t="shared" si="347"/>
        <v>0</v>
      </c>
      <c r="CM155" s="2">
        <f t="shared" si="369"/>
        <v>1593.3564299999991</v>
      </c>
      <c r="CN155" s="2">
        <f t="shared" si="348"/>
        <v>164067.56023666656</v>
      </c>
      <c r="CO155" s="2">
        <f t="shared" si="370"/>
        <v>3252</v>
      </c>
      <c r="CP155" s="2">
        <f t="shared" si="349"/>
        <v>11857.694166666643</v>
      </c>
      <c r="CQ155" s="2">
        <f t="shared" si="350"/>
        <v>148957.8660699999</v>
      </c>
      <c r="CS155" s="5">
        <f t="shared" si="371"/>
        <v>1611</v>
      </c>
      <c r="CT155" s="2">
        <f t="shared" si="372"/>
        <v>160938.90000000002</v>
      </c>
      <c r="CU155" s="2">
        <f t="shared" si="373"/>
        <v>161100</v>
      </c>
      <c r="CV155" s="2">
        <f t="shared" si="374"/>
        <v>170121.60000000001</v>
      </c>
      <c r="CW155" s="8">
        <f t="shared" si="351"/>
        <v>4.8000000000000001E-2</v>
      </c>
      <c r="CX155" s="2">
        <f t="shared" si="352"/>
        <v>173524.03200000001</v>
      </c>
      <c r="CY155" s="2" t="str">
        <f t="shared" si="353"/>
        <v>nie</v>
      </c>
      <c r="CZ155" s="2">
        <f t="shared" si="375"/>
        <v>0</v>
      </c>
      <c r="DA155" s="2">
        <f t="shared" si="376"/>
        <v>94.314405359298689</v>
      </c>
      <c r="DB155" s="2">
        <f t="shared" si="377"/>
        <v>173618.34640535931</v>
      </c>
      <c r="DC155" s="2">
        <f t="shared" si="354"/>
        <v>0</v>
      </c>
      <c r="DD155" s="2">
        <f t="shared" si="378"/>
        <v>1632.4231499882615</v>
      </c>
      <c r="DE155" s="2">
        <f t="shared" si="379"/>
        <v>171985.92325537105</v>
      </c>
      <c r="DF155" s="2">
        <f t="shared" si="355"/>
        <v>4833</v>
      </c>
      <c r="DG155" s="2">
        <f t="shared" si="356"/>
        <v>13051.296080000002</v>
      </c>
      <c r="DH155" s="2">
        <f t="shared" si="380"/>
        <v>154101.62717537105</v>
      </c>
    </row>
    <row r="156" spans="2:112">
      <c r="B156" s="229"/>
      <c r="C156" s="1">
        <f t="shared" si="321"/>
        <v>119</v>
      </c>
      <c r="D156" s="2">
        <f t="shared" si="259"/>
        <v>153924.14774505765</v>
      </c>
      <c r="E156" s="2">
        <f t="shared" si="260"/>
        <v>142231.24631623024</v>
      </c>
      <c r="F156" s="2">
        <f t="shared" si="261"/>
        <v>154042.81866999995</v>
      </c>
      <c r="G156" s="2">
        <f t="shared" si="262"/>
        <v>141113.80991999997</v>
      </c>
      <c r="H156" s="2">
        <f t="shared" si="263"/>
        <v>159117.40979484835</v>
      </c>
      <c r="I156" s="2">
        <f t="shared" si="264"/>
        <v>145207.87886980345</v>
      </c>
      <c r="J156" s="2">
        <f t="shared" si="322"/>
        <v>140620.20881631927</v>
      </c>
      <c r="K156" s="2">
        <f t="shared" si="323"/>
        <v>131505.60798163211</v>
      </c>
      <c r="W156" s="1">
        <f t="shared" si="357"/>
        <v>138</v>
      </c>
      <c r="X156" s="2">
        <f t="shared" si="330"/>
        <v>137392.24381463902</v>
      </c>
      <c r="Y156" s="8">
        <f t="shared" si="383"/>
        <v>4.1300000000000003E-2</v>
      </c>
      <c r="Z156" s="5">
        <f t="shared" si="358"/>
        <v>1486</v>
      </c>
      <c r="AA156" s="2">
        <f t="shared" si="359"/>
        <v>148451.4</v>
      </c>
      <c r="AB156" s="2">
        <f t="shared" si="360"/>
        <v>148600</v>
      </c>
      <c r="AC156" s="2">
        <f t="shared" si="361"/>
        <v>162741.11035</v>
      </c>
      <c r="AD156" s="8">
        <f t="shared" si="331"/>
        <v>4.65E-2</v>
      </c>
      <c r="AE156" s="2">
        <f t="shared" si="332"/>
        <v>166524.84116563751</v>
      </c>
      <c r="AF156" s="2" t="str">
        <f t="shared" si="333"/>
        <v>nie</v>
      </c>
      <c r="AG156" s="2">
        <f t="shared" si="334"/>
        <v>1486</v>
      </c>
      <c r="AH156" s="1">
        <f t="shared" si="233"/>
        <v>0</v>
      </c>
      <c r="AI156" s="1">
        <f t="shared" si="324"/>
        <v>0</v>
      </c>
      <c r="AJ156" s="1">
        <f t="shared" si="381"/>
        <v>0</v>
      </c>
      <c r="AK156" s="1">
        <f t="shared" si="319"/>
        <v>0</v>
      </c>
      <c r="AL156" s="2">
        <f t="shared" si="243"/>
        <v>0</v>
      </c>
      <c r="AM156" s="8">
        <f t="shared" si="313"/>
        <v>4.65E-2</v>
      </c>
      <c r="AN156" s="2">
        <f t="shared" si="244"/>
        <v>0</v>
      </c>
      <c r="AO156" s="2">
        <f t="shared" si="314"/>
        <v>0</v>
      </c>
      <c r="AP156" s="2">
        <f t="shared" si="272"/>
        <v>0</v>
      </c>
      <c r="AQ156" s="8">
        <f t="shared" si="325"/>
        <v>4.1300000000000003E-2</v>
      </c>
      <c r="AR156" s="2">
        <f t="shared" si="267"/>
        <v>0</v>
      </c>
      <c r="AS156" s="2">
        <f t="shared" si="326"/>
        <v>0</v>
      </c>
      <c r="AT156" s="2">
        <f t="shared" si="362"/>
        <v>0</v>
      </c>
      <c r="AU156" s="2">
        <f t="shared" si="245"/>
        <v>0</v>
      </c>
      <c r="AV156" s="2">
        <f t="shared" si="236"/>
        <v>68.750853477515705</v>
      </c>
      <c r="AW156" s="1">
        <f t="shared" si="311"/>
        <v>0</v>
      </c>
      <c r="AX156" s="2">
        <f t="shared" si="335"/>
        <v>68.750853477515705</v>
      </c>
      <c r="AY156" s="1">
        <f t="shared" si="237"/>
        <v>0</v>
      </c>
      <c r="AZ156" s="2">
        <f t="shared" si="363"/>
        <v>68.750853477515705</v>
      </c>
      <c r="BA156" s="2">
        <f t="shared" si="246"/>
        <v>166593.59201911502</v>
      </c>
      <c r="BB156" s="2">
        <f t="shared" si="336"/>
        <v>0</v>
      </c>
      <c r="BC156" s="2">
        <f t="shared" si="364"/>
        <v>1592.5441571434726</v>
      </c>
      <c r="BD156" s="2">
        <f t="shared" si="337"/>
        <v>165001.04786197154</v>
      </c>
      <c r="BE156" s="2">
        <f t="shared" si="365"/>
        <v>1486</v>
      </c>
      <c r="BF156" s="2">
        <f t="shared" si="338"/>
        <v>12370.442483631854</v>
      </c>
      <c r="BG156" s="2">
        <f t="shared" si="339"/>
        <v>151144.60537833968</v>
      </c>
      <c r="BI156" s="8">
        <f t="shared" si="315"/>
        <v>2.8000000000000001E-2</v>
      </c>
      <c r="BJ156" s="5">
        <f t="shared" si="366"/>
        <v>1089</v>
      </c>
      <c r="BK156" s="2">
        <f t="shared" si="367"/>
        <v>108791.1</v>
      </c>
      <c r="BL156" s="2">
        <f t="shared" si="368"/>
        <v>108900</v>
      </c>
      <c r="BM156" s="2">
        <f t="shared" si="340"/>
        <v>108900</v>
      </c>
      <c r="BN156" s="8">
        <f t="shared" si="341"/>
        <v>4.2999999999999997E-2</v>
      </c>
      <c r="BO156" s="2">
        <f t="shared" si="342"/>
        <v>111241.35</v>
      </c>
      <c r="BP156" s="2" t="str">
        <f t="shared" si="343"/>
        <v>nie</v>
      </c>
      <c r="BQ156" s="2">
        <f t="shared" si="344"/>
        <v>2178</v>
      </c>
      <c r="BR156" s="1">
        <f t="shared" si="316"/>
        <v>172</v>
      </c>
      <c r="BS156" s="1">
        <f t="shared" si="327"/>
        <v>164</v>
      </c>
      <c r="BT156" s="1">
        <f t="shared" si="382"/>
        <v>178</v>
      </c>
      <c r="BU156" s="1">
        <f t="shared" si="320"/>
        <v>23</v>
      </c>
      <c r="BV156" s="2">
        <f t="shared" si="247"/>
        <v>17200</v>
      </c>
      <c r="BW156" s="8">
        <f t="shared" si="317"/>
        <v>0.05</v>
      </c>
      <c r="BX156" s="2">
        <f t="shared" si="248"/>
        <v>17630</v>
      </c>
      <c r="BY156" s="2">
        <f t="shared" si="318"/>
        <v>344</v>
      </c>
      <c r="BZ156" s="2">
        <f t="shared" si="273"/>
        <v>36500</v>
      </c>
      <c r="CA156" s="8">
        <f t="shared" si="328"/>
        <v>4.2999999999999997E-2</v>
      </c>
      <c r="CB156" s="2">
        <f t="shared" si="249"/>
        <v>37284.75</v>
      </c>
      <c r="CC156" s="2">
        <f t="shared" si="329"/>
        <v>730</v>
      </c>
      <c r="CD156" s="2">
        <f t="shared" si="345"/>
        <v>0</v>
      </c>
      <c r="CE156" s="2">
        <f t="shared" si="250"/>
        <v>0</v>
      </c>
      <c r="CF156" s="2">
        <f t="shared" si="251"/>
        <v>97.499999999918145</v>
      </c>
      <c r="CG156" s="1">
        <f t="shared" si="312"/>
        <v>0</v>
      </c>
      <c r="CH156" s="2">
        <f t="shared" si="346"/>
        <v>97.499999999918145</v>
      </c>
      <c r="CI156" s="1">
        <f t="shared" si="242"/>
        <v>0</v>
      </c>
      <c r="CJ156" s="2">
        <f t="shared" si="252"/>
        <v>97.499999999918145</v>
      </c>
      <c r="CK156" s="2">
        <f t="shared" si="253"/>
        <v>166253.59999999992</v>
      </c>
      <c r="CL156" s="2">
        <f t="shared" si="347"/>
        <v>0</v>
      </c>
      <c r="CM156" s="2">
        <f t="shared" si="369"/>
        <v>1593.3564299999991</v>
      </c>
      <c r="CN156" s="2">
        <f t="shared" si="348"/>
        <v>164660.24356999993</v>
      </c>
      <c r="CO156" s="2">
        <f t="shared" si="370"/>
        <v>3252</v>
      </c>
      <c r="CP156" s="2">
        <f t="shared" si="349"/>
        <v>11970.303999999986</v>
      </c>
      <c r="CQ156" s="2">
        <f t="shared" si="350"/>
        <v>149437.93956999996</v>
      </c>
      <c r="CS156" s="5">
        <f t="shared" si="371"/>
        <v>1611</v>
      </c>
      <c r="CT156" s="2">
        <f t="shared" si="372"/>
        <v>160938.90000000002</v>
      </c>
      <c r="CU156" s="2">
        <f t="shared" si="373"/>
        <v>161100</v>
      </c>
      <c r="CV156" s="2">
        <f t="shared" si="374"/>
        <v>170121.60000000001</v>
      </c>
      <c r="CW156" s="8">
        <f t="shared" si="351"/>
        <v>4.8000000000000001E-2</v>
      </c>
      <c r="CX156" s="2">
        <f t="shared" si="352"/>
        <v>174204.5184</v>
      </c>
      <c r="CY156" s="2" t="str">
        <f t="shared" si="353"/>
        <v>nie</v>
      </c>
      <c r="CZ156" s="2">
        <f t="shared" si="375"/>
        <v>0</v>
      </c>
      <c r="DA156" s="2">
        <f t="shared" si="376"/>
        <v>94.314405359298689</v>
      </c>
      <c r="DB156" s="2">
        <f t="shared" si="377"/>
        <v>174298.8328053593</v>
      </c>
      <c r="DC156" s="2">
        <f t="shared" si="354"/>
        <v>0</v>
      </c>
      <c r="DD156" s="2">
        <f t="shared" si="378"/>
        <v>1632.4231499882615</v>
      </c>
      <c r="DE156" s="2">
        <f t="shared" si="379"/>
        <v>172666.40965537104</v>
      </c>
      <c r="DF156" s="2">
        <f t="shared" si="355"/>
        <v>4833</v>
      </c>
      <c r="DG156" s="2">
        <f t="shared" si="356"/>
        <v>13180.588496</v>
      </c>
      <c r="DH156" s="2">
        <f t="shared" si="380"/>
        <v>154652.82115937103</v>
      </c>
    </row>
    <row r="157" spans="2:112">
      <c r="B157" s="227">
        <f>ROUNDUP(C158/12,0)</f>
        <v>11</v>
      </c>
      <c r="C157" s="3">
        <f t="shared" si="321"/>
        <v>120</v>
      </c>
      <c r="D157" s="10">
        <f t="shared" si="259"/>
        <v>154344.88655753754</v>
      </c>
      <c r="E157" s="10">
        <f t="shared" si="260"/>
        <v>142542.44759537681</v>
      </c>
      <c r="F157" s="10">
        <f t="shared" si="261"/>
        <v>154432.33066999994</v>
      </c>
      <c r="G157" s="10">
        <f t="shared" si="262"/>
        <v>141399.70066999996</v>
      </c>
      <c r="H157" s="10">
        <f t="shared" si="263"/>
        <v>159571.00716977642</v>
      </c>
      <c r="I157" s="10">
        <f t="shared" si="264"/>
        <v>147974.69643275815</v>
      </c>
      <c r="J157" s="10">
        <f t="shared" si="322"/>
        <v>141023.61304036109</v>
      </c>
      <c r="K157" s="10">
        <f t="shared" si="323"/>
        <v>131804.77576059586</v>
      </c>
      <c r="W157" s="1">
        <f t="shared" si="357"/>
        <v>139</v>
      </c>
      <c r="X157" s="2">
        <f t="shared" si="330"/>
        <v>137708.39953676343</v>
      </c>
      <c r="Y157" s="8">
        <f t="shared" si="383"/>
        <v>4.1300000000000003E-2</v>
      </c>
      <c r="Z157" s="5">
        <f t="shared" si="358"/>
        <v>1486</v>
      </c>
      <c r="AA157" s="2">
        <f t="shared" si="359"/>
        <v>148451.4</v>
      </c>
      <c r="AB157" s="2">
        <f t="shared" si="360"/>
        <v>148600</v>
      </c>
      <c r="AC157" s="2">
        <f t="shared" si="361"/>
        <v>162741.11035</v>
      </c>
      <c r="AD157" s="8">
        <f t="shared" si="331"/>
        <v>4.65E-2</v>
      </c>
      <c r="AE157" s="2">
        <f t="shared" si="332"/>
        <v>167155.46296824375</v>
      </c>
      <c r="AF157" s="2" t="str">
        <f t="shared" si="333"/>
        <v>nie</v>
      </c>
      <c r="AG157" s="2">
        <f t="shared" si="334"/>
        <v>1486</v>
      </c>
      <c r="AH157" s="1">
        <f t="shared" si="233"/>
        <v>0</v>
      </c>
      <c r="AI157" s="1">
        <f t="shared" si="324"/>
        <v>0</v>
      </c>
      <c r="AJ157" s="1">
        <f t="shared" si="381"/>
        <v>0</v>
      </c>
      <c r="AK157" s="1">
        <f t="shared" si="319"/>
        <v>0</v>
      </c>
      <c r="AL157" s="2">
        <f t="shared" si="243"/>
        <v>0</v>
      </c>
      <c r="AM157" s="8">
        <f t="shared" si="313"/>
        <v>4.65E-2</v>
      </c>
      <c r="AN157" s="2">
        <f t="shared" si="244"/>
        <v>0</v>
      </c>
      <c r="AO157" s="2">
        <f t="shared" si="314"/>
        <v>0</v>
      </c>
      <c r="AP157" s="2">
        <f t="shared" si="272"/>
        <v>0</v>
      </c>
      <c r="AQ157" s="8">
        <f t="shared" si="325"/>
        <v>4.1300000000000003E-2</v>
      </c>
      <c r="AR157" s="2">
        <f t="shared" si="267"/>
        <v>0</v>
      </c>
      <c r="AS157" s="2">
        <f t="shared" si="326"/>
        <v>0</v>
      </c>
      <c r="AT157" s="2">
        <f t="shared" si="362"/>
        <v>0</v>
      </c>
      <c r="AU157" s="2">
        <f t="shared" si="245"/>
        <v>0</v>
      </c>
      <c r="AV157" s="2">
        <f t="shared" si="236"/>
        <v>68.750853477515705</v>
      </c>
      <c r="AW157" s="1">
        <f t="shared" si="311"/>
        <v>0</v>
      </c>
      <c r="AX157" s="2">
        <f t="shared" si="335"/>
        <v>68.750853477515705</v>
      </c>
      <c r="AY157" s="1">
        <f t="shared" si="237"/>
        <v>0</v>
      </c>
      <c r="AZ157" s="2">
        <f t="shared" si="363"/>
        <v>68.750853477515705</v>
      </c>
      <c r="BA157" s="2">
        <f t="shared" si="246"/>
        <v>167224.21382172126</v>
      </c>
      <c r="BB157" s="2">
        <f t="shared" si="336"/>
        <v>0</v>
      </c>
      <c r="BC157" s="2">
        <f t="shared" si="364"/>
        <v>1592.5441571434726</v>
      </c>
      <c r="BD157" s="2">
        <f t="shared" si="337"/>
        <v>165631.66966457778</v>
      </c>
      <c r="BE157" s="2">
        <f t="shared" si="365"/>
        <v>1486</v>
      </c>
      <c r="BF157" s="2">
        <f t="shared" si="338"/>
        <v>12490.260626127039</v>
      </c>
      <c r="BG157" s="2">
        <f t="shared" si="339"/>
        <v>151655.40903845074</v>
      </c>
      <c r="BI157" s="8">
        <f t="shared" si="315"/>
        <v>2.8000000000000001E-2</v>
      </c>
      <c r="BJ157" s="5">
        <f t="shared" si="366"/>
        <v>1089</v>
      </c>
      <c r="BK157" s="2">
        <f t="shared" si="367"/>
        <v>108791.1</v>
      </c>
      <c r="BL157" s="2">
        <f t="shared" si="368"/>
        <v>108900</v>
      </c>
      <c r="BM157" s="2">
        <f t="shared" si="340"/>
        <v>108900</v>
      </c>
      <c r="BN157" s="8">
        <f t="shared" si="341"/>
        <v>4.2999999999999997E-2</v>
      </c>
      <c r="BO157" s="2">
        <f t="shared" si="342"/>
        <v>111631.575</v>
      </c>
      <c r="BP157" s="2" t="str">
        <f t="shared" si="343"/>
        <v>nie</v>
      </c>
      <c r="BQ157" s="2">
        <f t="shared" si="344"/>
        <v>2178</v>
      </c>
      <c r="BR157" s="1">
        <f t="shared" si="316"/>
        <v>172</v>
      </c>
      <c r="BS157" s="1">
        <f t="shared" si="327"/>
        <v>164</v>
      </c>
      <c r="BT157" s="1">
        <f t="shared" si="382"/>
        <v>178</v>
      </c>
      <c r="BU157" s="1">
        <f t="shared" si="320"/>
        <v>23</v>
      </c>
      <c r="BV157" s="2">
        <f t="shared" si="247"/>
        <v>17200</v>
      </c>
      <c r="BW157" s="8">
        <f t="shared" si="317"/>
        <v>0.05</v>
      </c>
      <c r="BX157" s="2">
        <f t="shared" si="248"/>
        <v>17701.666666666664</v>
      </c>
      <c r="BY157" s="2">
        <f t="shared" si="318"/>
        <v>344</v>
      </c>
      <c r="BZ157" s="2">
        <f t="shared" si="273"/>
        <v>36500</v>
      </c>
      <c r="CA157" s="8">
        <f t="shared" si="328"/>
        <v>4.2999999999999997E-2</v>
      </c>
      <c r="CB157" s="2">
        <f t="shared" si="249"/>
        <v>37415.541666666664</v>
      </c>
      <c r="CC157" s="2">
        <f t="shared" si="329"/>
        <v>730</v>
      </c>
      <c r="CD157" s="2">
        <f t="shared" si="345"/>
        <v>0</v>
      </c>
      <c r="CE157" s="2">
        <f t="shared" si="250"/>
        <v>0</v>
      </c>
      <c r="CF157" s="2">
        <f t="shared" si="251"/>
        <v>97.499999999918145</v>
      </c>
      <c r="CG157" s="1">
        <f t="shared" si="312"/>
        <v>0</v>
      </c>
      <c r="CH157" s="2">
        <f t="shared" si="346"/>
        <v>97.499999999918145</v>
      </c>
      <c r="CI157" s="1">
        <f t="shared" si="242"/>
        <v>0</v>
      </c>
      <c r="CJ157" s="2">
        <f t="shared" si="252"/>
        <v>97.499999999918145</v>
      </c>
      <c r="CK157" s="2">
        <f t="shared" si="253"/>
        <v>166846.28333333324</v>
      </c>
      <c r="CL157" s="2">
        <f t="shared" si="347"/>
        <v>0</v>
      </c>
      <c r="CM157" s="2">
        <f t="shared" si="369"/>
        <v>1593.3564299999991</v>
      </c>
      <c r="CN157" s="2">
        <f t="shared" si="348"/>
        <v>165252.92690333325</v>
      </c>
      <c r="CO157" s="2">
        <f t="shared" si="370"/>
        <v>3252</v>
      </c>
      <c r="CP157" s="2">
        <f t="shared" si="349"/>
        <v>12082.913833333316</v>
      </c>
      <c r="CQ157" s="2">
        <f t="shared" si="350"/>
        <v>149918.01306999993</v>
      </c>
      <c r="CS157" s="5">
        <f t="shared" si="371"/>
        <v>1611</v>
      </c>
      <c r="CT157" s="2">
        <f t="shared" si="372"/>
        <v>160938.90000000002</v>
      </c>
      <c r="CU157" s="2">
        <f t="shared" si="373"/>
        <v>161100</v>
      </c>
      <c r="CV157" s="2">
        <f t="shared" si="374"/>
        <v>170121.60000000001</v>
      </c>
      <c r="CW157" s="8">
        <f t="shared" si="351"/>
        <v>4.8000000000000001E-2</v>
      </c>
      <c r="CX157" s="2">
        <f t="shared" si="352"/>
        <v>174885.00480000002</v>
      </c>
      <c r="CY157" s="2" t="str">
        <f t="shared" si="353"/>
        <v>nie</v>
      </c>
      <c r="CZ157" s="2">
        <f t="shared" si="375"/>
        <v>0</v>
      </c>
      <c r="DA157" s="2">
        <f t="shared" si="376"/>
        <v>94.314405359298689</v>
      </c>
      <c r="DB157" s="2">
        <f t="shared" si="377"/>
        <v>174979.31920535932</v>
      </c>
      <c r="DC157" s="2">
        <f t="shared" si="354"/>
        <v>0</v>
      </c>
      <c r="DD157" s="2">
        <f t="shared" si="378"/>
        <v>1632.4231499882615</v>
      </c>
      <c r="DE157" s="2">
        <f t="shared" si="379"/>
        <v>173346.89605537106</v>
      </c>
      <c r="DF157" s="2">
        <f t="shared" si="355"/>
        <v>4833</v>
      </c>
      <c r="DG157" s="2">
        <f t="shared" si="356"/>
        <v>13309.880912000004</v>
      </c>
      <c r="DH157" s="2">
        <f t="shared" si="380"/>
        <v>155204.01514337107</v>
      </c>
    </row>
    <row r="158" spans="2:112">
      <c r="B158" s="228"/>
      <c r="C158" s="1">
        <f t="shared" si="321"/>
        <v>121</v>
      </c>
      <c r="D158" s="2">
        <f t="shared" si="259"/>
        <v>154847.83158670421</v>
      </c>
      <c r="E158" s="2">
        <f t="shared" si="260"/>
        <v>142950.64306900182</v>
      </c>
      <c r="F158" s="2">
        <f t="shared" si="261"/>
        <v>155010.08066999991</v>
      </c>
      <c r="G158" s="2">
        <f t="shared" si="262"/>
        <v>141972.70816999991</v>
      </c>
      <c r="H158" s="2">
        <f t="shared" si="263"/>
        <v>160483.90716977639</v>
      </c>
      <c r="I158" s="2">
        <f t="shared" si="264"/>
        <v>148123.1071697764</v>
      </c>
      <c r="J158" s="2">
        <f t="shared" si="322"/>
        <v>141428.17453027063</v>
      </c>
      <c r="K158" s="2">
        <f t="shared" si="323"/>
        <v>132112.32023737059</v>
      </c>
      <c r="W158" s="1">
        <f t="shared" si="357"/>
        <v>140</v>
      </c>
      <c r="X158" s="2">
        <f t="shared" si="330"/>
        <v>138024.55525888785</v>
      </c>
      <c r="Y158" s="8">
        <f t="shared" si="383"/>
        <v>4.1300000000000003E-2</v>
      </c>
      <c r="Z158" s="5">
        <f t="shared" si="358"/>
        <v>1486</v>
      </c>
      <c r="AA158" s="2">
        <f t="shared" si="359"/>
        <v>148451.4</v>
      </c>
      <c r="AB158" s="2">
        <f t="shared" si="360"/>
        <v>148600</v>
      </c>
      <c r="AC158" s="2">
        <f t="shared" si="361"/>
        <v>162741.11035</v>
      </c>
      <c r="AD158" s="8">
        <f t="shared" si="331"/>
        <v>4.65E-2</v>
      </c>
      <c r="AE158" s="2">
        <f t="shared" si="332"/>
        <v>167786.08477084999</v>
      </c>
      <c r="AF158" s="2" t="str">
        <f t="shared" si="333"/>
        <v>nie</v>
      </c>
      <c r="AG158" s="2">
        <f t="shared" si="334"/>
        <v>1486</v>
      </c>
      <c r="AH158" s="1">
        <f t="shared" si="233"/>
        <v>0</v>
      </c>
      <c r="AI158" s="1">
        <f t="shared" si="324"/>
        <v>0</v>
      </c>
      <c r="AJ158" s="1">
        <f t="shared" si="381"/>
        <v>0</v>
      </c>
      <c r="AK158" s="1">
        <f t="shared" si="319"/>
        <v>0</v>
      </c>
      <c r="AL158" s="2">
        <f t="shared" si="243"/>
        <v>0</v>
      </c>
      <c r="AM158" s="8">
        <f t="shared" si="313"/>
        <v>4.65E-2</v>
      </c>
      <c r="AN158" s="2">
        <f t="shared" si="244"/>
        <v>0</v>
      </c>
      <c r="AO158" s="2">
        <f t="shared" si="314"/>
        <v>0</v>
      </c>
      <c r="AP158" s="2">
        <f t="shared" si="272"/>
        <v>0</v>
      </c>
      <c r="AQ158" s="8">
        <f t="shared" si="325"/>
        <v>4.1300000000000003E-2</v>
      </c>
      <c r="AR158" s="2">
        <f t="shared" si="267"/>
        <v>0</v>
      </c>
      <c r="AS158" s="2">
        <f t="shared" si="326"/>
        <v>0</v>
      </c>
      <c r="AT158" s="2">
        <f t="shared" si="362"/>
        <v>0</v>
      </c>
      <c r="AU158" s="2">
        <f t="shared" si="245"/>
        <v>0</v>
      </c>
      <c r="AV158" s="2">
        <f t="shared" si="236"/>
        <v>68.750853477515705</v>
      </c>
      <c r="AW158" s="1">
        <f t="shared" ref="AW158:AW162" si="384">IF(AT158&lt;&gt;0,MIN(IF(AK158&lt;&gt;"",AK158,0),ROUNDDOWN(AV158/zamiana_TOS,0)),0)</f>
        <v>0</v>
      </c>
      <c r="AX158" s="2">
        <f t="shared" si="335"/>
        <v>68.750853477515705</v>
      </c>
      <c r="AY158" s="1">
        <f t="shared" si="237"/>
        <v>0</v>
      </c>
      <c r="AZ158" s="2">
        <f t="shared" si="363"/>
        <v>68.750853477515705</v>
      </c>
      <c r="BA158" s="2">
        <f t="shared" si="246"/>
        <v>167854.8356243275</v>
      </c>
      <c r="BB158" s="2">
        <f t="shared" si="336"/>
        <v>0</v>
      </c>
      <c r="BC158" s="2">
        <f t="shared" si="364"/>
        <v>1592.5441571434726</v>
      </c>
      <c r="BD158" s="2">
        <f t="shared" si="337"/>
        <v>166262.29146718403</v>
      </c>
      <c r="BE158" s="2">
        <f t="shared" si="365"/>
        <v>1486</v>
      </c>
      <c r="BF158" s="2">
        <f t="shared" si="338"/>
        <v>12610.078768622227</v>
      </c>
      <c r="BG158" s="2">
        <f t="shared" si="339"/>
        <v>152166.21269856181</v>
      </c>
      <c r="BI158" s="8">
        <f t="shared" si="315"/>
        <v>2.8000000000000001E-2</v>
      </c>
      <c r="BJ158" s="5">
        <f t="shared" si="366"/>
        <v>1089</v>
      </c>
      <c r="BK158" s="2">
        <f t="shared" si="367"/>
        <v>108791.1</v>
      </c>
      <c r="BL158" s="2">
        <f t="shared" si="368"/>
        <v>108900</v>
      </c>
      <c r="BM158" s="2">
        <f t="shared" si="340"/>
        <v>108900</v>
      </c>
      <c r="BN158" s="8">
        <f t="shared" si="341"/>
        <v>4.2999999999999997E-2</v>
      </c>
      <c r="BO158" s="2">
        <f t="shared" si="342"/>
        <v>112021.79999999999</v>
      </c>
      <c r="BP158" s="2" t="str">
        <f t="shared" si="343"/>
        <v>nie</v>
      </c>
      <c r="BQ158" s="2">
        <f t="shared" si="344"/>
        <v>2178</v>
      </c>
      <c r="BR158" s="1">
        <f t="shared" si="316"/>
        <v>172</v>
      </c>
      <c r="BS158" s="1">
        <f t="shared" si="327"/>
        <v>164</v>
      </c>
      <c r="BT158" s="1">
        <f t="shared" si="382"/>
        <v>178</v>
      </c>
      <c r="BU158" s="1">
        <f t="shared" si="320"/>
        <v>23</v>
      </c>
      <c r="BV158" s="2">
        <f t="shared" si="247"/>
        <v>17200</v>
      </c>
      <c r="BW158" s="8">
        <f t="shared" si="317"/>
        <v>0.05</v>
      </c>
      <c r="BX158" s="2">
        <f t="shared" si="248"/>
        <v>17773.333333333336</v>
      </c>
      <c r="BY158" s="2">
        <f t="shared" si="318"/>
        <v>344</v>
      </c>
      <c r="BZ158" s="2">
        <f t="shared" si="273"/>
        <v>36500</v>
      </c>
      <c r="CA158" s="8">
        <f t="shared" si="328"/>
        <v>4.2999999999999997E-2</v>
      </c>
      <c r="CB158" s="2">
        <f t="shared" si="249"/>
        <v>37546.333333333328</v>
      </c>
      <c r="CC158" s="2">
        <f t="shared" si="329"/>
        <v>730</v>
      </c>
      <c r="CD158" s="2">
        <f t="shared" si="345"/>
        <v>0</v>
      </c>
      <c r="CE158" s="2">
        <f t="shared" si="250"/>
        <v>0</v>
      </c>
      <c r="CF158" s="2">
        <f t="shared" si="251"/>
        <v>97.499999999918145</v>
      </c>
      <c r="CG158" s="1">
        <f t="shared" ref="CG158:CG162" si="385">IF(CD158&lt;&gt;0,MIN(IF(BU158&lt;&gt;"",BU158,0),ROUNDDOWN(CF158/zamiana_COI,0)),0)</f>
        <v>0</v>
      </c>
      <c r="CH158" s="2">
        <f t="shared" si="346"/>
        <v>97.499999999918145</v>
      </c>
      <c r="CI158" s="1">
        <f t="shared" si="242"/>
        <v>0</v>
      </c>
      <c r="CJ158" s="2">
        <f t="shared" si="252"/>
        <v>97.499999999918145</v>
      </c>
      <c r="CK158" s="2">
        <f t="shared" si="253"/>
        <v>167438.96666666659</v>
      </c>
      <c r="CL158" s="2">
        <f t="shared" si="347"/>
        <v>0</v>
      </c>
      <c r="CM158" s="2">
        <f t="shared" si="369"/>
        <v>1593.3564299999991</v>
      </c>
      <c r="CN158" s="2">
        <f t="shared" si="348"/>
        <v>165845.6102366666</v>
      </c>
      <c r="CO158" s="2">
        <f t="shared" si="370"/>
        <v>3252</v>
      </c>
      <c r="CP158" s="2">
        <f t="shared" si="349"/>
        <v>12195.523666666651</v>
      </c>
      <c r="CQ158" s="2">
        <f t="shared" si="350"/>
        <v>150398.08656999996</v>
      </c>
      <c r="CS158" s="5">
        <f t="shared" si="371"/>
        <v>1611</v>
      </c>
      <c r="CT158" s="2">
        <f t="shared" si="372"/>
        <v>160938.90000000002</v>
      </c>
      <c r="CU158" s="2">
        <f t="shared" si="373"/>
        <v>161100</v>
      </c>
      <c r="CV158" s="2">
        <f t="shared" si="374"/>
        <v>170121.60000000001</v>
      </c>
      <c r="CW158" s="8">
        <f t="shared" si="351"/>
        <v>4.8000000000000001E-2</v>
      </c>
      <c r="CX158" s="2">
        <f t="shared" si="352"/>
        <v>175565.49120000002</v>
      </c>
      <c r="CY158" s="2" t="str">
        <f t="shared" si="353"/>
        <v>nie</v>
      </c>
      <c r="CZ158" s="2">
        <f t="shared" si="375"/>
        <v>0</v>
      </c>
      <c r="DA158" s="2">
        <f t="shared" si="376"/>
        <v>94.314405359298689</v>
      </c>
      <c r="DB158" s="2">
        <f t="shared" si="377"/>
        <v>175659.80560535932</v>
      </c>
      <c r="DC158" s="2">
        <f t="shared" si="354"/>
        <v>0</v>
      </c>
      <c r="DD158" s="2">
        <f t="shared" si="378"/>
        <v>1632.4231499882615</v>
      </c>
      <c r="DE158" s="2">
        <f t="shared" si="379"/>
        <v>174027.38245537106</v>
      </c>
      <c r="DF158" s="2">
        <f t="shared" si="355"/>
        <v>4833</v>
      </c>
      <c r="DG158" s="2">
        <f t="shared" si="356"/>
        <v>13439.173328000004</v>
      </c>
      <c r="DH158" s="2">
        <f t="shared" si="380"/>
        <v>155755.20912737105</v>
      </c>
    </row>
    <row r="159" spans="2:112">
      <c r="B159" s="228"/>
      <c r="C159" s="1">
        <f t="shared" si="321"/>
        <v>122</v>
      </c>
      <c r="D159" s="2">
        <f t="shared" si="259"/>
        <v>155450.77661587083</v>
      </c>
      <c r="E159" s="2">
        <f t="shared" si="260"/>
        <v>143439.02854262677</v>
      </c>
      <c r="F159" s="2">
        <f t="shared" si="261"/>
        <v>155577.93066999994</v>
      </c>
      <c r="G159" s="2">
        <f t="shared" si="262"/>
        <v>142377.31666999997</v>
      </c>
      <c r="H159" s="2">
        <f t="shared" si="263"/>
        <v>161235.7071697764</v>
      </c>
      <c r="I159" s="2">
        <f t="shared" si="264"/>
        <v>148123.1071697764</v>
      </c>
      <c r="J159" s="2">
        <f t="shared" si="322"/>
        <v>141833.89660595433</v>
      </c>
      <c r="K159" s="2">
        <f t="shared" si="323"/>
        <v>132419.86471414531</v>
      </c>
      <c r="W159" s="1">
        <f t="shared" si="357"/>
        <v>141</v>
      </c>
      <c r="X159" s="2">
        <f t="shared" si="330"/>
        <v>138340.71098101226</v>
      </c>
      <c r="Y159" s="8">
        <f t="shared" si="383"/>
        <v>4.1300000000000003E-2</v>
      </c>
      <c r="Z159" s="5">
        <f t="shared" si="358"/>
        <v>1486</v>
      </c>
      <c r="AA159" s="2">
        <f t="shared" si="359"/>
        <v>148451.4</v>
      </c>
      <c r="AB159" s="2">
        <f t="shared" si="360"/>
        <v>148600</v>
      </c>
      <c r="AC159" s="2">
        <f t="shared" si="361"/>
        <v>162741.11035</v>
      </c>
      <c r="AD159" s="8">
        <f t="shared" si="331"/>
        <v>4.65E-2</v>
      </c>
      <c r="AE159" s="2">
        <f t="shared" si="332"/>
        <v>168416.70657345626</v>
      </c>
      <c r="AF159" s="2" t="str">
        <f t="shared" si="333"/>
        <v>nie</v>
      </c>
      <c r="AG159" s="2">
        <f t="shared" si="334"/>
        <v>1486</v>
      </c>
      <c r="AH159" s="1">
        <f t="shared" ref="AH159:AH162" si="386">IF(AT158&lt;&gt;0,AW158+AY158,AH158)</f>
        <v>0</v>
      </c>
      <c r="AI159" s="1">
        <f t="shared" si="324"/>
        <v>0</v>
      </c>
      <c r="AJ159" s="1">
        <f t="shared" si="381"/>
        <v>0</v>
      </c>
      <c r="AK159" s="1">
        <f t="shared" si="319"/>
        <v>0</v>
      </c>
      <c r="AL159" s="2">
        <f t="shared" si="243"/>
        <v>0</v>
      </c>
      <c r="AM159" s="8">
        <f t="shared" si="313"/>
        <v>4.65E-2</v>
      </c>
      <c r="AN159" s="2">
        <f t="shared" si="244"/>
        <v>0</v>
      </c>
      <c r="AO159" s="2">
        <f t="shared" ref="AO159:AO162" si="387">MIN(AH159*koszt_wczesniejszy_wykup_TOS,AN159-AL159)</f>
        <v>0</v>
      </c>
      <c r="AP159" s="2">
        <f t="shared" si="272"/>
        <v>0</v>
      </c>
      <c r="AQ159" s="8">
        <f t="shared" si="325"/>
        <v>4.1300000000000003E-2</v>
      </c>
      <c r="AR159" s="2">
        <f t="shared" si="267"/>
        <v>0</v>
      </c>
      <c r="AS159" s="2">
        <f t="shared" si="326"/>
        <v>0</v>
      </c>
      <c r="AT159" s="2">
        <f t="shared" si="362"/>
        <v>0</v>
      </c>
      <c r="AU159" s="2">
        <f t="shared" si="245"/>
        <v>0</v>
      </c>
      <c r="AV159" s="2">
        <f t="shared" ref="AV159:AV161" si="388">AZ158+AT159+AU159</f>
        <v>68.750853477515705</v>
      </c>
      <c r="AW159" s="1">
        <f t="shared" si="384"/>
        <v>0</v>
      </c>
      <c r="AX159" s="2">
        <f t="shared" si="335"/>
        <v>68.750853477515705</v>
      </c>
      <c r="AY159" s="1">
        <f t="shared" ref="AY159:AY162" si="389">ROUNDDOWN(AX159/100,0)</f>
        <v>0</v>
      </c>
      <c r="AZ159" s="2">
        <f t="shared" si="363"/>
        <v>68.750853477515705</v>
      </c>
      <c r="BA159" s="2">
        <f t="shared" si="246"/>
        <v>168485.45742693378</v>
      </c>
      <c r="BB159" s="2">
        <f t="shared" si="336"/>
        <v>0</v>
      </c>
      <c r="BC159" s="2">
        <f t="shared" si="364"/>
        <v>1592.5441571434726</v>
      </c>
      <c r="BD159" s="2">
        <f t="shared" si="337"/>
        <v>166892.9132697903</v>
      </c>
      <c r="BE159" s="2">
        <f t="shared" si="365"/>
        <v>1486</v>
      </c>
      <c r="BF159" s="2">
        <f t="shared" si="338"/>
        <v>12729.896911117417</v>
      </c>
      <c r="BG159" s="2">
        <f t="shared" si="339"/>
        <v>152677.01635867287</v>
      </c>
      <c r="BI159" s="8">
        <f t="shared" si="315"/>
        <v>2.8000000000000001E-2</v>
      </c>
      <c r="BJ159" s="5">
        <f t="shared" si="366"/>
        <v>1089</v>
      </c>
      <c r="BK159" s="2">
        <f t="shared" si="367"/>
        <v>108791.1</v>
      </c>
      <c r="BL159" s="2">
        <f t="shared" si="368"/>
        <v>108900</v>
      </c>
      <c r="BM159" s="2">
        <f t="shared" si="340"/>
        <v>108900</v>
      </c>
      <c r="BN159" s="8">
        <f t="shared" si="341"/>
        <v>4.2999999999999997E-2</v>
      </c>
      <c r="BO159" s="2">
        <f t="shared" si="342"/>
        <v>112412.02499999999</v>
      </c>
      <c r="BP159" s="2" t="str">
        <f t="shared" si="343"/>
        <v>nie</v>
      </c>
      <c r="BQ159" s="2">
        <f t="shared" si="344"/>
        <v>2178</v>
      </c>
      <c r="BR159" s="1">
        <f t="shared" si="316"/>
        <v>172</v>
      </c>
      <c r="BS159" s="1">
        <f t="shared" si="327"/>
        <v>164</v>
      </c>
      <c r="BT159" s="1">
        <f t="shared" si="382"/>
        <v>178</v>
      </c>
      <c r="BU159" s="1">
        <f t="shared" si="320"/>
        <v>23</v>
      </c>
      <c r="BV159" s="2">
        <f t="shared" si="247"/>
        <v>17200</v>
      </c>
      <c r="BW159" s="8">
        <f t="shared" si="317"/>
        <v>0.05</v>
      </c>
      <c r="BX159" s="2">
        <f t="shared" si="248"/>
        <v>17845</v>
      </c>
      <c r="BY159" s="2">
        <f t="shared" ref="BY159:BY162" si="390">MIN(BR159*koszt_wczesniejszy_wykup_COI,BX159-BV159)</f>
        <v>344</v>
      </c>
      <c r="BZ159" s="2">
        <f t="shared" si="273"/>
        <v>36500</v>
      </c>
      <c r="CA159" s="8">
        <f t="shared" si="328"/>
        <v>4.2999999999999997E-2</v>
      </c>
      <c r="CB159" s="2">
        <f t="shared" si="249"/>
        <v>37677.124999999993</v>
      </c>
      <c r="CC159" s="2">
        <f t="shared" si="329"/>
        <v>730</v>
      </c>
      <c r="CD159" s="2">
        <f t="shared" si="345"/>
        <v>0</v>
      </c>
      <c r="CE159" s="2">
        <f t="shared" si="250"/>
        <v>0</v>
      </c>
      <c r="CF159" s="2">
        <f t="shared" si="251"/>
        <v>97.499999999918145</v>
      </c>
      <c r="CG159" s="1">
        <f t="shared" si="385"/>
        <v>0</v>
      </c>
      <c r="CH159" s="2">
        <f t="shared" si="346"/>
        <v>97.499999999918145</v>
      </c>
      <c r="CI159" s="1">
        <f t="shared" ref="CI159:CI162" si="391">ROUNDDOWN(CH159/100,0)</f>
        <v>0</v>
      </c>
      <c r="CJ159" s="2">
        <f t="shared" si="252"/>
        <v>97.499999999918145</v>
      </c>
      <c r="CK159" s="2">
        <f t="shared" si="253"/>
        <v>168031.64999999991</v>
      </c>
      <c r="CL159" s="2">
        <f t="shared" si="347"/>
        <v>0</v>
      </c>
      <c r="CM159" s="2">
        <f t="shared" si="369"/>
        <v>1593.3564299999991</v>
      </c>
      <c r="CN159" s="2">
        <f t="shared" si="348"/>
        <v>166438.29356999992</v>
      </c>
      <c r="CO159" s="2">
        <f t="shared" si="370"/>
        <v>3252</v>
      </c>
      <c r="CP159" s="2">
        <f t="shared" si="349"/>
        <v>12308.133499999982</v>
      </c>
      <c r="CQ159" s="2">
        <f t="shared" si="350"/>
        <v>150878.16006999993</v>
      </c>
      <c r="CS159" s="5">
        <f t="shared" si="371"/>
        <v>1611</v>
      </c>
      <c r="CT159" s="2">
        <f t="shared" si="372"/>
        <v>160938.90000000002</v>
      </c>
      <c r="CU159" s="2">
        <f t="shared" si="373"/>
        <v>161100</v>
      </c>
      <c r="CV159" s="2">
        <f t="shared" si="374"/>
        <v>170121.60000000001</v>
      </c>
      <c r="CW159" s="8">
        <f t="shared" si="351"/>
        <v>4.8000000000000001E-2</v>
      </c>
      <c r="CX159" s="2">
        <f t="shared" si="352"/>
        <v>176245.97760000001</v>
      </c>
      <c r="CY159" s="2" t="str">
        <f t="shared" si="353"/>
        <v>nie</v>
      </c>
      <c r="CZ159" s="2">
        <f t="shared" si="375"/>
        <v>0</v>
      </c>
      <c r="DA159" s="2">
        <f t="shared" si="376"/>
        <v>94.314405359298689</v>
      </c>
      <c r="DB159" s="2">
        <f t="shared" si="377"/>
        <v>176340.29200535931</v>
      </c>
      <c r="DC159" s="2">
        <f t="shared" si="354"/>
        <v>0</v>
      </c>
      <c r="DD159" s="2">
        <f t="shared" si="378"/>
        <v>1632.4231499882615</v>
      </c>
      <c r="DE159" s="2">
        <f t="shared" si="379"/>
        <v>174707.86885537105</v>
      </c>
      <c r="DF159" s="2">
        <f t="shared" si="355"/>
        <v>4833</v>
      </c>
      <c r="DG159" s="2">
        <f t="shared" si="356"/>
        <v>13568.465744000003</v>
      </c>
      <c r="DH159" s="2">
        <f t="shared" si="380"/>
        <v>156306.40311137104</v>
      </c>
    </row>
    <row r="160" spans="2:112">
      <c r="B160" s="228"/>
      <c r="C160" s="1">
        <f t="shared" si="321"/>
        <v>123</v>
      </c>
      <c r="D160" s="2">
        <f t="shared" si="259"/>
        <v>156053.7216450375</v>
      </c>
      <c r="E160" s="2">
        <f t="shared" si="260"/>
        <v>143927.41401625177</v>
      </c>
      <c r="F160" s="2">
        <f t="shared" si="261"/>
        <v>156145.78066999992</v>
      </c>
      <c r="G160" s="2">
        <f t="shared" si="262"/>
        <v>142781.92516999994</v>
      </c>
      <c r="H160" s="2">
        <f t="shared" si="263"/>
        <v>161987.50716977639</v>
      </c>
      <c r="I160" s="2">
        <f t="shared" si="264"/>
        <v>148123.1071697764</v>
      </c>
      <c r="J160" s="2">
        <f t="shared" si="322"/>
        <v>142240.78259684265</v>
      </c>
      <c r="K160" s="2">
        <f t="shared" si="323"/>
        <v>132727.40919092001</v>
      </c>
      <c r="W160" s="1">
        <f t="shared" si="357"/>
        <v>142</v>
      </c>
      <c r="X160" s="2">
        <f t="shared" si="330"/>
        <v>138656.86670313671</v>
      </c>
      <c r="Y160" s="8">
        <f t="shared" si="383"/>
        <v>4.1300000000000003E-2</v>
      </c>
      <c r="Z160" s="5">
        <f t="shared" si="358"/>
        <v>1486</v>
      </c>
      <c r="AA160" s="2">
        <f t="shared" si="359"/>
        <v>148451.4</v>
      </c>
      <c r="AB160" s="2">
        <f t="shared" si="360"/>
        <v>148600</v>
      </c>
      <c r="AC160" s="2">
        <f t="shared" si="361"/>
        <v>162741.11035</v>
      </c>
      <c r="AD160" s="8">
        <f t="shared" si="331"/>
        <v>4.65E-2</v>
      </c>
      <c r="AE160" s="2">
        <f t="shared" si="332"/>
        <v>169047.32837606251</v>
      </c>
      <c r="AF160" s="2" t="str">
        <f t="shared" si="333"/>
        <v>nie</v>
      </c>
      <c r="AG160" s="2">
        <f t="shared" si="334"/>
        <v>1486</v>
      </c>
      <c r="AH160" s="1">
        <f t="shared" si="386"/>
        <v>0</v>
      </c>
      <c r="AI160" s="1">
        <f t="shared" si="324"/>
        <v>0</v>
      </c>
      <c r="AJ160" s="1">
        <f t="shared" si="381"/>
        <v>0</v>
      </c>
      <c r="AK160" s="1">
        <f t="shared" si="319"/>
        <v>0</v>
      </c>
      <c r="AL160" s="2">
        <f t="shared" ref="AL160:AL162" si="392">AH160*100</f>
        <v>0</v>
      </c>
      <c r="AM160" s="8">
        <f t="shared" si="313"/>
        <v>4.65E-2</v>
      </c>
      <c r="AN160" s="2">
        <f t="shared" ref="AN160:AN162" si="393">AL160*(1+AM160*IF(MOD($W160,12)&lt;&gt;0,MOD($W160,12),12)/12)</f>
        <v>0</v>
      </c>
      <c r="AO160" s="2">
        <f t="shared" si="387"/>
        <v>0</v>
      </c>
      <c r="AP160" s="2">
        <f t="shared" si="272"/>
        <v>0</v>
      </c>
      <c r="AQ160" s="8">
        <f t="shared" si="325"/>
        <v>4.1300000000000003E-2</v>
      </c>
      <c r="AR160" s="2">
        <f t="shared" si="267"/>
        <v>0</v>
      </c>
      <c r="AS160" s="2">
        <f t="shared" si="326"/>
        <v>0</v>
      </c>
      <c r="AT160" s="2">
        <f t="shared" si="362"/>
        <v>0</v>
      </c>
      <c r="AU160" s="2">
        <f t="shared" ref="AU160:AU161" si="394">IF(MOD($W160,12)=0,AN160-AL160+AR160-AP160+AK160*100,0)</f>
        <v>0</v>
      </c>
      <c r="AV160" s="2">
        <f t="shared" si="388"/>
        <v>68.750853477515705</v>
      </c>
      <c r="AW160" s="1">
        <f t="shared" si="384"/>
        <v>0</v>
      </c>
      <c r="AX160" s="2">
        <f t="shared" si="335"/>
        <v>68.750853477515705</v>
      </c>
      <c r="AY160" s="1">
        <f t="shared" si="389"/>
        <v>0</v>
      </c>
      <c r="AZ160" s="2">
        <f t="shared" si="363"/>
        <v>68.750853477515705</v>
      </c>
      <c r="BA160" s="2">
        <f t="shared" ref="BA160:BA162" si="395">AE160+AN160+AR160+AZ159</f>
        <v>169116.07922954002</v>
      </c>
      <c r="BB160" s="2">
        <f t="shared" si="336"/>
        <v>0</v>
      </c>
      <c r="BC160" s="2">
        <f t="shared" si="364"/>
        <v>1592.5441571434726</v>
      </c>
      <c r="BD160" s="2">
        <f t="shared" si="337"/>
        <v>167523.53507239654</v>
      </c>
      <c r="BE160" s="2">
        <f t="shared" si="365"/>
        <v>1486</v>
      </c>
      <c r="BF160" s="2">
        <f t="shared" si="338"/>
        <v>12849.715053612603</v>
      </c>
      <c r="BG160" s="2">
        <f t="shared" si="339"/>
        <v>153187.82001878394</v>
      </c>
      <c r="BI160" s="8">
        <f t="shared" si="315"/>
        <v>2.8000000000000001E-2</v>
      </c>
      <c r="BJ160" s="5">
        <f t="shared" si="366"/>
        <v>1089</v>
      </c>
      <c r="BK160" s="2">
        <f t="shared" si="367"/>
        <v>108791.1</v>
      </c>
      <c r="BL160" s="2">
        <f t="shared" si="368"/>
        <v>108900</v>
      </c>
      <c r="BM160" s="2">
        <f t="shared" si="340"/>
        <v>108900</v>
      </c>
      <c r="BN160" s="8">
        <f t="shared" si="341"/>
        <v>4.2999999999999997E-2</v>
      </c>
      <c r="BO160" s="2">
        <f t="shared" si="342"/>
        <v>112802.25</v>
      </c>
      <c r="BP160" s="2" t="str">
        <f t="shared" si="343"/>
        <v>nie</v>
      </c>
      <c r="BQ160" s="2">
        <f t="shared" si="344"/>
        <v>2178</v>
      </c>
      <c r="BR160" s="1">
        <f t="shared" si="316"/>
        <v>172</v>
      </c>
      <c r="BS160" s="1">
        <f t="shared" si="327"/>
        <v>164</v>
      </c>
      <c r="BT160" s="1">
        <f t="shared" si="382"/>
        <v>178</v>
      </c>
      <c r="BU160" s="1">
        <f t="shared" si="320"/>
        <v>23</v>
      </c>
      <c r="BV160" s="2">
        <f t="shared" ref="BV160:BV162" si="396">BR160*100</f>
        <v>17200</v>
      </c>
      <c r="BW160" s="8">
        <f t="shared" si="317"/>
        <v>0.05</v>
      </c>
      <c r="BX160" s="2">
        <f t="shared" ref="BX160:BX162" si="397">BV160*(1+BW160*IF(MOD($W160,12)&lt;&gt;0,MOD($W160,12),12)/12)</f>
        <v>17916.666666666668</v>
      </c>
      <c r="BY160" s="2">
        <f t="shared" si="390"/>
        <v>344</v>
      </c>
      <c r="BZ160" s="2">
        <f t="shared" si="273"/>
        <v>36500</v>
      </c>
      <c r="CA160" s="8">
        <f t="shared" si="328"/>
        <v>4.2999999999999997E-2</v>
      </c>
      <c r="CB160" s="2">
        <f t="shared" ref="CB160:CB162" si="398">BZ160*(1+CA160*IF(MOD($W160,12)&lt;&gt;0,MOD($W160,12),12)/12)</f>
        <v>37807.916666666672</v>
      </c>
      <c r="CC160" s="2">
        <f t="shared" si="329"/>
        <v>730</v>
      </c>
      <c r="CD160" s="2">
        <f t="shared" si="345"/>
        <v>0</v>
      </c>
      <c r="CE160" s="2">
        <f t="shared" ref="CE160:CE161" si="399">IF(MOD($W160,12)=0,BX160-BV160+CB160-BZ160+BU160*100,0)</f>
        <v>0</v>
      </c>
      <c r="CF160" s="2">
        <f t="shared" ref="CF160:CF161" si="400">CJ159+CD160+CE160</f>
        <v>97.499999999918145</v>
      </c>
      <c r="CG160" s="1">
        <f t="shared" si="385"/>
        <v>0</v>
      </c>
      <c r="CH160" s="2">
        <f t="shared" si="346"/>
        <v>97.499999999918145</v>
      </c>
      <c r="CI160" s="1">
        <f t="shared" si="391"/>
        <v>0</v>
      </c>
      <c r="CJ160" s="2">
        <f t="shared" ref="CJ160:CJ162" si="401">CH160-CI160*100</f>
        <v>97.499999999918145</v>
      </c>
      <c r="CK160" s="2">
        <f t="shared" ref="CK160:CK162" si="402">BO160+BX160+CB160+CJ159</f>
        <v>168624.33333333326</v>
      </c>
      <c r="CL160" s="2">
        <f t="shared" si="347"/>
        <v>0</v>
      </c>
      <c r="CM160" s="2">
        <f t="shared" si="369"/>
        <v>1593.3564299999991</v>
      </c>
      <c r="CN160" s="2">
        <f t="shared" si="348"/>
        <v>167030.97690333327</v>
      </c>
      <c r="CO160" s="2">
        <f t="shared" si="370"/>
        <v>3252</v>
      </c>
      <c r="CP160" s="2">
        <f t="shared" si="349"/>
        <v>12420.743333333319</v>
      </c>
      <c r="CQ160" s="2">
        <f t="shared" si="350"/>
        <v>151358.23356999995</v>
      </c>
      <c r="CS160" s="5">
        <f t="shared" si="371"/>
        <v>1611</v>
      </c>
      <c r="CT160" s="2">
        <f t="shared" si="372"/>
        <v>160938.90000000002</v>
      </c>
      <c r="CU160" s="2">
        <f t="shared" si="373"/>
        <v>161100</v>
      </c>
      <c r="CV160" s="2">
        <f t="shared" si="374"/>
        <v>170121.60000000001</v>
      </c>
      <c r="CW160" s="8">
        <f t="shared" si="351"/>
        <v>4.8000000000000001E-2</v>
      </c>
      <c r="CX160" s="2">
        <f t="shared" si="352"/>
        <v>176926.46400000001</v>
      </c>
      <c r="CY160" s="2" t="str">
        <f t="shared" si="353"/>
        <v>nie</v>
      </c>
      <c r="CZ160" s="2">
        <f t="shared" si="375"/>
        <v>0</v>
      </c>
      <c r="DA160" s="2">
        <f t="shared" si="376"/>
        <v>94.314405359298689</v>
      </c>
      <c r="DB160" s="2">
        <f t="shared" si="377"/>
        <v>177020.77840535931</v>
      </c>
      <c r="DC160" s="2">
        <f t="shared" si="354"/>
        <v>0</v>
      </c>
      <c r="DD160" s="2">
        <f t="shared" si="378"/>
        <v>1632.4231499882615</v>
      </c>
      <c r="DE160" s="2">
        <f t="shared" si="379"/>
        <v>175388.35525537105</v>
      </c>
      <c r="DF160" s="2">
        <f t="shared" si="355"/>
        <v>4833</v>
      </c>
      <c r="DG160" s="2">
        <f t="shared" si="356"/>
        <v>13697.758160000001</v>
      </c>
      <c r="DH160" s="2">
        <f t="shared" si="380"/>
        <v>156857.59709537105</v>
      </c>
    </row>
    <row r="161" spans="2:112">
      <c r="B161" s="228"/>
      <c r="C161" s="1">
        <f t="shared" si="321"/>
        <v>124</v>
      </c>
      <c r="D161" s="2">
        <f t="shared" si="259"/>
        <v>156656.6666742042</v>
      </c>
      <c r="E161" s="2">
        <f t="shared" si="260"/>
        <v>144415.79948987681</v>
      </c>
      <c r="F161" s="2">
        <f t="shared" si="261"/>
        <v>156713.63066999993</v>
      </c>
      <c r="G161" s="2">
        <f t="shared" si="262"/>
        <v>143186.53366999992</v>
      </c>
      <c r="H161" s="2">
        <f t="shared" si="263"/>
        <v>162739.30716977638</v>
      </c>
      <c r="I161" s="2">
        <f t="shared" si="264"/>
        <v>148123.1071697764</v>
      </c>
      <c r="J161" s="2">
        <f t="shared" si="322"/>
        <v>142648.83584191735</v>
      </c>
      <c r="K161" s="2">
        <f t="shared" si="323"/>
        <v>133034.95366769476</v>
      </c>
      <c r="W161" s="1">
        <f t="shared" si="357"/>
        <v>143</v>
      </c>
      <c r="X161" s="2">
        <f t="shared" si="330"/>
        <v>138973.02242526112</v>
      </c>
      <c r="Y161" s="8">
        <f t="shared" si="383"/>
        <v>4.1300000000000003E-2</v>
      </c>
      <c r="Z161" s="5">
        <f t="shared" si="358"/>
        <v>1486</v>
      </c>
      <c r="AA161" s="2">
        <f t="shared" si="359"/>
        <v>148451.4</v>
      </c>
      <c r="AB161" s="2">
        <f t="shared" si="360"/>
        <v>148600</v>
      </c>
      <c r="AC161" s="2">
        <f t="shared" si="361"/>
        <v>162741.11035</v>
      </c>
      <c r="AD161" s="8">
        <f t="shared" si="331"/>
        <v>4.65E-2</v>
      </c>
      <c r="AE161" s="2">
        <f t="shared" si="332"/>
        <v>169677.95017866875</v>
      </c>
      <c r="AF161" s="2" t="str">
        <f t="shared" si="333"/>
        <v>nie</v>
      </c>
      <c r="AG161" s="2">
        <f t="shared" si="334"/>
        <v>1486</v>
      </c>
      <c r="AH161" s="1">
        <f t="shared" si="386"/>
        <v>0</v>
      </c>
      <c r="AI161" s="1">
        <f t="shared" si="324"/>
        <v>0</v>
      </c>
      <c r="AJ161" s="1">
        <f t="shared" si="381"/>
        <v>0</v>
      </c>
      <c r="AK161" s="1">
        <f t="shared" si="319"/>
        <v>0</v>
      </c>
      <c r="AL161" s="2">
        <f t="shared" si="392"/>
        <v>0</v>
      </c>
      <c r="AM161" s="8">
        <f t="shared" si="313"/>
        <v>4.65E-2</v>
      </c>
      <c r="AN161" s="2">
        <f t="shared" si="393"/>
        <v>0</v>
      </c>
      <c r="AO161" s="2">
        <f t="shared" si="387"/>
        <v>0</v>
      </c>
      <c r="AP161" s="2">
        <f t="shared" si="272"/>
        <v>0</v>
      </c>
      <c r="AQ161" s="8">
        <f t="shared" si="325"/>
        <v>4.1300000000000003E-2</v>
      </c>
      <c r="AR161" s="2">
        <f t="shared" si="267"/>
        <v>0</v>
      </c>
      <c r="AS161" s="2">
        <f t="shared" si="326"/>
        <v>0</v>
      </c>
      <c r="AT161" s="2">
        <f t="shared" si="362"/>
        <v>0</v>
      </c>
      <c r="AU161" s="2">
        <f t="shared" si="394"/>
        <v>0</v>
      </c>
      <c r="AV161" s="2">
        <f t="shared" si="388"/>
        <v>68.750853477515705</v>
      </c>
      <c r="AW161" s="1">
        <f t="shared" si="384"/>
        <v>0</v>
      </c>
      <c r="AX161" s="2">
        <f t="shared" si="335"/>
        <v>68.750853477515705</v>
      </c>
      <c r="AY161" s="1">
        <f t="shared" si="389"/>
        <v>0</v>
      </c>
      <c r="AZ161" s="2">
        <f t="shared" si="363"/>
        <v>68.750853477515705</v>
      </c>
      <c r="BA161" s="2">
        <f t="shared" si="395"/>
        <v>169746.70103214626</v>
      </c>
      <c r="BB161" s="2">
        <f t="shared" si="336"/>
        <v>0</v>
      </c>
      <c r="BC161" s="2">
        <f t="shared" si="364"/>
        <v>1592.5441571434726</v>
      </c>
      <c r="BD161" s="2">
        <f t="shared" si="337"/>
        <v>168154.15687500278</v>
      </c>
      <c r="BE161" s="2">
        <f t="shared" si="365"/>
        <v>1486</v>
      </c>
      <c r="BF161" s="2">
        <f t="shared" si="338"/>
        <v>12969.53319610779</v>
      </c>
      <c r="BG161" s="2">
        <f t="shared" si="339"/>
        <v>153698.623678895</v>
      </c>
      <c r="BI161" s="8">
        <f t="shared" si="315"/>
        <v>2.8000000000000001E-2</v>
      </c>
      <c r="BJ161" s="5">
        <f t="shared" si="366"/>
        <v>1089</v>
      </c>
      <c r="BK161" s="2">
        <f t="shared" si="367"/>
        <v>108791.1</v>
      </c>
      <c r="BL161" s="2">
        <f t="shared" si="368"/>
        <v>108900</v>
      </c>
      <c r="BM161" s="2">
        <f t="shared" si="340"/>
        <v>108900</v>
      </c>
      <c r="BN161" s="8">
        <f t="shared" si="341"/>
        <v>4.2999999999999997E-2</v>
      </c>
      <c r="BO161" s="2">
        <f t="shared" si="342"/>
        <v>113192.47500000001</v>
      </c>
      <c r="BP161" s="2" t="str">
        <f t="shared" si="343"/>
        <v>nie</v>
      </c>
      <c r="BQ161" s="2">
        <f t="shared" si="344"/>
        <v>2178</v>
      </c>
      <c r="BR161" s="1">
        <f t="shared" si="316"/>
        <v>172</v>
      </c>
      <c r="BS161" s="1">
        <f t="shared" si="327"/>
        <v>164</v>
      </c>
      <c r="BT161" s="1">
        <f t="shared" si="382"/>
        <v>178</v>
      </c>
      <c r="BU161" s="1">
        <f t="shared" si="320"/>
        <v>23</v>
      </c>
      <c r="BV161" s="2">
        <f t="shared" si="396"/>
        <v>17200</v>
      </c>
      <c r="BW161" s="8">
        <f t="shared" si="317"/>
        <v>0.05</v>
      </c>
      <c r="BX161" s="2">
        <f t="shared" si="397"/>
        <v>17988.333333333336</v>
      </c>
      <c r="BY161" s="2">
        <f t="shared" si="390"/>
        <v>344</v>
      </c>
      <c r="BZ161" s="2">
        <f t="shared" si="273"/>
        <v>36500</v>
      </c>
      <c r="CA161" s="8">
        <f t="shared" si="328"/>
        <v>4.2999999999999997E-2</v>
      </c>
      <c r="CB161" s="2">
        <f t="shared" si="398"/>
        <v>37938.708333333336</v>
      </c>
      <c r="CC161" s="2">
        <f t="shared" si="329"/>
        <v>730</v>
      </c>
      <c r="CD161" s="2">
        <f t="shared" si="345"/>
        <v>0</v>
      </c>
      <c r="CE161" s="2">
        <f t="shared" si="399"/>
        <v>0</v>
      </c>
      <c r="CF161" s="2">
        <f t="shared" si="400"/>
        <v>97.499999999918145</v>
      </c>
      <c r="CG161" s="1">
        <f t="shared" si="385"/>
        <v>0</v>
      </c>
      <c r="CH161" s="2">
        <f t="shared" si="346"/>
        <v>97.499999999918145</v>
      </c>
      <c r="CI161" s="1">
        <f t="shared" si="391"/>
        <v>0</v>
      </c>
      <c r="CJ161" s="2">
        <f t="shared" si="401"/>
        <v>97.499999999918145</v>
      </c>
      <c r="CK161" s="2">
        <f t="shared" si="402"/>
        <v>169217.0166666666</v>
      </c>
      <c r="CL161" s="2">
        <f t="shared" si="347"/>
        <v>0</v>
      </c>
      <c r="CM161" s="2">
        <f t="shared" si="369"/>
        <v>1593.3564299999991</v>
      </c>
      <c r="CN161" s="2">
        <f t="shared" si="348"/>
        <v>167623.66023666662</v>
      </c>
      <c r="CO161" s="2">
        <f t="shared" si="370"/>
        <v>3252</v>
      </c>
      <c r="CP161" s="2">
        <f t="shared" si="349"/>
        <v>12533.353166666655</v>
      </c>
      <c r="CQ161" s="2">
        <f t="shared" si="350"/>
        <v>151838.30706999995</v>
      </c>
      <c r="CS161" s="5">
        <f t="shared" si="371"/>
        <v>1611</v>
      </c>
      <c r="CT161" s="2">
        <f t="shared" si="372"/>
        <v>160938.90000000002</v>
      </c>
      <c r="CU161" s="2">
        <f t="shared" si="373"/>
        <v>161100</v>
      </c>
      <c r="CV161" s="2">
        <f t="shared" si="374"/>
        <v>170121.60000000001</v>
      </c>
      <c r="CW161" s="8">
        <f t="shared" si="351"/>
        <v>4.8000000000000001E-2</v>
      </c>
      <c r="CX161" s="2">
        <f t="shared" si="352"/>
        <v>177606.9504</v>
      </c>
      <c r="CY161" s="2" t="str">
        <f t="shared" si="353"/>
        <v>nie</v>
      </c>
      <c r="CZ161" s="2">
        <f t="shared" si="375"/>
        <v>0</v>
      </c>
      <c r="DA161" s="2">
        <f t="shared" si="376"/>
        <v>94.314405359298689</v>
      </c>
      <c r="DB161" s="2">
        <f t="shared" si="377"/>
        <v>177701.2648053593</v>
      </c>
      <c r="DC161" s="2">
        <f t="shared" si="354"/>
        <v>0</v>
      </c>
      <c r="DD161" s="2">
        <f t="shared" si="378"/>
        <v>1632.4231499882615</v>
      </c>
      <c r="DE161" s="2">
        <f t="shared" si="379"/>
        <v>176068.84165537104</v>
      </c>
      <c r="DF161" s="2">
        <f t="shared" si="355"/>
        <v>4833</v>
      </c>
      <c r="DG161" s="2">
        <f t="shared" si="356"/>
        <v>13827.050576</v>
      </c>
      <c r="DH161" s="2">
        <f t="shared" si="380"/>
        <v>157408.79107937103</v>
      </c>
    </row>
    <row r="162" spans="2:112">
      <c r="B162" s="228"/>
      <c r="C162" s="1">
        <f t="shared" si="321"/>
        <v>125</v>
      </c>
      <c r="D162" s="2">
        <f t="shared" si="259"/>
        <v>157259.61170337081</v>
      </c>
      <c r="E162" s="2">
        <f t="shared" si="260"/>
        <v>144904.18496350176</v>
      </c>
      <c r="F162" s="2">
        <f t="shared" si="261"/>
        <v>157281.48066999993</v>
      </c>
      <c r="G162" s="2">
        <f t="shared" si="262"/>
        <v>143602.21216999996</v>
      </c>
      <c r="H162" s="2">
        <f t="shared" si="263"/>
        <v>163491.10716977643</v>
      </c>
      <c r="I162" s="2">
        <f t="shared" si="264"/>
        <v>148123.1071697764</v>
      </c>
      <c r="J162" s="2">
        <f t="shared" si="322"/>
        <v>143058.05968973885</v>
      </c>
      <c r="K162" s="2">
        <f t="shared" si="323"/>
        <v>133342.49814446949</v>
      </c>
      <c r="W162" s="1">
        <f t="shared" si="357"/>
        <v>144</v>
      </c>
      <c r="X162" s="2">
        <f t="shared" si="330"/>
        <v>139289.17814738554</v>
      </c>
      <c r="Y162" s="8">
        <f t="shared" si="383"/>
        <v>4.1300000000000003E-2</v>
      </c>
      <c r="Z162" s="5">
        <f t="shared" si="358"/>
        <v>1486</v>
      </c>
      <c r="AA162" s="2">
        <f t="shared" si="359"/>
        <v>148451.4</v>
      </c>
      <c r="AB162" s="2">
        <f t="shared" si="360"/>
        <v>148600</v>
      </c>
      <c r="AC162" s="2">
        <f t="shared" si="361"/>
        <v>162741.11035</v>
      </c>
      <c r="AD162" s="8">
        <f t="shared" si="331"/>
        <v>4.1300000000000003E-2</v>
      </c>
      <c r="AE162" s="2">
        <f t="shared" si="332"/>
        <v>169462.31820745501</v>
      </c>
      <c r="AF162" s="2" t="str">
        <f t="shared" si="333"/>
        <v>tak</v>
      </c>
      <c r="AG162" s="2">
        <f t="shared" si="334"/>
        <v>0</v>
      </c>
      <c r="AH162" s="1">
        <f t="shared" si="386"/>
        <v>0</v>
      </c>
      <c r="AI162" s="1">
        <f t="shared" si="324"/>
        <v>0</v>
      </c>
      <c r="AJ162" s="1">
        <f t="shared" si="381"/>
        <v>0</v>
      </c>
      <c r="AK162" s="1">
        <f t="shared" si="319"/>
        <v>0</v>
      </c>
      <c r="AL162" s="2">
        <f t="shared" si="392"/>
        <v>0</v>
      </c>
      <c r="AM162" s="8">
        <f t="shared" si="313"/>
        <v>4.65E-2</v>
      </c>
      <c r="AN162" s="2">
        <f t="shared" si="393"/>
        <v>0</v>
      </c>
      <c r="AO162" s="2">
        <f t="shared" si="387"/>
        <v>0</v>
      </c>
      <c r="AP162" s="2">
        <f t="shared" si="272"/>
        <v>0</v>
      </c>
      <c r="AQ162" s="8">
        <f t="shared" si="325"/>
        <v>4.1300000000000003E-2</v>
      </c>
      <c r="AR162" s="2">
        <f t="shared" si="267"/>
        <v>0</v>
      </c>
      <c r="AS162" s="2">
        <f t="shared" si="326"/>
        <v>0</v>
      </c>
      <c r="AT162" s="6"/>
      <c r="AU162" s="6"/>
      <c r="AV162" s="6"/>
      <c r="AW162" s="1">
        <f t="shared" si="384"/>
        <v>0</v>
      </c>
      <c r="AX162" s="2">
        <f t="shared" si="335"/>
        <v>0</v>
      </c>
      <c r="AY162" s="1">
        <f t="shared" si="389"/>
        <v>0</v>
      </c>
      <c r="AZ162" s="2">
        <f t="shared" si="363"/>
        <v>0</v>
      </c>
      <c r="BA162" s="2">
        <f t="shared" si="395"/>
        <v>169531.06906093252</v>
      </c>
      <c r="BB162" s="2">
        <f t="shared" si="336"/>
        <v>169.53106906093254</v>
      </c>
      <c r="BC162" s="2">
        <f t="shared" si="364"/>
        <v>1762.0752262044052</v>
      </c>
      <c r="BD162" s="2">
        <f t="shared" si="337"/>
        <v>167768.99383472811</v>
      </c>
      <c r="BE162" s="2">
        <f t="shared" si="365"/>
        <v>0</v>
      </c>
      <c r="BF162" s="2">
        <f t="shared" si="338"/>
        <v>13210.903121577179</v>
      </c>
      <c r="BG162" s="2">
        <f t="shared" si="339"/>
        <v>154558.09071315094</v>
      </c>
      <c r="BI162" s="8">
        <f t="shared" si="315"/>
        <v>2.8000000000000001E-2</v>
      </c>
      <c r="BJ162" s="5">
        <f t="shared" si="366"/>
        <v>1089</v>
      </c>
      <c r="BK162" s="2">
        <f t="shared" si="367"/>
        <v>108791.1</v>
      </c>
      <c r="BL162" s="2">
        <f t="shared" si="368"/>
        <v>108900</v>
      </c>
      <c r="BM162" s="2">
        <f t="shared" si="340"/>
        <v>108900</v>
      </c>
      <c r="BN162" s="8">
        <f t="shared" si="341"/>
        <v>4.2999999999999997E-2</v>
      </c>
      <c r="BO162" s="2">
        <f t="shared" si="342"/>
        <v>113582.7</v>
      </c>
      <c r="BP162" s="2" t="str">
        <f t="shared" si="343"/>
        <v>tak</v>
      </c>
      <c r="BQ162" s="2">
        <f t="shared" si="344"/>
        <v>0</v>
      </c>
      <c r="BR162" s="1">
        <f t="shared" si="316"/>
        <v>172</v>
      </c>
      <c r="BS162" s="1">
        <f t="shared" si="327"/>
        <v>164</v>
      </c>
      <c r="BT162" s="1">
        <f t="shared" si="382"/>
        <v>178</v>
      </c>
      <c r="BU162" s="1">
        <f t="shared" si="320"/>
        <v>23</v>
      </c>
      <c r="BV162" s="2">
        <f t="shared" si="396"/>
        <v>17200</v>
      </c>
      <c r="BW162" s="8">
        <f t="shared" si="317"/>
        <v>0.05</v>
      </c>
      <c r="BX162" s="2">
        <f t="shared" si="397"/>
        <v>18060</v>
      </c>
      <c r="BY162" s="2">
        <f t="shared" si="390"/>
        <v>344</v>
      </c>
      <c r="BZ162" s="2">
        <f t="shared" si="273"/>
        <v>36500</v>
      </c>
      <c r="CA162" s="8">
        <f t="shared" si="328"/>
        <v>4.2999999999999997E-2</v>
      </c>
      <c r="CB162" s="2">
        <f t="shared" si="398"/>
        <v>38069.5</v>
      </c>
      <c r="CC162" s="2">
        <f t="shared" si="329"/>
        <v>730</v>
      </c>
      <c r="CD162" s="6"/>
      <c r="CE162" s="6"/>
      <c r="CF162" s="6"/>
      <c r="CG162" s="1">
        <f t="shared" si="385"/>
        <v>0</v>
      </c>
      <c r="CH162" s="2">
        <f t="shared" si="346"/>
        <v>0</v>
      </c>
      <c r="CI162" s="1">
        <f t="shared" si="391"/>
        <v>0</v>
      </c>
      <c r="CJ162" s="2">
        <f t="shared" si="401"/>
        <v>0</v>
      </c>
      <c r="CK162" s="2">
        <f t="shared" si="402"/>
        <v>169809.69999999992</v>
      </c>
      <c r="CL162" s="2">
        <f t="shared" si="347"/>
        <v>169.80969999999994</v>
      </c>
      <c r="CM162" s="2">
        <f t="shared" si="369"/>
        <v>1763.1661299999992</v>
      </c>
      <c r="CN162" s="2">
        <f t="shared" si="348"/>
        <v>168046.53386999993</v>
      </c>
      <c r="CO162" s="2">
        <f t="shared" si="370"/>
        <v>1074</v>
      </c>
      <c r="CP162" s="2">
        <f t="shared" si="349"/>
        <v>13059.782999999985</v>
      </c>
      <c r="CQ162" s="2">
        <f t="shared" si="350"/>
        <v>153912.75086999993</v>
      </c>
      <c r="CS162" s="5">
        <f t="shared" si="371"/>
        <v>1611</v>
      </c>
      <c r="CT162" s="2">
        <f t="shared" si="372"/>
        <v>160938.90000000002</v>
      </c>
      <c r="CU162" s="2">
        <f t="shared" si="373"/>
        <v>161100</v>
      </c>
      <c r="CV162" s="2">
        <f t="shared" si="374"/>
        <v>170121.60000000001</v>
      </c>
      <c r="CW162" s="8">
        <f t="shared" si="351"/>
        <v>4.8000000000000001E-2</v>
      </c>
      <c r="CX162" s="2">
        <f t="shared" si="352"/>
        <v>178287.43680000002</v>
      </c>
      <c r="CY162" s="2" t="str">
        <f t="shared" si="353"/>
        <v>nie</v>
      </c>
      <c r="CZ162" s="2">
        <f t="shared" si="375"/>
        <v>0</v>
      </c>
      <c r="DA162" s="2">
        <f t="shared" si="376"/>
        <v>94.314405359298689</v>
      </c>
      <c r="DB162" s="2">
        <f t="shared" si="377"/>
        <v>178381.75120535932</v>
      </c>
      <c r="DC162" s="2">
        <f t="shared" si="354"/>
        <v>178.38175120535934</v>
      </c>
      <c r="DD162" s="2">
        <f t="shared" si="378"/>
        <v>1810.8049011936207</v>
      </c>
      <c r="DE162" s="2">
        <f t="shared" si="379"/>
        <v>176570.9463041657</v>
      </c>
      <c r="DF162" s="2">
        <f t="shared" si="355"/>
        <v>4833</v>
      </c>
      <c r="DG162" s="2">
        <f t="shared" si="356"/>
        <v>13956.342992000005</v>
      </c>
      <c r="DH162" s="2">
        <f t="shared" si="380"/>
        <v>157781.60331216571</v>
      </c>
    </row>
    <row r="163" spans="2:112">
      <c r="B163" s="228"/>
      <c r="C163" s="1">
        <f t="shared" si="321"/>
        <v>126</v>
      </c>
      <c r="D163" s="2">
        <f t="shared" si="259"/>
        <v>157862.55673253752</v>
      </c>
      <c r="E163" s="2">
        <f t="shared" si="260"/>
        <v>145392.57043712679</v>
      </c>
      <c r="F163" s="2">
        <f t="shared" si="261"/>
        <v>157849.33066999994</v>
      </c>
      <c r="G163" s="2">
        <f t="shared" si="262"/>
        <v>144062.17066999996</v>
      </c>
      <c r="H163" s="2">
        <f t="shared" si="263"/>
        <v>164242.90716977642</v>
      </c>
      <c r="I163" s="2">
        <f t="shared" si="264"/>
        <v>148123.1071697764</v>
      </c>
      <c r="J163" s="2">
        <f t="shared" si="322"/>
        <v>143468.45749847378</v>
      </c>
      <c r="K163" s="2">
        <f t="shared" si="323"/>
        <v>133650.04262124421</v>
      </c>
    </row>
    <row r="164" spans="2:112">
      <c r="B164" s="228"/>
      <c r="C164" s="1">
        <f t="shared" si="321"/>
        <v>127</v>
      </c>
      <c r="D164" s="2">
        <f t="shared" si="259"/>
        <v>158465.50176170419</v>
      </c>
      <c r="E164" s="2">
        <f t="shared" si="260"/>
        <v>145880.9559107518</v>
      </c>
      <c r="F164" s="2">
        <f t="shared" si="261"/>
        <v>158417.18066999991</v>
      </c>
      <c r="G164" s="2">
        <f t="shared" si="262"/>
        <v>144522.12916999994</v>
      </c>
      <c r="H164" s="2">
        <f t="shared" si="263"/>
        <v>164994.7071697764</v>
      </c>
      <c r="I164" s="2">
        <f t="shared" si="264"/>
        <v>148471.08316977639</v>
      </c>
      <c r="J164" s="2">
        <f t="shared" si="322"/>
        <v>143880.03263592251</v>
      </c>
      <c r="K164" s="2">
        <f t="shared" si="323"/>
        <v>133957.58709801894</v>
      </c>
    </row>
    <row r="165" spans="2:112">
      <c r="B165" s="228"/>
      <c r="C165" s="1">
        <f t="shared" si="321"/>
        <v>128</v>
      </c>
      <c r="D165" s="2">
        <f t="shared" si="259"/>
        <v>159068.44679087083</v>
      </c>
      <c r="E165" s="2">
        <f t="shared" si="260"/>
        <v>146369.34138437678</v>
      </c>
      <c r="F165" s="2">
        <f t="shared" si="261"/>
        <v>158985.03066999992</v>
      </c>
      <c r="G165" s="2">
        <f t="shared" si="262"/>
        <v>144982.08766999992</v>
      </c>
      <c r="H165" s="2">
        <f t="shared" si="263"/>
        <v>165746.50716977642</v>
      </c>
      <c r="I165" s="2">
        <f t="shared" si="264"/>
        <v>149080.04116977641</v>
      </c>
      <c r="J165" s="2">
        <f t="shared" si="322"/>
        <v>144292.78847954681</v>
      </c>
      <c r="K165" s="2">
        <f t="shared" si="323"/>
        <v>134265.13157479363</v>
      </c>
    </row>
    <row r="166" spans="2:112">
      <c r="B166" s="228"/>
      <c r="C166" s="1">
        <f t="shared" ref="C166:C181" si="403">W147</f>
        <v>129</v>
      </c>
      <c r="D166" s="2">
        <f t="shared" si="259"/>
        <v>159671.3918200375</v>
      </c>
      <c r="E166" s="2">
        <f t="shared" si="260"/>
        <v>146857.72685800178</v>
      </c>
      <c r="F166" s="2">
        <f t="shared" si="261"/>
        <v>159552.88066999993</v>
      </c>
      <c r="G166" s="2">
        <f t="shared" si="262"/>
        <v>145442.04616999993</v>
      </c>
      <c r="H166" s="2">
        <f t="shared" si="263"/>
        <v>166498.30716977641</v>
      </c>
      <c r="I166" s="2">
        <f t="shared" si="264"/>
        <v>149688.99916977642</v>
      </c>
      <c r="J166" s="2">
        <f t="shared" ref="J166:J181" si="404">FV(INDEX(scenariusz_I_konto,MATCH(ROUNDUP(C166/12,0),scenariusz_I_rok,0))/12*(1-podatek_Belki),1,0,-J165,1)</f>
        <v>144706.7284164975</v>
      </c>
      <c r="K166" s="2">
        <f t="shared" ref="K166:K181" si="405">X147</f>
        <v>134572.67605156836</v>
      </c>
    </row>
    <row r="167" spans="2:112">
      <c r="B167" s="228"/>
      <c r="C167" s="1">
        <f t="shared" si="403"/>
        <v>130</v>
      </c>
      <c r="D167" s="2">
        <f t="shared" ref="D167:D181" si="406">BD148</f>
        <v>160274.33684920421</v>
      </c>
      <c r="E167" s="2">
        <f t="shared" ref="E167:E181" si="407">BG148</f>
        <v>147346.11233162682</v>
      </c>
      <c r="F167" s="2">
        <f t="shared" ref="F167:F181" si="408">CN148</f>
        <v>160120.73066999993</v>
      </c>
      <c r="G167" s="2">
        <f t="shared" ref="G167:G181" si="409">CQ148</f>
        <v>145902.00466999994</v>
      </c>
      <c r="H167" s="2">
        <f t="shared" ref="H167:H181" si="410">DE148</f>
        <v>167250.1071697764</v>
      </c>
      <c r="I167" s="2">
        <f t="shared" ref="I167:I181" si="411">DH148</f>
        <v>150297.9571697764</v>
      </c>
      <c r="J167" s="2">
        <f t="shared" si="404"/>
        <v>145121.85584364232</v>
      </c>
      <c r="K167" s="2">
        <f t="shared" si="405"/>
        <v>134880.22052834311</v>
      </c>
    </row>
    <row r="168" spans="2:112">
      <c r="B168" s="229"/>
      <c r="C168" s="1">
        <f t="shared" si="403"/>
        <v>131</v>
      </c>
      <c r="D168" s="2">
        <f t="shared" si="406"/>
        <v>160877.28187837082</v>
      </c>
      <c r="E168" s="2">
        <f t="shared" si="407"/>
        <v>147834.49780525177</v>
      </c>
      <c r="F168" s="2">
        <f t="shared" si="408"/>
        <v>160688.58066999994</v>
      </c>
      <c r="G168" s="2">
        <f t="shared" si="409"/>
        <v>146361.96316999994</v>
      </c>
      <c r="H168" s="2">
        <f t="shared" si="410"/>
        <v>168001.90716977639</v>
      </c>
      <c r="I168" s="2">
        <f t="shared" si="411"/>
        <v>150906.91516977639</v>
      </c>
      <c r="J168" s="2">
        <f t="shared" si="404"/>
        <v>145538.17416759377</v>
      </c>
      <c r="K168" s="2">
        <f t="shared" si="405"/>
        <v>135187.76500511784</v>
      </c>
    </row>
    <row r="169" spans="2:112">
      <c r="B169" s="227">
        <f>ROUNDUP(C170/12,0)</f>
        <v>12</v>
      </c>
      <c r="C169" s="3">
        <f t="shared" si="403"/>
        <v>132</v>
      </c>
      <c r="D169" s="10">
        <f t="shared" si="406"/>
        <v>161317.31704633404</v>
      </c>
      <c r="E169" s="10">
        <f t="shared" si="407"/>
        <v>148159.97341767332</v>
      </c>
      <c r="F169" s="10">
        <f t="shared" si="408"/>
        <v>161093.74356999993</v>
      </c>
      <c r="G169" s="10">
        <f t="shared" si="409"/>
        <v>146659.23456999994</v>
      </c>
      <c r="H169" s="10">
        <f t="shared" si="410"/>
        <v>168583.49125537105</v>
      </c>
      <c r="I169" s="10">
        <f t="shared" si="411"/>
        <v>151345.65725537104</v>
      </c>
      <c r="J169" s="10">
        <f t="shared" si="404"/>
        <v>145955.68680473705</v>
      </c>
      <c r="K169" s="10">
        <f t="shared" si="405"/>
        <v>135495.30948189253</v>
      </c>
    </row>
    <row r="170" spans="2:112">
      <c r="B170" s="228"/>
      <c r="C170" s="1">
        <f t="shared" si="403"/>
        <v>133</v>
      </c>
      <c r="D170" s="2">
        <f t="shared" si="406"/>
        <v>161847.93884894031</v>
      </c>
      <c r="E170" s="2">
        <f t="shared" si="407"/>
        <v>148590.58707778438</v>
      </c>
      <c r="F170" s="2">
        <f t="shared" si="408"/>
        <v>161696.82690333325</v>
      </c>
      <c r="G170" s="2">
        <f t="shared" si="409"/>
        <v>147258.16206999993</v>
      </c>
      <c r="H170" s="2">
        <f t="shared" si="410"/>
        <v>169263.97765537104</v>
      </c>
      <c r="I170" s="2">
        <f t="shared" si="411"/>
        <v>151896.85123937103</v>
      </c>
      <c r="J170" s="2">
        <f t="shared" si="404"/>
        <v>146374.39718125813</v>
      </c>
      <c r="K170" s="2">
        <f t="shared" si="405"/>
        <v>135811.46520401695</v>
      </c>
    </row>
    <row r="171" spans="2:112">
      <c r="B171" s="228"/>
      <c r="C171" s="1">
        <f t="shared" si="403"/>
        <v>134</v>
      </c>
      <c r="D171" s="2">
        <f t="shared" si="406"/>
        <v>162478.56065154652</v>
      </c>
      <c r="E171" s="2">
        <f t="shared" si="407"/>
        <v>149101.39073789542</v>
      </c>
      <c r="F171" s="2">
        <f t="shared" si="408"/>
        <v>162289.5102366666</v>
      </c>
      <c r="G171" s="2">
        <f t="shared" si="409"/>
        <v>147680.18556999994</v>
      </c>
      <c r="H171" s="2">
        <f t="shared" si="410"/>
        <v>169944.46405537103</v>
      </c>
      <c r="I171" s="2">
        <f t="shared" si="411"/>
        <v>152448.04522337104</v>
      </c>
      <c r="J171" s="2">
        <f t="shared" si="404"/>
        <v>146794.30873317187</v>
      </c>
      <c r="K171" s="2">
        <f t="shared" si="405"/>
        <v>136127.62092614136</v>
      </c>
    </row>
    <row r="172" spans="2:112">
      <c r="B172" s="228"/>
      <c r="C172" s="1">
        <f t="shared" si="403"/>
        <v>135</v>
      </c>
      <c r="D172" s="2">
        <f t="shared" si="406"/>
        <v>163109.18245415279</v>
      </c>
      <c r="E172" s="2">
        <f t="shared" si="407"/>
        <v>149612.19439800651</v>
      </c>
      <c r="F172" s="2">
        <f t="shared" si="408"/>
        <v>162882.19356999992</v>
      </c>
      <c r="G172" s="2">
        <f t="shared" si="409"/>
        <v>148102.20906999992</v>
      </c>
      <c r="H172" s="2">
        <f t="shared" si="410"/>
        <v>170624.95045537106</v>
      </c>
      <c r="I172" s="2">
        <f t="shared" si="411"/>
        <v>152999.23920737105</v>
      </c>
      <c r="J172" s="2">
        <f t="shared" si="404"/>
        <v>147215.42490635015</v>
      </c>
      <c r="K172" s="2">
        <f t="shared" si="405"/>
        <v>136443.77664826578</v>
      </c>
    </row>
    <row r="173" spans="2:112">
      <c r="B173" s="228"/>
      <c r="C173" s="1">
        <f t="shared" si="403"/>
        <v>136</v>
      </c>
      <c r="D173" s="2">
        <f t="shared" si="406"/>
        <v>163739.80425675906</v>
      </c>
      <c r="E173" s="2">
        <f t="shared" si="407"/>
        <v>150122.99805811758</v>
      </c>
      <c r="F173" s="2">
        <f t="shared" si="408"/>
        <v>163474.87690333324</v>
      </c>
      <c r="G173" s="2">
        <f t="shared" si="409"/>
        <v>148524.23256999993</v>
      </c>
      <c r="H173" s="2">
        <f t="shared" si="410"/>
        <v>171305.43685537105</v>
      </c>
      <c r="I173" s="2">
        <f t="shared" si="411"/>
        <v>153550.43319137106</v>
      </c>
      <c r="J173" s="2">
        <f t="shared" si="404"/>
        <v>147637.74915655024</v>
      </c>
      <c r="K173" s="2">
        <f t="shared" si="405"/>
        <v>136759.93237039022</v>
      </c>
    </row>
    <row r="174" spans="2:112">
      <c r="B174" s="228"/>
      <c r="C174" s="1">
        <f t="shared" si="403"/>
        <v>137</v>
      </c>
      <c r="D174" s="2">
        <f t="shared" si="406"/>
        <v>164370.42605936527</v>
      </c>
      <c r="E174" s="2">
        <f t="shared" si="407"/>
        <v>150633.80171822861</v>
      </c>
      <c r="F174" s="2">
        <f t="shared" si="408"/>
        <v>164067.56023666656</v>
      </c>
      <c r="G174" s="2">
        <f t="shared" si="409"/>
        <v>148957.8660699999</v>
      </c>
      <c r="H174" s="2">
        <f t="shared" si="410"/>
        <v>171985.92325537105</v>
      </c>
      <c r="I174" s="2">
        <f t="shared" si="411"/>
        <v>154101.62717537105</v>
      </c>
      <c r="J174" s="2">
        <f t="shared" si="404"/>
        <v>148061.2849494431</v>
      </c>
      <c r="K174" s="2">
        <f t="shared" si="405"/>
        <v>137076.0880925146</v>
      </c>
    </row>
    <row r="175" spans="2:112">
      <c r="B175" s="228"/>
      <c r="C175" s="1">
        <f t="shared" si="403"/>
        <v>138</v>
      </c>
      <c r="D175" s="2">
        <f t="shared" si="406"/>
        <v>165001.04786197154</v>
      </c>
      <c r="E175" s="2">
        <f t="shared" si="407"/>
        <v>151144.60537833968</v>
      </c>
      <c r="F175" s="2">
        <f t="shared" si="408"/>
        <v>164660.24356999993</v>
      </c>
      <c r="G175" s="2">
        <f t="shared" si="409"/>
        <v>149437.93956999996</v>
      </c>
      <c r="H175" s="2">
        <f t="shared" si="410"/>
        <v>172666.40965537104</v>
      </c>
      <c r="I175" s="2">
        <f t="shared" si="411"/>
        <v>154652.82115937103</v>
      </c>
      <c r="J175" s="2">
        <f t="shared" si="404"/>
        <v>148486.0357606418</v>
      </c>
      <c r="K175" s="2">
        <f t="shared" si="405"/>
        <v>137392.24381463902</v>
      </c>
    </row>
    <row r="176" spans="2:112">
      <c r="B176" s="228"/>
      <c r="C176" s="1">
        <f t="shared" si="403"/>
        <v>139</v>
      </c>
      <c r="D176" s="2">
        <f t="shared" si="406"/>
        <v>165631.66966457778</v>
      </c>
      <c r="E176" s="2">
        <f t="shared" si="407"/>
        <v>151655.40903845074</v>
      </c>
      <c r="F176" s="2">
        <f t="shared" si="408"/>
        <v>165252.92690333325</v>
      </c>
      <c r="G176" s="2">
        <f t="shared" si="409"/>
        <v>149918.01306999993</v>
      </c>
      <c r="H176" s="2">
        <f t="shared" si="410"/>
        <v>173346.89605537106</v>
      </c>
      <c r="I176" s="2">
        <f t="shared" si="411"/>
        <v>155204.01514337107</v>
      </c>
      <c r="J176" s="2">
        <f t="shared" si="404"/>
        <v>148912.00507573012</v>
      </c>
      <c r="K176" s="2">
        <f t="shared" si="405"/>
        <v>137708.39953676343</v>
      </c>
    </row>
    <row r="177" spans="2:11">
      <c r="B177" s="228"/>
      <c r="C177" s="1">
        <f t="shared" si="403"/>
        <v>140</v>
      </c>
      <c r="D177" s="2">
        <f t="shared" si="406"/>
        <v>166262.29146718403</v>
      </c>
      <c r="E177" s="2">
        <f t="shared" si="407"/>
        <v>152166.21269856181</v>
      </c>
      <c r="F177" s="2">
        <f t="shared" si="408"/>
        <v>165845.6102366666</v>
      </c>
      <c r="G177" s="2">
        <f t="shared" si="409"/>
        <v>150398.08656999996</v>
      </c>
      <c r="H177" s="2">
        <f t="shared" si="410"/>
        <v>174027.38245537106</v>
      </c>
      <c r="I177" s="2">
        <f t="shared" si="411"/>
        <v>155755.20912737105</v>
      </c>
      <c r="J177" s="2">
        <f t="shared" si="404"/>
        <v>149339.19639029112</v>
      </c>
      <c r="K177" s="2">
        <f t="shared" si="405"/>
        <v>138024.55525888785</v>
      </c>
    </row>
    <row r="178" spans="2:11">
      <c r="B178" s="228"/>
      <c r="C178" s="1">
        <f t="shared" si="403"/>
        <v>141</v>
      </c>
      <c r="D178" s="2">
        <f t="shared" si="406"/>
        <v>166892.9132697903</v>
      </c>
      <c r="E178" s="2">
        <f t="shared" si="407"/>
        <v>152677.01635867287</v>
      </c>
      <c r="F178" s="2">
        <f t="shared" si="408"/>
        <v>166438.29356999992</v>
      </c>
      <c r="G178" s="2">
        <f t="shared" si="409"/>
        <v>150878.16006999993</v>
      </c>
      <c r="H178" s="2">
        <f t="shared" si="410"/>
        <v>174707.86885537105</v>
      </c>
      <c r="I178" s="2">
        <f t="shared" si="411"/>
        <v>156306.40311137104</v>
      </c>
      <c r="J178" s="2">
        <f t="shared" si="404"/>
        <v>149767.61320993578</v>
      </c>
      <c r="K178" s="2">
        <f t="shared" si="405"/>
        <v>138340.71098101226</v>
      </c>
    </row>
    <row r="179" spans="2:11">
      <c r="B179" s="228"/>
      <c r="C179" s="1">
        <f t="shared" si="403"/>
        <v>142</v>
      </c>
      <c r="D179" s="2">
        <f t="shared" si="406"/>
        <v>167523.53507239654</v>
      </c>
      <c r="E179" s="2">
        <f t="shared" si="407"/>
        <v>153187.82001878394</v>
      </c>
      <c r="F179" s="2">
        <f t="shared" si="408"/>
        <v>167030.97690333327</v>
      </c>
      <c r="G179" s="2">
        <f t="shared" si="409"/>
        <v>151358.23356999995</v>
      </c>
      <c r="H179" s="2">
        <f t="shared" si="410"/>
        <v>175388.35525537105</v>
      </c>
      <c r="I179" s="2">
        <f t="shared" si="411"/>
        <v>156857.59709537105</v>
      </c>
      <c r="J179" s="2">
        <f t="shared" si="404"/>
        <v>150197.25905033178</v>
      </c>
      <c r="K179" s="2">
        <f t="shared" si="405"/>
        <v>138656.86670313671</v>
      </c>
    </row>
    <row r="180" spans="2:11" s="45" customFormat="1">
      <c r="B180" s="229"/>
      <c r="C180" s="1">
        <f t="shared" si="403"/>
        <v>143</v>
      </c>
      <c r="D180" s="2">
        <f t="shared" si="406"/>
        <v>168154.15687500278</v>
      </c>
      <c r="E180" s="2">
        <f t="shared" si="407"/>
        <v>153698.623678895</v>
      </c>
      <c r="F180" s="2">
        <f t="shared" si="408"/>
        <v>167623.66023666662</v>
      </c>
      <c r="G180" s="2">
        <f t="shared" si="409"/>
        <v>151838.30706999995</v>
      </c>
      <c r="H180" s="2">
        <f t="shared" si="410"/>
        <v>176068.84165537104</v>
      </c>
      <c r="I180" s="2">
        <f t="shared" si="411"/>
        <v>157408.79107937103</v>
      </c>
      <c r="J180" s="2">
        <f t="shared" si="404"/>
        <v>150628.13743723242</v>
      </c>
      <c r="K180" s="2">
        <f t="shared" si="405"/>
        <v>138973.02242526112</v>
      </c>
    </row>
    <row r="181" spans="2:11" s="45" customFormat="1">
      <c r="C181" s="3">
        <f t="shared" si="403"/>
        <v>144</v>
      </c>
      <c r="D181" s="10">
        <f t="shared" si="406"/>
        <v>167768.99383472811</v>
      </c>
      <c r="E181" s="10">
        <f t="shared" si="407"/>
        <v>154558.09071315094</v>
      </c>
      <c r="F181" s="10">
        <f t="shared" si="408"/>
        <v>168046.53386999993</v>
      </c>
      <c r="G181" s="10">
        <f t="shared" si="409"/>
        <v>153912.75086999993</v>
      </c>
      <c r="H181" s="10">
        <f t="shared" si="410"/>
        <v>176570.9463041657</v>
      </c>
      <c r="I181" s="10">
        <f t="shared" si="411"/>
        <v>157781.60331216571</v>
      </c>
      <c r="J181" s="10">
        <f t="shared" si="404"/>
        <v>151060.25190650547</v>
      </c>
      <c r="K181" s="10">
        <f t="shared" si="405"/>
        <v>139289.17814738554</v>
      </c>
    </row>
    <row r="182" spans="2:11" s="45" customFormat="1"/>
    <row r="183" spans="2:11" s="45" customFormat="1"/>
    <row r="184" spans="2:11" s="45" customFormat="1"/>
    <row r="185" spans="2:11" s="45" customFormat="1"/>
    <row r="186" spans="2:11" s="45" customFormat="1"/>
    <row r="187" spans="2:11" s="45" customFormat="1"/>
    <row r="188" spans="2:11" s="45" customFormat="1"/>
    <row r="189" spans="2:11">
      <c r="C189" s="45"/>
      <c r="D189" s="45"/>
      <c r="E189" s="45"/>
      <c r="F189" s="45"/>
      <c r="G189" s="45"/>
      <c r="H189" s="45"/>
      <c r="I189" s="45"/>
      <c r="J189" s="45"/>
      <c r="K189" s="45"/>
    </row>
    <row r="190" spans="2:11">
      <c r="C190" s="45"/>
      <c r="D190" s="45"/>
      <c r="E190" s="45"/>
      <c r="F190" s="45"/>
      <c r="G190" s="45"/>
      <c r="H190" s="45"/>
      <c r="I190" s="45"/>
      <c r="J190" s="45"/>
      <c r="K190" s="45"/>
    </row>
  </sheetData>
  <mergeCells count="14">
    <mergeCell ref="M19:U19"/>
    <mergeCell ref="B37:B48"/>
    <mergeCell ref="B49:B60"/>
    <mergeCell ref="B61:B72"/>
    <mergeCell ref="C19:K19"/>
    <mergeCell ref="B73:B84"/>
    <mergeCell ref="B157:B168"/>
    <mergeCell ref="B169:B180"/>
    <mergeCell ref="B85:B96"/>
    <mergeCell ref="B97:B108"/>
    <mergeCell ref="B109:B120"/>
    <mergeCell ref="B121:B132"/>
    <mergeCell ref="B133:B144"/>
    <mergeCell ref="B145:B156"/>
  </mergeCells>
  <dataValidations count="1">
    <dataValidation type="whole" allowBlank="1" showInputMessage="1" showErrorMessage="1" errorTitle="Uwaga" error="Wpisz liczbę z przedziału od 1 do 144. _x000a__x000a_Dziękuję :)" sqref="C17" xr:uid="{91FA14FC-ED14-4155-B1D3-8C6EA48253AA}">
      <formula1>1</formula1>
      <formula2>144</formula2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89</vt:i4>
      </vt:variant>
    </vt:vector>
  </HeadingPairs>
  <TitlesOfParts>
    <vt:vector size="92" baseType="lpstr">
      <vt:lpstr>WPISZ ZAŁOŻENIA</vt:lpstr>
      <vt:lpstr>OBLIGACJE</vt:lpstr>
      <vt:lpstr>IKE OBLIGACJE</vt:lpstr>
      <vt:lpstr>IKE_oplata_rok</vt:lpstr>
      <vt:lpstr>IKE_oplata_wskaznik</vt:lpstr>
      <vt:lpstr>IKE_wyniki_COI_I</vt:lpstr>
      <vt:lpstr>IKE_wyniki_COI_preferencje</vt:lpstr>
      <vt:lpstr>IKE_wyniki_EDO_I</vt:lpstr>
      <vt:lpstr>IKE_wyniki_EDO_preferencje</vt:lpstr>
      <vt:lpstr>IKE_wyniki_mc</vt:lpstr>
      <vt:lpstr>IKE_wyniki_skumulowana_inflacja</vt:lpstr>
      <vt:lpstr>IKE_wyniki_TOS_I</vt:lpstr>
      <vt:lpstr>IKE_wyniki_TOS_preferencje</vt:lpstr>
      <vt:lpstr>IKE_zakup_domyslny_mc</vt:lpstr>
      <vt:lpstr>kapitalizacja_odsetek_mc_EDO</vt:lpstr>
      <vt:lpstr>kapitalizacja_odsetek_mc_ROD</vt:lpstr>
      <vt:lpstr>kapitalizacja_odsetek_mc_ROS</vt:lpstr>
      <vt:lpstr>kapitalizacja_odsetek_mc_TOS</vt:lpstr>
      <vt:lpstr>koszt_wczesniejszy_wykup_COI</vt:lpstr>
      <vt:lpstr>koszt_wczesniejszy_wykup_DOR</vt:lpstr>
      <vt:lpstr>koszt_wczesniejszy_wykup_EDO</vt:lpstr>
      <vt:lpstr>koszt_wczesniejszy_wykup_ochrona_COI</vt:lpstr>
      <vt:lpstr>koszt_wczesniejszy_wykup_ochrona_DOR</vt:lpstr>
      <vt:lpstr>koszt_wczesniejszy_wykup_ochrona_ROR</vt:lpstr>
      <vt:lpstr>koszt_wczesniejszy_wykup_ochrona_TOS</vt:lpstr>
      <vt:lpstr>koszt_wczesniejszy_wykup_ROD</vt:lpstr>
      <vt:lpstr>koszt_wczesniejszy_wykup_ROR</vt:lpstr>
      <vt:lpstr>koszt_wczesniejszy_wykup_ROS</vt:lpstr>
      <vt:lpstr>koszt_wczesniejszy_wykup_TOS</vt:lpstr>
      <vt:lpstr>marza_COI</vt:lpstr>
      <vt:lpstr>marza_DOR</vt:lpstr>
      <vt:lpstr>marza_EDO</vt:lpstr>
      <vt:lpstr>marza_ROD</vt:lpstr>
      <vt:lpstr>marza_ROR</vt:lpstr>
      <vt:lpstr>marza_ROS</vt:lpstr>
      <vt:lpstr>marza_TOS</vt:lpstr>
      <vt:lpstr>podatek_Belki</vt:lpstr>
      <vt:lpstr>proc_I_okres_COI</vt:lpstr>
      <vt:lpstr>proc_I_okres_DOR</vt:lpstr>
      <vt:lpstr>proc_I_okres_EDO</vt:lpstr>
      <vt:lpstr>proc_I_okres_ROD</vt:lpstr>
      <vt:lpstr>proc_I_okres_ROR</vt:lpstr>
      <vt:lpstr>proc_I_okres_ROS</vt:lpstr>
      <vt:lpstr>proc_I_okres_TOS</vt:lpstr>
      <vt:lpstr>scenariusz_I_inflacja</vt:lpstr>
      <vt:lpstr>scenariusz_I_inflacja_skumulowana</vt:lpstr>
      <vt:lpstr>scenariusz_I_konto</vt:lpstr>
      <vt:lpstr>scenariusz_I_rok</vt:lpstr>
      <vt:lpstr>scenariusz_I_stopa_NBP</vt:lpstr>
      <vt:lpstr>scenariusz_I_WIBOR6M</vt:lpstr>
      <vt:lpstr>trigger_inflacja</vt:lpstr>
      <vt:lpstr>'IKE OBLIGACJE'!wyniki_COI_I</vt:lpstr>
      <vt:lpstr>OBLIGACJE!wyniki_COI_obl</vt:lpstr>
      <vt:lpstr>OBLIGACJE!wyniki_DOR_obl</vt:lpstr>
      <vt:lpstr>'IKE OBLIGACJE'!wyniki_EDO_I</vt:lpstr>
      <vt:lpstr>OBLIGACJE!wyniki_EDO_obl</vt:lpstr>
      <vt:lpstr>'IKE OBLIGACJE'!wyniki_mc</vt:lpstr>
      <vt:lpstr>OBLIGACJE!wyniki_mc</vt:lpstr>
      <vt:lpstr>'IKE OBLIGACJE'!wyniki_ROD_I</vt:lpstr>
      <vt:lpstr>OBLIGACJE!wyniki_ROD_obl</vt:lpstr>
      <vt:lpstr>OBLIGACJE!wyniki_ROR_obl</vt:lpstr>
      <vt:lpstr>'IKE OBLIGACJE'!wyniki_ROS_I</vt:lpstr>
      <vt:lpstr>OBLIGACJE!wyniki_ROS_obl</vt:lpstr>
      <vt:lpstr>'IKE OBLIGACJE'!wyniki_skumulowana_inflacja</vt:lpstr>
      <vt:lpstr>OBLIGACJE!wyniki_skumulowana_inflacja</vt:lpstr>
      <vt:lpstr>OBLIGACJE!wyniki_TOS_obl</vt:lpstr>
      <vt:lpstr>wyplata_odsetek_COI</vt:lpstr>
      <vt:lpstr>wyplata_odsetek_DOR</vt:lpstr>
      <vt:lpstr>wyplata_odsetek_ROR</vt:lpstr>
      <vt:lpstr>wyplata_odsetek_TOS</vt:lpstr>
      <vt:lpstr>zakup_domyslny_ilosc</vt:lpstr>
      <vt:lpstr>zakup_domyslny_mc</vt:lpstr>
      <vt:lpstr>zakup_domyslny_wartosc</vt:lpstr>
      <vt:lpstr>zamiana_COI</vt:lpstr>
      <vt:lpstr>zamiana_DOR</vt:lpstr>
      <vt:lpstr>zamiana_EDO</vt:lpstr>
      <vt:lpstr>zamiana_ROR</vt:lpstr>
      <vt:lpstr>zamiana_TOS</vt:lpstr>
      <vt:lpstr>zapadalnosc_COI</vt:lpstr>
      <vt:lpstr>zapadalnosc_DOR</vt:lpstr>
      <vt:lpstr>zapadalnosc_EDO</vt:lpstr>
      <vt:lpstr>zapadalnosc_ROD</vt:lpstr>
      <vt:lpstr>zapadalnosc_ROR</vt:lpstr>
      <vt:lpstr>zapadalnosc_ROS</vt:lpstr>
      <vt:lpstr>zapadalnosc_TOS</vt:lpstr>
      <vt:lpstr>zmiana_oprocentowania_co_ile_mc_COI</vt:lpstr>
      <vt:lpstr>zmiana_oprocentowania_co_ile_mc_DOR</vt:lpstr>
      <vt:lpstr>zmiana_oprocentowania_co_ile_mc_EDO</vt:lpstr>
      <vt:lpstr>zmiana_oprocentowania_co_ile_mc_ROD</vt:lpstr>
      <vt:lpstr>zmiana_oprocentowania_co_ile_mc_ROR</vt:lpstr>
      <vt:lpstr>zmiana_oprocentowania_co_ile_mc_ROS</vt:lpstr>
      <vt:lpstr>zmiana_oprocentowania_co_ile_mc_TOS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Kluczek</dc:creator>
  <cp:lastModifiedBy>Dawid Leszczyna</cp:lastModifiedBy>
  <dcterms:created xsi:type="dcterms:W3CDTF">2021-10-08T22:33:52Z</dcterms:created>
  <dcterms:modified xsi:type="dcterms:W3CDTF">2025-11-25T20:53:05Z</dcterms:modified>
</cp:coreProperties>
</file>